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9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7.xml" ContentType="application/vnd.openxmlformats-officedocument.drawing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EM\"/>
    </mc:Choice>
  </mc:AlternateContent>
  <xr:revisionPtr revIDLastSave="0" documentId="13_ncr:1_{1C2D6EF4-858E-402C-AA3C-2BFD5FB32A63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3" sheetId="97" r:id="rId8"/>
    <sheet name="Ind T4" sheetId="15" r:id="rId9"/>
    <sheet name="Ind T5" sheetId="104" r:id="rId10"/>
    <sheet name="Ind T6" sheetId="102" r:id="rId11"/>
    <sheet name="Ind F1" sheetId="19" r:id="rId12"/>
    <sheet name="Ind F2" sheetId="21" r:id="rId13"/>
    <sheet name="Ind Occ T1" sheetId="101" r:id="rId14"/>
    <sheet name="Ind Occ T2" sheetId="103" r:id="rId15"/>
    <sheet name="Occ T1" sheetId="16" r:id="rId16"/>
    <sheet name="Occ T2" sheetId="71" r:id="rId17"/>
    <sheet name="Occ T3" sheetId="18" r:id="rId18"/>
    <sheet name="Occ T4" sheetId="105" r:id="rId19"/>
    <sheet name="Occ T5" sheetId="109" r:id="rId20"/>
    <sheet name="Occ F1" sheetId="75" r:id="rId21"/>
    <sheet name="Occ F2" sheetId="76" r:id="rId22"/>
    <sheet name="Occ F3" sheetId="106" r:id="rId23"/>
    <sheet name="Occ F4" sheetId="107" r:id="rId24"/>
    <sheet name="Occ F5" sheetId="108" r:id="rId25"/>
    <sheet name="Qual T1" sheetId="44" r:id="rId26"/>
    <sheet name="Qual F1" sheetId="51" r:id="rId27"/>
    <sheet name="SummaryTable12" sheetId="62" state="veryHidden" r:id="rId28"/>
    <sheet name="ShiftShare T1" sheetId="80" r:id="rId29"/>
    <sheet name="RD T1" sheetId="49" r:id="rId30"/>
    <sheet name="RD F1" sheetId="31" r:id="rId31"/>
    <sheet name="Basic T1" sheetId="52" r:id="rId32"/>
    <sheet name="Basic T2" sheetId="78" r:id="rId33"/>
    <sheet name="Basic T3" sheetId="79" r:id="rId34"/>
    <sheet name="BasicTable5" sheetId="60" state="veryHidden" r:id="rId35"/>
    <sheet name="ShiftShare2" sheetId="83" state="veryHidden" r:id="rId36"/>
    <sheet name="SupplyBasicTable2" sheetId="93" state="veryHidden" r:id="rId37"/>
    <sheet name="name" sheetId="2" r:id="rId38"/>
    <sheet name="aggregation" sheetId="5" r:id="rId39"/>
    <sheet name="AggregationTables" sheetId="46" r:id="rId40"/>
  </sheets>
  <externalReferences>
    <externalReference r:id="rId41"/>
  </externalReferences>
  <definedNames>
    <definedName name="_Fill" localSheetId="34">#REF!</definedName>
    <definedName name="_Fill" localSheetId="14" hidden="1">#REF!</definedName>
    <definedName name="_Fill" localSheetId="35">#REF!</definedName>
    <definedName name="_Fill" localSheetId="27">#REF!</definedName>
    <definedName name="chart22" localSheetId="35">'[1]Chapter 2 - Charts'!$D$71:$N$108</definedName>
    <definedName name="chart31" localSheetId="35">'[1]Chapter 3 - Charts'!$D$27:$O$60</definedName>
    <definedName name="chart32" localSheetId="35">'[1]Chapter 3 - Charts'!$D$74:$O$106</definedName>
    <definedName name="chart33" localSheetId="35">'[1]Chapter 3 - Charts'!$D$117:$Z$153</definedName>
    <definedName name="chart34" localSheetId="35">'[1]Chapter 3 - Charts'!$D$598:$Y$629</definedName>
    <definedName name="Chart42" localSheetId="35">'[1]Chapter 4 - Charts'!$D$25:$N$62</definedName>
    <definedName name="Chart43" localSheetId="35">'[1]Chapter 4 - Charts'!$D$71:$N$108</definedName>
    <definedName name="Chart43_b" localSheetId="35">'[1]Chapter 4 - Charts'!$D$216:$N$260</definedName>
    <definedName name="Chart44" localSheetId="35">'[1]Chapter 4 - Charts'!$D$118:$N$155</definedName>
    <definedName name="Chart44_b" localSheetId="35">'[1]Chapter 4 - Charts'!$D$165:$N$209</definedName>
    <definedName name="Chart44_b_a" localSheetId="35">'[1]Chapter 4 - Charts'!$D$267:$N$311</definedName>
    <definedName name="Chart51" localSheetId="35">'[1]Chapter 5 - Charts'!$D$25:$N$62</definedName>
    <definedName name="Chart52" localSheetId="35">'[1]Chapter 5 - Charts'!$D$71:$N$108</definedName>
    <definedName name="Chart52_b" localSheetId="35">'[1]Chapter 5 - Charts'!$D$118:$N$153</definedName>
    <definedName name="Chart53" localSheetId="35">'[1]Chapter 5 - Charts'!$D$530:$N$567</definedName>
    <definedName name="Chart71" localSheetId="35">'[1]Chapter 7 - Charts'!$D$25:$N$60</definedName>
    <definedName name="Chart710" localSheetId="35">'[1]Chapter 7 - Charts'!$D$843:$N$878</definedName>
    <definedName name="Chart710_b" localSheetId="35">'[1]Chapter 7 - Charts'!$D$886:$N$921</definedName>
    <definedName name="Chart711" localSheetId="35">'[1]Chapter 7 - Charts'!$D$931:$N$966</definedName>
    <definedName name="Chart711_b" localSheetId="35">'[1]Chapter 7 - Charts'!$D$976:$N$1011</definedName>
    <definedName name="Chart712" localSheetId="35">'[1]Chapter 7 - Charts'!$D$1021:$N$1056</definedName>
    <definedName name="Chart712_b" localSheetId="35">'[1]Chapter 7 - Charts'!$D$1065:$N$1100</definedName>
    <definedName name="Chart712_c" localSheetId="35">'[1]Chapter 7 - Charts'!$D$1110:$N$1145</definedName>
    <definedName name="Chart72" localSheetId="35">'[1]Chapter 7 - Charts'!$D$67:$N$102</definedName>
    <definedName name="Chart75" localSheetId="35">'[1]Chapter 7 - Charts'!$D$454:$N$489</definedName>
    <definedName name="Chart76" localSheetId="35">'[1]Chapter 7 - Charts'!$D$366:$N$401</definedName>
    <definedName name="Chart76_b" localSheetId="35">'[1]Chapter 7 - Charts'!$D$499:$N$534</definedName>
    <definedName name="Chart77" localSheetId="35">'[1]Chapter 7 - Charts'!$D$410:$N$445</definedName>
    <definedName name="Chart77_b" localSheetId="35">'[1]Chapter 7 - Charts'!$D$543:$N$578</definedName>
    <definedName name="colourboard" localSheetId="35">[1]Contents!$I$6:$M$30</definedName>
    <definedName name="_xlnm.Print_Area" localSheetId="31">'Basic T1'!$A$1:$AN$101</definedName>
    <definedName name="_xlnm.Print_Area" localSheetId="32">'Basic T2'!$A$1:$CT$146</definedName>
    <definedName name="_xlnm.Print_Area" localSheetId="33">'Basic T3'!$A$1:$AG$35</definedName>
    <definedName name="_xlnm.Print_Area" localSheetId="34">BasicTable5!$1:$96</definedName>
    <definedName name="_xlnm.Print_Area" localSheetId="11">'Ind F1'!$A:$J</definedName>
    <definedName name="_xlnm.Print_Area" localSheetId="12">'Ind F2'!$A:$J</definedName>
    <definedName name="_xlnm.Print_Area" localSheetId="13">'Ind Occ T1'!$A$1:$L$1294</definedName>
    <definedName name="_xlnm.Print_Area" localSheetId="14">'Ind Occ T2'!$A$1:$O$1294</definedName>
    <definedName name="_xlnm.Print_Area" localSheetId="5">'Ind T1'!$A$1:$S$52</definedName>
    <definedName name="_xlnm.Print_Area" localSheetId="6">'Ind T2'!$A$1:$G$113</definedName>
    <definedName name="_xlnm.Print_Area" localSheetId="7">'Ind T3'!$A$1:$F$333</definedName>
    <definedName name="_xlnm.Print_Area" localSheetId="8">'Ind T4'!$A$1:$L$122</definedName>
    <definedName name="_xlnm.Print_Area" localSheetId="9">'Ind T5'!$A$1:$N$508</definedName>
    <definedName name="_xlnm.Print_Area" localSheetId="10">'Ind T6'!$A$1:$Y$566</definedName>
    <definedName name="_xlnm.Print_Area" localSheetId="3">Manager!$A$1:$O$18</definedName>
    <definedName name="_xlnm.Print_Area" localSheetId="20">'Occ F1'!$A$1:$J$185</definedName>
    <definedName name="_xlnm.Print_Area" localSheetId="21">'Occ F2'!$A:$J</definedName>
    <definedName name="_xlnm.Print_Area" localSheetId="22">'Occ F3'!$A$1:$S$29</definedName>
    <definedName name="_xlnm.Print_Area" localSheetId="23">'Occ F4'!$A$1:$J$38</definedName>
    <definedName name="_xlnm.Print_Area" localSheetId="24">'Occ F5'!$A$1:$J$116</definedName>
    <definedName name="_xlnm.Print_Area" localSheetId="15">'Occ T1'!$A$1:$AF$90</definedName>
    <definedName name="_xlnm.Print_Area" localSheetId="16">'Occ T2'!$A$1:$AF$180</definedName>
    <definedName name="_xlnm.Print_Area" localSheetId="17">'Occ T3'!$A$1:$L$103</definedName>
    <definedName name="_xlnm.Print_Area" localSheetId="18">'Occ T4'!$A$1:$U$38</definedName>
    <definedName name="_xlnm.Print_Area" localSheetId="19">'Occ T5'!$A$1:$AU$54</definedName>
    <definedName name="_xlnm.Print_Area" localSheetId="26">'Qual F1'!$A:$J</definedName>
    <definedName name="_xlnm.Print_Area" localSheetId="25">'Qual T1'!$A$1:$F$57</definedName>
    <definedName name="_xlnm.Print_Area" localSheetId="30">'RD F1'!$A:$N</definedName>
    <definedName name="_xlnm.Print_Area" localSheetId="29">'RD T1'!$A$1:$G$294,'RD T1'!$I$1:$N$117,'RD T1'!$P$1:$V$62,'RD T1'!$X$1:$AD$82</definedName>
    <definedName name="_xlnm.Print_Area" localSheetId="28">'ShiftShare T1'!$A$1:$R$71</definedName>
    <definedName name="_xlnm.Print_Titles" localSheetId="33">'Basic T3'!$A:$A</definedName>
    <definedName name="_xlnm.Print_Titles" localSheetId="27">SummaryTable12!$1:$6</definedName>
    <definedName name="thecontents" localSheetId="35">[1]Contents!$A$1:$N$1</definedName>
    <definedName name="Total79" localSheetId="35">'[1]Chapter 5 - Charts'!$AJ$75:$AJ$85</definedName>
    <definedName name="Total98" localSheetId="35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18" l="1"/>
  <c r="D40" i="18"/>
  <c r="E40" i="18"/>
  <c r="F40" i="18"/>
  <c r="C41" i="18"/>
  <c r="D41" i="18"/>
  <c r="E41" i="18"/>
  <c r="F41" i="18"/>
  <c r="C44" i="18"/>
  <c r="D44" i="18"/>
  <c r="E44" i="18"/>
  <c r="F44" i="18"/>
  <c r="C45" i="18"/>
  <c r="D45" i="18"/>
  <c r="E45" i="18"/>
  <c r="F45" i="18"/>
  <c r="C48" i="18"/>
  <c r="D48" i="18"/>
  <c r="E48" i="18"/>
  <c r="F48" i="18"/>
  <c r="C49" i="18"/>
  <c r="D49" i="18"/>
  <c r="E49" i="18"/>
  <c r="F49" i="18"/>
  <c r="B49" i="18"/>
  <c r="B48" i="18"/>
  <c r="H48" i="18" s="1"/>
  <c r="B45" i="18"/>
  <c r="B44" i="18"/>
  <c r="B41" i="18"/>
  <c r="B40" i="18"/>
  <c r="X1" i="49"/>
  <c r="P1" i="49"/>
  <c r="I1" i="49"/>
  <c r="A1" i="49"/>
  <c r="AK1" i="80"/>
  <c r="W1" i="80"/>
  <c r="Q1" i="109"/>
  <c r="A1" i="109"/>
  <c r="A1" i="105"/>
  <c r="A1" i="71"/>
  <c r="A1" i="103"/>
  <c r="A1" i="101"/>
  <c r="A1" i="102"/>
  <c r="A1" i="97"/>
  <c r="CP35" i="78" l="1"/>
  <c r="V49" i="49"/>
  <c r="T62" i="49"/>
  <c r="R33" i="49"/>
  <c r="B294" i="49"/>
  <c r="E71" i="80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AE32" i="76"/>
  <c r="AF32" i="76"/>
  <c r="AG32" i="76"/>
  <c r="AH32" i="76"/>
  <c r="AI32" i="76"/>
  <c r="AJ32" i="76"/>
  <c r="AK32" i="76"/>
  <c r="AL32" i="76"/>
  <c r="M32" i="76"/>
  <c r="L107" i="75"/>
  <c r="M107" i="75"/>
  <c r="B36" i="105"/>
  <c r="H9" i="78" l="1"/>
  <c r="H8" i="78"/>
  <c r="H45" i="78" s="1"/>
  <c r="M107" i="49" a="1"/>
  <c r="M107" i="49" s="1"/>
  <c r="K107" i="49" a="1"/>
  <c r="K107" i="49" s="1"/>
  <c r="J107" i="49" a="1"/>
  <c r="J107" i="49" s="1"/>
  <c r="M96" i="49" a="1"/>
  <c r="M100" i="49" s="1"/>
  <c r="K96" i="49" a="1"/>
  <c r="K96" i="49" s="1"/>
  <c r="J96" i="49" a="1"/>
  <c r="J96" i="49" s="1"/>
  <c r="M85" i="49" a="1"/>
  <c r="M86" i="49" s="1"/>
  <c r="K85" i="49" a="1"/>
  <c r="K85" i="49" s="1"/>
  <c r="J85" i="49" a="1"/>
  <c r="J85" i="49" s="1"/>
  <c r="M74" i="49" a="1"/>
  <c r="M74" i="49" s="1"/>
  <c r="K74" i="49" a="1"/>
  <c r="K75" i="49" s="1"/>
  <c r="J74" i="49" a="1"/>
  <c r="J74" i="49" s="1"/>
  <c r="M63" i="49" a="1"/>
  <c r="M64" i="49" s="1"/>
  <c r="K63" i="49" a="1"/>
  <c r="K63" i="49" s="1"/>
  <c r="J63" i="49" a="1"/>
  <c r="J63" i="49" s="1"/>
  <c r="M52" i="49" a="1"/>
  <c r="M52" i="49" s="1"/>
  <c r="K52" i="49" a="1"/>
  <c r="K53" i="49" s="1"/>
  <c r="J52" i="49" a="1"/>
  <c r="J53" i="49" s="1"/>
  <c r="M41" i="49" a="1"/>
  <c r="M41" i="49" s="1"/>
  <c r="K41" i="49" a="1"/>
  <c r="K41" i="49" s="1"/>
  <c r="J41" i="49" a="1"/>
  <c r="J41" i="49" s="1"/>
  <c r="M30" i="49" a="1"/>
  <c r="M30" i="49" s="1"/>
  <c r="K30" i="49" a="1"/>
  <c r="K33" i="49" s="1"/>
  <c r="J30" i="49" a="1"/>
  <c r="J30" i="49" s="1"/>
  <c r="M19" i="49" a="1"/>
  <c r="M19" i="49" s="1"/>
  <c r="K19" i="49" a="1"/>
  <c r="K19" i="49" s="1"/>
  <c r="J19" i="49" a="1"/>
  <c r="J19" i="49" s="1"/>
  <c r="L44" i="109"/>
  <c r="G44" i="109"/>
  <c r="R9" i="105"/>
  <c r="Q9" i="105"/>
  <c r="N9" i="105"/>
  <c r="K59" i="49" l="1"/>
  <c r="K56" i="49"/>
  <c r="K81" i="49"/>
  <c r="M59" i="49"/>
  <c r="J31" i="49"/>
  <c r="M63" i="49"/>
  <c r="J26" i="49"/>
  <c r="K74" i="49"/>
  <c r="J104" i="49"/>
  <c r="K23" i="49"/>
  <c r="K22" i="49"/>
  <c r="K20" i="49"/>
  <c r="J48" i="49"/>
  <c r="J100" i="49"/>
  <c r="J45" i="49"/>
  <c r="J70" i="49"/>
  <c r="M23" i="49"/>
  <c r="J42" i="49"/>
  <c r="J68" i="49"/>
  <c r="M79" i="49"/>
  <c r="M20" i="49"/>
  <c r="K70" i="49"/>
  <c r="J92" i="49"/>
  <c r="J86" i="49"/>
  <c r="J114" i="49"/>
  <c r="J34" i="49"/>
  <c r="J52" i="49"/>
  <c r="M71" i="49"/>
  <c r="M22" i="49"/>
  <c r="M93" i="49"/>
  <c r="K30" i="49"/>
  <c r="M92" i="49"/>
  <c r="K82" i="49"/>
  <c r="M85" i="49"/>
  <c r="M78" i="49"/>
  <c r="J99" i="49"/>
  <c r="K27" i="49"/>
  <c r="M27" i="49"/>
  <c r="M48" i="49"/>
  <c r="J60" i="49"/>
  <c r="K52" i="49"/>
  <c r="M75" i="49"/>
  <c r="K92" i="49"/>
  <c r="M89" i="49"/>
  <c r="J97" i="49"/>
  <c r="M104" i="49"/>
  <c r="K114" i="49"/>
  <c r="K26" i="49"/>
  <c r="M26" i="49"/>
  <c r="K38" i="49"/>
  <c r="M37" i="49"/>
  <c r="K48" i="49"/>
  <c r="M47" i="49"/>
  <c r="J59" i="49"/>
  <c r="K90" i="49"/>
  <c r="M103" i="49"/>
  <c r="J54" i="49"/>
  <c r="K89" i="49"/>
  <c r="K103" i="49"/>
  <c r="M99" i="49"/>
  <c r="K37" i="49"/>
  <c r="K34" i="49"/>
  <c r="M98" i="49"/>
  <c r="K32" i="49"/>
  <c r="M70" i="49"/>
  <c r="M97" i="49"/>
  <c r="J37" i="49"/>
  <c r="K31" i="49"/>
  <c r="K60" i="49"/>
  <c r="M67" i="49"/>
  <c r="K78" i="49"/>
  <c r="M81" i="49"/>
  <c r="J89" i="49"/>
  <c r="J103" i="49"/>
  <c r="M96" i="49"/>
  <c r="M114" i="49"/>
  <c r="M113" i="49"/>
  <c r="M112" i="49"/>
  <c r="M111" i="49"/>
  <c r="M110" i="49"/>
  <c r="M109" i="49"/>
  <c r="M108" i="49"/>
  <c r="M115" i="49"/>
  <c r="K113" i="49"/>
  <c r="K112" i="49"/>
  <c r="K111" i="49"/>
  <c r="K110" i="49"/>
  <c r="K109" i="49"/>
  <c r="K108" i="49"/>
  <c r="K115" i="49"/>
  <c r="J113" i="49"/>
  <c r="J112" i="49"/>
  <c r="J111" i="49"/>
  <c r="J110" i="49"/>
  <c r="J109" i="49"/>
  <c r="J108" i="49"/>
  <c r="J115" i="49"/>
  <c r="M102" i="49"/>
  <c r="M101" i="49"/>
  <c r="K102" i="49"/>
  <c r="K101" i="49"/>
  <c r="K100" i="49"/>
  <c r="K99" i="49"/>
  <c r="K98" i="49"/>
  <c r="K97" i="49"/>
  <c r="K104" i="49"/>
  <c r="J102" i="49"/>
  <c r="J101" i="49"/>
  <c r="J98" i="49"/>
  <c r="M91" i="49"/>
  <c r="M90" i="49"/>
  <c r="M88" i="49"/>
  <c r="M87" i="49"/>
  <c r="K91" i="49"/>
  <c r="K88" i="49"/>
  <c r="K87" i="49"/>
  <c r="K86" i="49"/>
  <c r="K93" i="49"/>
  <c r="J91" i="49"/>
  <c r="J90" i="49"/>
  <c r="J88" i="49"/>
  <c r="J87" i="49"/>
  <c r="J93" i="49"/>
  <c r="M80" i="49"/>
  <c r="M77" i="49"/>
  <c r="M76" i="49"/>
  <c r="M82" i="49"/>
  <c r="K80" i="49"/>
  <c r="K79" i="49"/>
  <c r="K77" i="49"/>
  <c r="K76" i="49"/>
  <c r="J80" i="49"/>
  <c r="J81" i="49"/>
  <c r="J79" i="49"/>
  <c r="J78" i="49"/>
  <c r="J77" i="49"/>
  <c r="J76" i="49"/>
  <c r="J75" i="49"/>
  <c r="J82" i="49"/>
  <c r="M69" i="49"/>
  <c r="M68" i="49"/>
  <c r="M66" i="49"/>
  <c r="M65" i="49"/>
  <c r="K69" i="49"/>
  <c r="K68" i="49"/>
  <c r="K67" i="49"/>
  <c r="K66" i="49"/>
  <c r="K65" i="49"/>
  <c r="K64" i="49"/>
  <c r="K71" i="49"/>
  <c r="J69" i="49"/>
  <c r="J67" i="49"/>
  <c r="J66" i="49"/>
  <c r="J65" i="49"/>
  <c r="J64" i="49"/>
  <c r="J71" i="49"/>
  <c r="M58" i="49"/>
  <c r="M57" i="49"/>
  <c r="M56" i="49"/>
  <c r="M55" i="49"/>
  <c r="M54" i="49"/>
  <c r="M53" i="49"/>
  <c r="M60" i="49"/>
  <c r="K58" i="49"/>
  <c r="K57" i="49"/>
  <c r="K55" i="49"/>
  <c r="K54" i="49"/>
  <c r="J58" i="49"/>
  <c r="J57" i="49"/>
  <c r="J56" i="49"/>
  <c r="J55" i="49"/>
  <c r="M46" i="49"/>
  <c r="M45" i="49"/>
  <c r="M44" i="49"/>
  <c r="M43" i="49"/>
  <c r="M42" i="49"/>
  <c r="M49" i="49"/>
  <c r="K47" i="49"/>
  <c r="K46" i="49"/>
  <c r="K45" i="49"/>
  <c r="K44" i="49"/>
  <c r="K43" i="49"/>
  <c r="K42" i="49"/>
  <c r="K49" i="49"/>
  <c r="J47" i="49"/>
  <c r="J46" i="49"/>
  <c r="J44" i="49"/>
  <c r="J43" i="49"/>
  <c r="J49" i="49"/>
  <c r="M36" i="49"/>
  <c r="M35" i="49"/>
  <c r="M34" i="49"/>
  <c r="M33" i="49"/>
  <c r="M32" i="49"/>
  <c r="M31" i="49"/>
  <c r="M38" i="49"/>
  <c r="K36" i="49"/>
  <c r="K35" i="49"/>
  <c r="J36" i="49"/>
  <c r="J35" i="49"/>
  <c r="J33" i="49"/>
  <c r="J32" i="49"/>
  <c r="J38" i="49"/>
  <c r="M25" i="49"/>
  <c r="M24" i="49"/>
  <c r="M21" i="49"/>
  <c r="K25" i="49"/>
  <c r="K24" i="49"/>
  <c r="K21" i="49"/>
  <c r="J25" i="49"/>
  <c r="J24" i="49"/>
  <c r="J23" i="49"/>
  <c r="J22" i="49"/>
  <c r="J21" i="49"/>
  <c r="J20" i="49"/>
  <c r="J27" i="49"/>
  <c r="AB8" i="16" l="1" a="1"/>
  <c r="AB8" i="16" s="1"/>
  <c r="AA8" i="16" a="1"/>
  <c r="AA9" i="16" s="1"/>
  <c r="Z8" i="16" a="1"/>
  <c r="Z8" i="16" s="1"/>
  <c r="Y8" i="16" a="1"/>
  <c r="Y8" i="16" s="1"/>
  <c r="X8" i="16" a="1"/>
  <c r="X8" i="16" s="1"/>
  <c r="Q8" i="16" a="1"/>
  <c r="Q9" i="16" s="1"/>
  <c r="P8" i="16" a="1"/>
  <c r="P8" i="16" s="1"/>
  <c r="O8" i="16" a="1"/>
  <c r="O8" i="16" s="1"/>
  <c r="N8" i="16" a="1"/>
  <c r="N9" i="16" s="1"/>
  <c r="M8" i="16" a="1"/>
  <c r="M8" i="16" s="1"/>
  <c r="F8" i="16" a="1"/>
  <c r="F8" i="16" s="1"/>
  <c r="E8" i="16" a="1"/>
  <c r="E8" i="16" s="1"/>
  <c r="D8" i="16" a="1"/>
  <c r="D9" i="16" s="1"/>
  <c r="C8" i="16" a="1"/>
  <c r="C8" i="16" s="1"/>
  <c r="B8" i="16" a="1"/>
  <c r="B10" i="16" s="1"/>
  <c r="F258" i="97"/>
  <c r="F259" i="97"/>
  <c r="F260" i="97"/>
  <c r="F261" i="97"/>
  <c r="F262" i="97"/>
  <c r="F263" i="97"/>
  <c r="F264" i="97"/>
  <c r="F265" i="97"/>
  <c r="F266" i="97"/>
  <c r="F267" i="97"/>
  <c r="F268" i="97"/>
  <c r="F269" i="97"/>
  <c r="F270" i="97"/>
  <c r="F271" i="97"/>
  <c r="F272" i="97"/>
  <c r="F273" i="97"/>
  <c r="F274" i="97"/>
  <c r="F275" i="97"/>
  <c r="F276" i="97"/>
  <c r="F277" i="97"/>
  <c r="F278" i="97"/>
  <c r="F279" i="97"/>
  <c r="F280" i="97"/>
  <c r="F281" i="97"/>
  <c r="F282" i="97"/>
  <c r="F283" i="97"/>
  <c r="F284" i="97"/>
  <c r="F285" i="97"/>
  <c r="F286" i="97"/>
  <c r="F287" i="97"/>
  <c r="F288" i="97"/>
  <c r="F289" i="97"/>
  <c r="F290" i="97"/>
  <c r="F291" i="97"/>
  <c r="F292" i="97"/>
  <c r="F293" i="97"/>
  <c r="F294" i="97"/>
  <c r="F295" i="97"/>
  <c r="F296" i="97"/>
  <c r="F297" i="97"/>
  <c r="F298" i="97"/>
  <c r="F299" i="97"/>
  <c r="F300" i="97"/>
  <c r="F301" i="97"/>
  <c r="F302" i="97"/>
  <c r="F303" i="97"/>
  <c r="F304" i="97"/>
  <c r="F305" i="97"/>
  <c r="F306" i="97"/>
  <c r="F307" i="97"/>
  <c r="F308" i="97"/>
  <c r="F309" i="97"/>
  <c r="F310" i="97"/>
  <c r="F311" i="97"/>
  <c r="F312" i="97"/>
  <c r="F313" i="97"/>
  <c r="F314" i="97"/>
  <c r="F315" i="97"/>
  <c r="F316" i="97"/>
  <c r="F317" i="97"/>
  <c r="F318" i="97"/>
  <c r="F319" i="97"/>
  <c r="F320" i="97"/>
  <c r="F321" i="97"/>
  <c r="F322" i="97"/>
  <c r="F323" i="97"/>
  <c r="F324" i="97"/>
  <c r="F325" i="97"/>
  <c r="F326" i="97"/>
  <c r="F327" i="97"/>
  <c r="F328" i="97"/>
  <c r="F329" i="97"/>
  <c r="F330" i="97"/>
  <c r="F331" i="97"/>
  <c r="F257" i="97"/>
  <c r="F255" i="97"/>
  <c r="F174" i="97"/>
  <c r="F175" i="97"/>
  <c r="F176" i="97"/>
  <c r="F177" i="97"/>
  <c r="F178" i="97"/>
  <c r="F179" i="97"/>
  <c r="F180" i="97"/>
  <c r="F181" i="97"/>
  <c r="F182" i="97"/>
  <c r="F183" i="97"/>
  <c r="F184" i="97"/>
  <c r="F185" i="97"/>
  <c r="F186" i="97"/>
  <c r="F187" i="97"/>
  <c r="F188" i="97"/>
  <c r="F189" i="97"/>
  <c r="F190" i="97"/>
  <c r="F191" i="97"/>
  <c r="F192" i="97"/>
  <c r="F193" i="97"/>
  <c r="F194" i="97"/>
  <c r="F195" i="97"/>
  <c r="F196" i="97"/>
  <c r="F197" i="97"/>
  <c r="F198" i="97"/>
  <c r="F199" i="97"/>
  <c r="F200" i="97"/>
  <c r="F201" i="97"/>
  <c r="F202" i="97"/>
  <c r="F203" i="97"/>
  <c r="F204" i="97"/>
  <c r="F205" i="97"/>
  <c r="F206" i="97"/>
  <c r="F207" i="97"/>
  <c r="F208" i="97"/>
  <c r="F209" i="97"/>
  <c r="F210" i="97"/>
  <c r="F211" i="97"/>
  <c r="F212" i="97"/>
  <c r="F213" i="97"/>
  <c r="F214" i="97"/>
  <c r="F215" i="97"/>
  <c r="F216" i="97"/>
  <c r="F217" i="97"/>
  <c r="F218" i="97"/>
  <c r="F219" i="97"/>
  <c r="F220" i="97"/>
  <c r="F221" i="97"/>
  <c r="F222" i="97"/>
  <c r="F223" i="97"/>
  <c r="F224" i="97"/>
  <c r="F225" i="97"/>
  <c r="F226" i="97"/>
  <c r="F227" i="97"/>
  <c r="F228" i="97"/>
  <c r="F229" i="97"/>
  <c r="F230" i="97"/>
  <c r="F231" i="97"/>
  <c r="F232" i="97"/>
  <c r="F233" i="97"/>
  <c r="F234" i="97"/>
  <c r="F235" i="97"/>
  <c r="F236" i="97"/>
  <c r="F237" i="97"/>
  <c r="F238" i="97"/>
  <c r="F239" i="97"/>
  <c r="F240" i="97"/>
  <c r="F241" i="97"/>
  <c r="F242" i="97"/>
  <c r="F243" i="97"/>
  <c r="F244" i="97"/>
  <c r="F245" i="97"/>
  <c r="F246" i="97"/>
  <c r="F247" i="97"/>
  <c r="F173" i="97"/>
  <c r="F171" i="97"/>
  <c r="B15" i="16" l="1"/>
  <c r="B9" i="16"/>
  <c r="D8" i="16"/>
  <c r="P15" i="16"/>
  <c r="E11" i="16"/>
  <c r="P14" i="16"/>
  <c r="B16" i="16"/>
  <c r="E9" i="16"/>
  <c r="P13" i="16"/>
  <c r="B8" i="16"/>
  <c r="X15" i="16"/>
  <c r="N16" i="16"/>
  <c r="X12" i="16"/>
  <c r="N15" i="16"/>
  <c r="D16" i="16"/>
  <c r="N10" i="16"/>
  <c r="D15" i="16"/>
  <c r="N8" i="16"/>
  <c r="Z15" i="16"/>
  <c r="D12" i="16"/>
  <c r="Z9" i="16"/>
  <c r="E16" i="16"/>
  <c r="M16" i="16"/>
  <c r="Q16" i="16"/>
  <c r="AA15" i="16"/>
  <c r="C15" i="16"/>
  <c r="E15" i="16"/>
  <c r="M15" i="16"/>
  <c r="Q15" i="16"/>
  <c r="Y15" i="16"/>
  <c r="AA12" i="16"/>
  <c r="E13" i="16"/>
  <c r="M11" i="16"/>
  <c r="O15" i="16"/>
  <c r="Q13" i="16"/>
  <c r="AA8" i="16"/>
  <c r="M9" i="16"/>
  <c r="Q8" i="16"/>
  <c r="Z10" i="16"/>
  <c r="AB15" i="16"/>
  <c r="X9" i="16"/>
  <c r="AA16" i="16"/>
  <c r="AB14" i="16"/>
  <c r="AB13" i="16"/>
  <c r="AB12" i="16"/>
  <c r="AB11" i="16"/>
  <c r="AB10" i="16"/>
  <c r="AB9" i="16"/>
  <c r="AB16" i="16"/>
  <c r="AA14" i="16"/>
  <c r="AA13" i="16"/>
  <c r="AA11" i="16"/>
  <c r="AA10" i="16"/>
  <c r="Z14" i="16"/>
  <c r="Z13" i="16"/>
  <c r="Z12" i="16"/>
  <c r="Z11" i="16"/>
  <c r="Z16" i="16"/>
  <c r="Y14" i="16"/>
  <c r="Y13" i="16"/>
  <c r="Y12" i="16"/>
  <c r="Y11" i="16"/>
  <c r="Y10" i="16"/>
  <c r="Y9" i="16"/>
  <c r="Y16" i="16"/>
  <c r="X14" i="16"/>
  <c r="X13" i="16"/>
  <c r="X11" i="16"/>
  <c r="X10" i="16"/>
  <c r="X16" i="16"/>
  <c r="Q14" i="16"/>
  <c r="Q12" i="16"/>
  <c r="Q11" i="16"/>
  <c r="Q10" i="16"/>
  <c r="P12" i="16"/>
  <c r="P11" i="16"/>
  <c r="P10" i="16"/>
  <c r="P9" i="16"/>
  <c r="P16" i="16"/>
  <c r="O14" i="16"/>
  <c r="O13" i="16"/>
  <c r="O12" i="16"/>
  <c r="O11" i="16"/>
  <c r="O10" i="16"/>
  <c r="O9" i="16"/>
  <c r="O16" i="16"/>
  <c r="N14" i="16"/>
  <c r="N13" i="16"/>
  <c r="N12" i="16"/>
  <c r="N11" i="16"/>
  <c r="M14" i="16"/>
  <c r="M13" i="16"/>
  <c r="M12" i="16"/>
  <c r="M10" i="16"/>
  <c r="F15" i="16"/>
  <c r="F14" i="16"/>
  <c r="F13" i="16"/>
  <c r="F12" i="16"/>
  <c r="F11" i="16"/>
  <c r="F10" i="16"/>
  <c r="F9" i="16"/>
  <c r="H8" i="16"/>
  <c r="F16" i="16"/>
  <c r="E14" i="16"/>
  <c r="E12" i="16"/>
  <c r="E10" i="16"/>
  <c r="D14" i="16"/>
  <c r="D13" i="16"/>
  <c r="D11" i="16"/>
  <c r="D10" i="16"/>
  <c r="C14" i="16"/>
  <c r="C13" i="16"/>
  <c r="C12" i="16"/>
  <c r="C11" i="16"/>
  <c r="C10" i="16"/>
  <c r="C9" i="16"/>
  <c r="C16" i="16"/>
  <c r="B14" i="16"/>
  <c r="B13" i="16"/>
  <c r="B12" i="16"/>
  <c r="B11" i="16"/>
  <c r="Y6" i="71" l="1"/>
  <c r="Z6" i="71"/>
  <c r="AA6" i="71"/>
  <c r="AB6" i="71"/>
  <c r="X6" i="71"/>
  <c r="W1" i="71" s="1"/>
  <c r="N6" i="71"/>
  <c r="O6" i="71"/>
  <c r="P6" i="71"/>
  <c r="Q6" i="71"/>
  <c r="M6" i="71"/>
  <c r="L1" i="71" s="1"/>
  <c r="AR5" i="109"/>
  <c r="AM5" i="109"/>
  <c r="AH5" i="109"/>
  <c r="AB5" i="109"/>
  <c r="W5" i="109"/>
  <c r="R5" i="109"/>
  <c r="AH33" i="21"/>
  <c r="AI33" i="21"/>
  <c r="AJ33" i="21"/>
  <c r="AK33" i="21"/>
  <c r="AL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I8" i="78"/>
  <c r="AA81" i="49"/>
  <c r="I40" i="80"/>
  <c r="A37" i="80" s="1"/>
  <c r="N51" i="76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AH45" i="76"/>
  <c r="AI45" i="76"/>
  <c r="AJ45" i="76"/>
  <c r="AK45" i="76"/>
  <c r="AL45" i="76"/>
  <c r="AH41" i="76"/>
  <c r="AI41" i="76"/>
  <c r="AJ41" i="76"/>
  <c r="AK41" i="76"/>
  <c r="AL41" i="76"/>
  <c r="AH37" i="76"/>
  <c r="AI37" i="76"/>
  <c r="AJ37" i="76"/>
  <c r="AK37" i="76"/>
  <c r="AL37" i="76"/>
  <c r="AH26" i="76"/>
  <c r="AI26" i="76"/>
  <c r="AJ26" i="76"/>
  <c r="AK26" i="76"/>
  <c r="AL26" i="76"/>
  <c r="AH22" i="76"/>
  <c r="AI22" i="76"/>
  <c r="AJ22" i="76"/>
  <c r="AK22" i="76"/>
  <c r="AL22" i="76"/>
  <c r="AH15" i="76"/>
  <c r="AI15" i="76"/>
  <c r="AJ15" i="76"/>
  <c r="AK15" i="76"/>
  <c r="AL15" i="76"/>
  <c r="AH9" i="76"/>
  <c r="AI9" i="76"/>
  <c r="AJ9" i="76"/>
  <c r="AK9" i="76"/>
  <c r="AL9" i="76"/>
  <c r="AH5" i="76"/>
  <c r="AI5" i="76"/>
  <c r="AJ5" i="76"/>
  <c r="AK5" i="76"/>
  <c r="AL5" i="76"/>
  <c r="H34" i="105"/>
  <c r="L34" i="105"/>
  <c r="D34" i="105"/>
  <c r="A33" i="79"/>
  <c r="B33" i="79"/>
  <c r="C33" i="79"/>
  <c r="D33" i="79"/>
  <c r="E33" i="79"/>
  <c r="F33" i="79"/>
  <c r="G33" i="79"/>
  <c r="H33" i="79"/>
  <c r="I33" i="79"/>
  <c r="J33" i="79"/>
  <c r="A144" i="78"/>
  <c r="L144" i="78" s="1"/>
  <c r="AH144" i="78" s="1"/>
  <c r="BD144" i="78" s="1"/>
  <c r="BZ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F107" i="78"/>
  <c r="B107" i="78"/>
  <c r="C107" i="78"/>
  <c r="D107" i="78"/>
  <c r="E107" i="78"/>
  <c r="CN35" i="78"/>
  <c r="CN70" i="78" s="1"/>
  <c r="CO35" i="78"/>
  <c r="CO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L35" i="78"/>
  <c r="AL70" i="78" s="1"/>
  <c r="AK35" i="78"/>
  <c r="AK70" i="78" s="1"/>
  <c r="AJ35" i="78"/>
  <c r="AJ70" i="78" s="1"/>
  <c r="AI35" i="78"/>
  <c r="AI70" i="78" s="1"/>
  <c r="AB35" i="78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S33" i="78"/>
  <c r="T33" i="78"/>
  <c r="T70" i="78" s="1"/>
  <c r="AD33" i="78"/>
  <c r="AE33" i="78"/>
  <c r="AE70" i="78" s="1"/>
  <c r="AO33" i="78"/>
  <c r="AO70" i="78" s="1"/>
  <c r="AO107" i="78" s="1"/>
  <c r="AP33" i="78"/>
  <c r="AP70" i="78" s="1"/>
  <c r="AZ33" i="78"/>
  <c r="AZ70" i="78" s="1"/>
  <c r="AZ107" i="78" s="1"/>
  <c r="BA33" i="78"/>
  <c r="BK33" i="78"/>
  <c r="BL33" i="78"/>
  <c r="BL70" i="78" s="1"/>
  <c r="BV33" i="78"/>
  <c r="BV70" i="78" s="1"/>
  <c r="BV107" i="78" s="1"/>
  <c r="BW33" i="78"/>
  <c r="BW70" i="78" s="1"/>
  <c r="CG33" i="78"/>
  <c r="CH33" i="78"/>
  <c r="CH70" i="78" s="1"/>
  <c r="CR33" i="78"/>
  <c r="CR70" i="78" s="1"/>
  <c r="CR107" i="78" s="1"/>
  <c r="CS33" i="78"/>
  <c r="CS70" i="78" s="1"/>
  <c r="C35" i="78"/>
  <c r="C70" i="78" s="1"/>
  <c r="D35" i="78"/>
  <c r="E35" i="78"/>
  <c r="E70" i="78" s="1"/>
  <c r="F35" i="78"/>
  <c r="B35" i="78"/>
  <c r="B70" i="78" s="1"/>
  <c r="I33" i="78"/>
  <c r="I70" i="78" s="1"/>
  <c r="A33" i="78"/>
  <c r="L33" i="78" s="1"/>
  <c r="AH33" i="78" s="1"/>
  <c r="BD33" i="78" s="1"/>
  <c r="BZ33" i="78" s="1"/>
  <c r="H33" i="78"/>
  <c r="H70" i="78" s="1"/>
  <c r="H107" i="78" s="1"/>
  <c r="AE33" i="71"/>
  <c r="T33" i="71"/>
  <c r="O62" i="31"/>
  <c r="R62" i="49"/>
  <c r="Q62" i="49"/>
  <c r="V62" i="49" s="1"/>
  <c r="P61" i="49"/>
  <c r="S61" i="49"/>
  <c r="U61" i="49" s="1"/>
  <c r="V61" i="49"/>
  <c r="T33" i="49"/>
  <c r="Q33" i="49"/>
  <c r="S33" i="49" s="1"/>
  <c r="V32" i="49"/>
  <c r="P32" i="49"/>
  <c r="S32" i="49"/>
  <c r="U32" i="49" s="1"/>
  <c r="E32" i="49"/>
  <c r="I33" i="71" s="1"/>
  <c r="B32" i="49"/>
  <c r="C32" i="49"/>
  <c r="C62" i="49"/>
  <c r="E62" i="49"/>
  <c r="B62" i="49"/>
  <c r="C91" i="49"/>
  <c r="E91" i="49"/>
  <c r="B91" i="49"/>
  <c r="C120" i="49"/>
  <c r="E120" i="49"/>
  <c r="B120" i="49"/>
  <c r="C149" i="49"/>
  <c r="E149" i="49"/>
  <c r="B149" i="49"/>
  <c r="C178" i="49"/>
  <c r="E178" i="49"/>
  <c r="B178" i="49"/>
  <c r="C207" i="49"/>
  <c r="E207" i="49"/>
  <c r="B207" i="49"/>
  <c r="C236" i="49"/>
  <c r="E236" i="49"/>
  <c r="B236" i="49"/>
  <c r="C265" i="49"/>
  <c r="E265" i="49"/>
  <c r="B265" i="49"/>
  <c r="G293" i="49"/>
  <c r="E294" i="49"/>
  <c r="G294" i="49" s="1"/>
  <c r="C294" i="49"/>
  <c r="D293" i="49"/>
  <c r="F293" i="49" s="1"/>
  <c r="D264" i="49"/>
  <c r="F264" i="49" s="1"/>
  <c r="G264" i="49"/>
  <c r="D235" i="49"/>
  <c r="F235" i="49" s="1"/>
  <c r="G235" i="49"/>
  <c r="D206" i="49"/>
  <c r="F206" i="49" s="1"/>
  <c r="G206" i="49"/>
  <c r="D177" i="49"/>
  <c r="F177" i="49" s="1"/>
  <c r="G177" i="49"/>
  <c r="D148" i="49"/>
  <c r="F148" i="49" s="1"/>
  <c r="G148" i="49"/>
  <c r="D119" i="49"/>
  <c r="F119" i="49" s="1"/>
  <c r="G119" i="49"/>
  <c r="D90" i="49"/>
  <c r="F90" i="49" s="1"/>
  <c r="G90" i="49"/>
  <c r="D61" i="49"/>
  <c r="F61" i="49" s="1"/>
  <c r="G61" i="49"/>
  <c r="A32" i="49"/>
  <c r="A61" i="49" s="1"/>
  <c r="A148" i="49" s="1"/>
  <c r="A235" i="49" s="1"/>
  <c r="B71" i="80"/>
  <c r="C69" i="80" s="1"/>
  <c r="H69" i="80"/>
  <c r="I69" i="80"/>
  <c r="R69" i="80"/>
  <c r="A69" i="80"/>
  <c r="E35" i="80"/>
  <c r="F33" i="80" s="1"/>
  <c r="B35" i="80"/>
  <c r="C33" i="80" s="1"/>
  <c r="R33" i="80"/>
  <c r="I33" i="80"/>
  <c r="H33" i="80"/>
  <c r="A33" i="80"/>
  <c r="L82" i="76"/>
  <c r="L35" i="76"/>
  <c r="AG1" i="109" l="1"/>
  <c r="J8" i="78"/>
  <c r="J45" i="78" s="1"/>
  <c r="I45" i="78"/>
  <c r="H35" i="78"/>
  <c r="H72" i="78" s="1"/>
  <c r="H109" i="78" s="1"/>
  <c r="U33" i="49"/>
  <c r="AH49" i="76"/>
  <c r="AH59" i="76" s="1"/>
  <c r="S62" i="49"/>
  <c r="U62" i="49" s="1"/>
  <c r="AL38" i="21"/>
  <c r="AK38" i="21"/>
  <c r="AP107" i="78"/>
  <c r="AK49" i="76"/>
  <c r="AK52" i="76" s="1"/>
  <c r="AJ49" i="76"/>
  <c r="AJ52" i="76" s="1"/>
  <c r="AI49" i="76"/>
  <c r="AI84" i="76" s="1"/>
  <c r="AL49" i="76"/>
  <c r="AL84" i="76" s="1"/>
  <c r="AJ38" i="21"/>
  <c r="AI38" i="21"/>
  <c r="AH38" i="21"/>
  <c r="AF33" i="78"/>
  <c r="AF70" i="78" s="1"/>
  <c r="AF107" i="78" s="1"/>
  <c r="CS107" i="78"/>
  <c r="K69" i="80"/>
  <c r="L69" i="80" s="1"/>
  <c r="K33" i="79"/>
  <c r="CR35" i="78"/>
  <c r="AD70" i="78"/>
  <c r="AD107" i="78" s="1"/>
  <c r="B146" i="78"/>
  <c r="BB33" i="78"/>
  <c r="BB70" i="78" s="1"/>
  <c r="BB107" i="78" s="1"/>
  <c r="CP70" i="78"/>
  <c r="D70" i="78"/>
  <c r="F146" i="78"/>
  <c r="W144" i="78"/>
  <c r="AS144" i="78" s="1"/>
  <c r="BO144" i="78" s="1"/>
  <c r="CK144" i="78" s="1"/>
  <c r="AO35" i="78"/>
  <c r="BM33" i="78"/>
  <c r="BM70" i="78" s="1"/>
  <c r="BM107" i="78" s="1"/>
  <c r="BA70" i="78"/>
  <c r="BW107" i="78"/>
  <c r="F70" i="78"/>
  <c r="CH107" i="78"/>
  <c r="BA107" i="78"/>
  <c r="AD35" i="78"/>
  <c r="B72" i="78"/>
  <c r="T107" i="78"/>
  <c r="A107" i="78"/>
  <c r="BL107" i="78"/>
  <c r="I107" i="78"/>
  <c r="AE107" i="78"/>
  <c r="U33" i="78"/>
  <c r="U70" i="78" s="1"/>
  <c r="U107" i="78" s="1"/>
  <c r="BX33" i="78"/>
  <c r="BX70" i="78" s="1"/>
  <c r="BX107" i="78" s="1"/>
  <c r="BK35" i="78"/>
  <c r="AM70" i="78"/>
  <c r="J33" i="78"/>
  <c r="J70" i="78" s="1"/>
  <c r="J107" i="78" s="1"/>
  <c r="S70" i="78"/>
  <c r="S107" i="78" s="1"/>
  <c r="AQ33" i="78"/>
  <c r="AQ70" i="78" s="1"/>
  <c r="AQ107" i="78" s="1"/>
  <c r="A70" i="78"/>
  <c r="CI33" i="78"/>
  <c r="CI70" i="78" s="1"/>
  <c r="CI107" i="78" s="1"/>
  <c r="CG70" i="78"/>
  <c r="CG107" i="78" s="1"/>
  <c r="S35" i="78"/>
  <c r="BV35" i="78"/>
  <c r="CT33" i="78"/>
  <c r="CT70" i="78" s="1"/>
  <c r="CT107" i="78" s="1"/>
  <c r="BK70" i="78"/>
  <c r="BK107" i="78" s="1"/>
  <c r="AB70" i="78"/>
  <c r="W33" i="78"/>
  <c r="AS33" i="78" s="1"/>
  <c r="BO33" i="78" s="1"/>
  <c r="CK33" i="78" s="1"/>
  <c r="CG35" i="78"/>
  <c r="AZ35" i="78"/>
  <c r="B33" i="49"/>
  <c r="F32" i="49"/>
  <c r="D32" i="49"/>
  <c r="A119" i="49"/>
  <c r="A206" i="49" s="1"/>
  <c r="A293" i="49" s="1"/>
  <c r="A90" i="49"/>
  <c r="A177" i="49" s="1"/>
  <c r="A264" i="49" s="1"/>
  <c r="F69" i="80"/>
  <c r="H35" i="80"/>
  <c r="K33" i="80"/>
  <c r="L21" i="75"/>
  <c r="T34" i="105"/>
  <c r="U34" i="105"/>
  <c r="O10" i="105"/>
  <c r="Q10" i="105"/>
  <c r="R10" i="105"/>
  <c r="O11" i="105"/>
  <c r="Q11" i="105"/>
  <c r="R11" i="105"/>
  <c r="O12" i="105"/>
  <c r="Q12" i="105"/>
  <c r="R12" i="105"/>
  <c r="O13" i="105"/>
  <c r="Q13" i="105"/>
  <c r="R13" i="105"/>
  <c r="O14" i="105"/>
  <c r="Q14" i="105"/>
  <c r="R14" i="105"/>
  <c r="O15" i="105"/>
  <c r="Q15" i="105"/>
  <c r="R15" i="105"/>
  <c r="O16" i="105"/>
  <c r="Q16" i="105"/>
  <c r="R16" i="105"/>
  <c r="O17" i="105"/>
  <c r="Q17" i="105"/>
  <c r="R17" i="105"/>
  <c r="O18" i="105"/>
  <c r="Q18" i="105"/>
  <c r="R18" i="105"/>
  <c r="O19" i="105"/>
  <c r="Q19" i="105"/>
  <c r="R19" i="105"/>
  <c r="O20" i="105"/>
  <c r="Q20" i="105"/>
  <c r="R20" i="105"/>
  <c r="O21" i="105"/>
  <c r="Q21" i="105"/>
  <c r="R21" i="105"/>
  <c r="O22" i="105"/>
  <c r="Q22" i="105"/>
  <c r="R22" i="105"/>
  <c r="O23" i="105"/>
  <c r="Q23" i="105"/>
  <c r="R23" i="105"/>
  <c r="O24" i="105"/>
  <c r="Q24" i="105"/>
  <c r="R24" i="105"/>
  <c r="O25" i="105"/>
  <c r="Q25" i="105"/>
  <c r="R25" i="105"/>
  <c r="O26" i="105"/>
  <c r="Q26" i="105"/>
  <c r="R26" i="105"/>
  <c r="O27" i="105"/>
  <c r="Q27" i="105"/>
  <c r="R27" i="105"/>
  <c r="O28" i="105"/>
  <c r="Q28" i="105"/>
  <c r="R28" i="105"/>
  <c r="O29" i="105"/>
  <c r="Q29" i="105"/>
  <c r="R29" i="105"/>
  <c r="O30" i="105"/>
  <c r="Q30" i="105"/>
  <c r="R30" i="105"/>
  <c r="O31" i="105"/>
  <c r="Q31" i="105"/>
  <c r="R31" i="105"/>
  <c r="O32" i="105"/>
  <c r="Q32" i="105"/>
  <c r="R32" i="105"/>
  <c r="O33" i="105"/>
  <c r="Q33" i="105"/>
  <c r="R33" i="105"/>
  <c r="O34" i="105"/>
  <c r="Q34" i="105"/>
  <c r="R34" i="105"/>
  <c r="O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K36" i="105"/>
  <c r="J36" i="105"/>
  <c r="G36" i="105"/>
  <c r="F36" i="105"/>
  <c r="N36" i="105" s="1"/>
  <c r="C36" i="105"/>
  <c r="A34" i="105"/>
  <c r="A92" i="18"/>
  <c r="A89" i="18"/>
  <c r="A49" i="18"/>
  <c r="A48" i="18"/>
  <c r="A45" i="18"/>
  <c r="A44" i="18"/>
  <c r="A41" i="18"/>
  <c r="A40" i="18"/>
  <c r="B37" i="18"/>
  <c r="C37" i="18"/>
  <c r="D37" i="18"/>
  <c r="E37" i="18"/>
  <c r="F37" i="18"/>
  <c r="A37" i="18"/>
  <c r="W178" i="71"/>
  <c r="X178" i="71"/>
  <c r="Y178" i="71"/>
  <c r="Z178" i="71"/>
  <c r="AA178" i="71"/>
  <c r="AB178" i="71"/>
  <c r="L178" i="71"/>
  <c r="M178" i="71"/>
  <c r="N178" i="71"/>
  <c r="O178" i="71"/>
  <c r="P178" i="71"/>
  <c r="Q178" i="71"/>
  <c r="A178" i="71"/>
  <c r="B178" i="71"/>
  <c r="C178" i="71"/>
  <c r="D178" i="71"/>
  <c r="E178" i="71"/>
  <c r="F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X107" i="71"/>
  <c r="Y107" i="71"/>
  <c r="Z107" i="71"/>
  <c r="AA107" i="71"/>
  <c r="AB107" i="71"/>
  <c r="AE107" i="71"/>
  <c r="M107" i="71"/>
  <c r="N107" i="71"/>
  <c r="O107" i="71"/>
  <c r="P107" i="71"/>
  <c r="Q107" i="71"/>
  <c r="T107" i="71"/>
  <c r="F107" i="71"/>
  <c r="B107" i="71"/>
  <c r="C107" i="71"/>
  <c r="D107" i="71"/>
  <c r="E107" i="71"/>
  <c r="I107" i="71"/>
  <c r="AE70" i="71"/>
  <c r="T70" i="71"/>
  <c r="I70" i="71"/>
  <c r="AD33" i="71"/>
  <c r="AD70" i="71" s="1"/>
  <c r="AD107" i="71" s="1"/>
  <c r="Y35" i="71"/>
  <c r="Y70" i="71" s="1"/>
  <c r="Z35" i="71"/>
  <c r="Z70" i="71" s="1"/>
  <c r="AA35" i="71"/>
  <c r="AA70" i="71" s="1"/>
  <c r="AB35" i="71"/>
  <c r="X35" i="71"/>
  <c r="X70" i="71" s="1"/>
  <c r="Q35" i="71"/>
  <c r="Q70" i="71" s="1"/>
  <c r="M35" i="71"/>
  <c r="M70" i="71" s="1"/>
  <c r="C35" i="71"/>
  <c r="D35" i="71"/>
  <c r="D70" i="71" s="1"/>
  <c r="E35" i="71"/>
  <c r="E70" i="71" s="1"/>
  <c r="F35" i="71"/>
  <c r="F70" i="71" s="1"/>
  <c r="B35" i="71"/>
  <c r="B70" i="71" s="1"/>
  <c r="N35" i="71"/>
  <c r="N70" i="71" s="1"/>
  <c r="O35" i="71"/>
  <c r="O70" i="71" s="1"/>
  <c r="P35" i="71"/>
  <c r="P70" i="71" s="1"/>
  <c r="S33" i="71"/>
  <c r="S70" i="71" s="1"/>
  <c r="S107" i="71" s="1"/>
  <c r="H33" i="71"/>
  <c r="H70" i="71" s="1"/>
  <c r="H107" i="71" s="1"/>
  <c r="W107" i="71"/>
  <c r="W33" i="71"/>
  <c r="W144" i="71" s="1"/>
  <c r="L33" i="71"/>
  <c r="L70" i="71" s="1"/>
  <c r="A33" i="71"/>
  <c r="A70" i="71" s="1"/>
  <c r="A1" i="78"/>
  <c r="A1" i="52"/>
  <c r="R36" i="105" l="1"/>
  <c r="AE33" i="79"/>
  <c r="X33" i="79"/>
  <c r="AF33" i="79"/>
  <c r="AH54" i="76"/>
  <c r="AI52" i="76"/>
  <c r="AH93" i="76"/>
  <c r="AH57" i="76"/>
  <c r="AH76" i="76"/>
  <c r="AH90" i="76"/>
  <c r="AH85" i="76"/>
  <c r="AH84" i="76"/>
  <c r="AH94" i="76"/>
  <c r="AH82" i="76"/>
  <c r="AH64" i="76"/>
  <c r="AH53" i="76"/>
  <c r="AH86" i="76"/>
  <c r="AH70" i="76"/>
  <c r="AH77" i="76"/>
  <c r="AH92" i="76"/>
  <c r="AH62" i="76"/>
  <c r="AH79" i="76"/>
  <c r="AH69" i="76"/>
  <c r="AH52" i="76"/>
  <c r="N69" i="80"/>
  <c r="O69" i="80" s="1"/>
  <c r="AH56" i="76"/>
  <c r="AH88" i="76"/>
  <c r="AH96" i="76"/>
  <c r="AH63" i="76"/>
  <c r="AH73" i="76"/>
  <c r="AH67" i="76"/>
  <c r="AH75" i="76"/>
  <c r="AH80" i="76"/>
  <c r="AH60" i="76"/>
  <c r="AH58" i="76"/>
  <c r="AH65" i="76"/>
  <c r="AH89" i="76"/>
  <c r="AH81" i="76"/>
  <c r="AH66" i="76"/>
  <c r="AH74" i="76"/>
  <c r="AH71" i="76"/>
  <c r="AD35" i="71"/>
  <c r="O36" i="105"/>
  <c r="AB33" i="79"/>
  <c r="AA33" i="79"/>
  <c r="AI62" i="76"/>
  <c r="AL79" i="76"/>
  <c r="AL73" i="76"/>
  <c r="AL88" i="76"/>
  <c r="L37" i="18"/>
  <c r="J37" i="18"/>
  <c r="Q36" i="105"/>
  <c r="AG33" i="79"/>
  <c r="AC33" i="79"/>
  <c r="Z33" i="79"/>
  <c r="Y33" i="79"/>
  <c r="AK73" i="76"/>
  <c r="AK84" i="76"/>
  <c r="AJ60" i="76"/>
  <c r="AJ70" i="76"/>
  <c r="AJ80" i="76"/>
  <c r="AJ90" i="76"/>
  <c r="AJ57" i="76"/>
  <c r="AJ66" i="76"/>
  <c r="AJ76" i="76"/>
  <c r="AJ86" i="76"/>
  <c r="AJ53" i="76"/>
  <c r="AJ63" i="76"/>
  <c r="AJ82" i="76"/>
  <c r="AJ93" i="76"/>
  <c r="AJ59" i="76"/>
  <c r="AJ79" i="76"/>
  <c r="AJ65" i="76"/>
  <c r="AJ75" i="76"/>
  <c r="AJ85" i="76"/>
  <c r="AJ96" i="76"/>
  <c r="AJ62" i="76"/>
  <c r="AJ71" i="76"/>
  <c r="AJ81" i="76"/>
  <c r="AJ58" i="76"/>
  <c r="AJ64" i="76"/>
  <c r="AJ94" i="76"/>
  <c r="AJ84" i="76"/>
  <c r="AJ54" i="76"/>
  <c r="AJ74" i="76"/>
  <c r="AJ88" i="76"/>
  <c r="AJ67" i="76"/>
  <c r="AJ89" i="76"/>
  <c r="AJ77" i="76"/>
  <c r="AJ56" i="76"/>
  <c r="AL56" i="76"/>
  <c r="AJ69" i="76"/>
  <c r="AJ92" i="76"/>
  <c r="AK92" i="76"/>
  <c r="AI57" i="76"/>
  <c r="AI66" i="76"/>
  <c r="AI76" i="76"/>
  <c r="AI86" i="76"/>
  <c r="AI53" i="76"/>
  <c r="AI63" i="76"/>
  <c r="AI82" i="76"/>
  <c r="AI93" i="76"/>
  <c r="AI59" i="76"/>
  <c r="AI79" i="76"/>
  <c r="AI89" i="76"/>
  <c r="AI56" i="76"/>
  <c r="AI65" i="76"/>
  <c r="AI75" i="76"/>
  <c r="AI71" i="76"/>
  <c r="AI81" i="76"/>
  <c r="AI58" i="76"/>
  <c r="AI67" i="76"/>
  <c r="AI77" i="76"/>
  <c r="AI88" i="76"/>
  <c r="AI54" i="76"/>
  <c r="AI80" i="76"/>
  <c r="AI94" i="76"/>
  <c r="AI96" i="76"/>
  <c r="AI85" i="76"/>
  <c r="AI64" i="76"/>
  <c r="AI74" i="76"/>
  <c r="AI60" i="76"/>
  <c r="AI70" i="76"/>
  <c r="AI90" i="76"/>
  <c r="AJ73" i="76"/>
  <c r="AK54" i="76"/>
  <c r="AK64" i="76"/>
  <c r="AK74" i="76"/>
  <c r="AK94" i="76"/>
  <c r="AK60" i="76"/>
  <c r="AK70" i="76"/>
  <c r="AK80" i="76"/>
  <c r="AK90" i="76"/>
  <c r="AK57" i="76"/>
  <c r="AK66" i="76"/>
  <c r="AK76" i="76"/>
  <c r="AK86" i="76"/>
  <c r="AK53" i="76"/>
  <c r="AK63" i="76"/>
  <c r="AK59" i="76"/>
  <c r="AK89" i="76"/>
  <c r="AK65" i="76"/>
  <c r="AK75" i="76"/>
  <c r="AK85" i="76"/>
  <c r="AK96" i="76"/>
  <c r="AK62" i="76"/>
  <c r="AK93" i="76"/>
  <c r="AK82" i="76"/>
  <c r="AK58" i="76"/>
  <c r="AK81" i="76"/>
  <c r="AK88" i="76"/>
  <c r="AK67" i="76"/>
  <c r="AK77" i="76"/>
  <c r="AK71" i="76"/>
  <c r="AK56" i="76"/>
  <c r="AL58" i="76"/>
  <c r="AL67" i="76"/>
  <c r="AL77" i="76"/>
  <c r="AL54" i="76"/>
  <c r="AL64" i="76"/>
  <c r="AL74" i="76"/>
  <c r="AL94" i="76"/>
  <c r="AL60" i="76"/>
  <c r="AL70" i="76"/>
  <c r="AL80" i="76"/>
  <c r="AL90" i="76"/>
  <c r="AL57" i="76"/>
  <c r="AL66" i="76"/>
  <c r="AL76" i="76"/>
  <c r="AL53" i="76"/>
  <c r="AL63" i="76"/>
  <c r="AL82" i="76"/>
  <c r="AL93" i="76"/>
  <c r="AL59" i="76"/>
  <c r="AL69" i="76"/>
  <c r="AL89" i="76"/>
  <c r="AL71" i="76"/>
  <c r="AL62" i="76"/>
  <c r="AL96" i="76"/>
  <c r="AL52" i="76"/>
  <c r="AL65" i="76"/>
  <c r="AL86" i="76"/>
  <c r="AL92" i="76"/>
  <c r="AL81" i="76"/>
  <c r="AL75" i="76"/>
  <c r="AL85" i="76"/>
  <c r="AK79" i="76"/>
  <c r="AK69" i="76"/>
  <c r="AI69" i="76"/>
  <c r="AI73" i="76"/>
  <c r="AI92" i="76"/>
  <c r="H37" i="18"/>
  <c r="N33" i="80"/>
  <c r="O33" i="80" s="1"/>
  <c r="L33" i="80"/>
  <c r="AD33" i="79"/>
  <c r="AB70" i="71"/>
  <c r="B146" i="71"/>
  <c r="H35" i="71"/>
  <c r="P64" i="31" s="1"/>
  <c r="K37" i="18"/>
  <c r="B180" i="71"/>
  <c r="P62" i="31"/>
  <c r="J33" i="71"/>
  <c r="W107" i="78"/>
  <c r="AS107" i="78" s="1"/>
  <c r="BO107" i="78" s="1"/>
  <c r="CK107" i="78" s="1"/>
  <c r="L107" i="78"/>
  <c r="AH107" i="78" s="1"/>
  <c r="BD107" i="78" s="1"/>
  <c r="BZ107" i="78" s="1"/>
  <c r="W70" i="78"/>
  <c r="AS70" i="78" s="1"/>
  <c r="BO70" i="78" s="1"/>
  <c r="CK70" i="78" s="1"/>
  <c r="L70" i="78"/>
  <c r="AH70" i="78" s="1"/>
  <c r="BD70" i="78" s="1"/>
  <c r="BZ70" i="78" s="1"/>
  <c r="I37" i="18"/>
  <c r="C70" i="71"/>
  <c r="S35" i="71"/>
  <c r="L144" i="71"/>
  <c r="W70" i="71"/>
  <c r="A144" i="71"/>
  <c r="A107" i="71"/>
  <c r="L107" i="71"/>
  <c r="I7" i="11" a="1"/>
  <c r="I8" i="11" s="1"/>
  <c r="H72" i="71" l="1"/>
  <c r="H109" i="71" s="1"/>
  <c r="Q62" i="31"/>
  <c r="J70" i="71"/>
  <c r="J107" i="71" s="1"/>
  <c r="I7" i="11"/>
  <c r="I12" i="11"/>
  <c r="I11" i="11"/>
  <c r="I10" i="11"/>
  <c r="I9" i="11"/>
  <c r="AD7" i="49"/>
  <c r="AB82" i="49"/>
  <c r="Z82" i="49"/>
  <c r="Y82" i="49"/>
  <c r="AD8" i="49"/>
  <c r="AD9" i="49"/>
  <c r="AD10" i="49"/>
  <c r="AD11" i="49"/>
  <c r="AD12" i="49"/>
  <c r="AD13" i="49"/>
  <c r="AD14" i="49"/>
  <c r="AD15" i="49"/>
  <c r="AD16" i="49"/>
  <c r="AD17" i="49"/>
  <c r="AD18" i="49"/>
  <c r="AD19" i="49"/>
  <c r="AD20" i="49"/>
  <c r="AD21" i="49"/>
  <c r="AD22" i="49"/>
  <c r="AD23" i="49"/>
  <c r="AD24" i="49"/>
  <c r="AD25" i="49"/>
  <c r="AD26" i="49"/>
  <c r="AD27" i="49"/>
  <c r="AD28" i="49"/>
  <c r="AD29" i="49"/>
  <c r="AD30" i="49"/>
  <c r="AD31" i="49"/>
  <c r="AD32" i="49"/>
  <c r="AD33" i="49"/>
  <c r="AD34" i="49"/>
  <c r="AD35" i="49"/>
  <c r="AD36" i="49"/>
  <c r="AD37" i="49"/>
  <c r="AD38" i="49"/>
  <c r="AD39" i="49"/>
  <c r="AD40" i="49"/>
  <c r="AD41" i="49"/>
  <c r="AD42" i="49"/>
  <c r="AD43" i="49"/>
  <c r="AD44" i="49"/>
  <c r="AD45" i="49"/>
  <c r="AD46" i="49"/>
  <c r="AD47" i="49"/>
  <c r="AD48" i="49"/>
  <c r="AD49" i="49"/>
  <c r="AD50" i="49"/>
  <c r="AD51" i="49"/>
  <c r="AD52" i="49"/>
  <c r="AD53" i="49"/>
  <c r="AD54" i="49"/>
  <c r="AD55" i="49"/>
  <c r="AD56" i="49"/>
  <c r="AD57" i="49"/>
  <c r="AD58" i="49"/>
  <c r="AD59" i="49"/>
  <c r="AD60" i="49"/>
  <c r="AD61" i="49"/>
  <c r="AD62" i="49"/>
  <c r="AD63" i="49"/>
  <c r="AD64" i="49"/>
  <c r="AD65" i="49"/>
  <c r="AD66" i="49"/>
  <c r="AD67" i="49"/>
  <c r="AD68" i="49"/>
  <c r="AD69" i="49"/>
  <c r="AD70" i="49"/>
  <c r="AD71" i="49"/>
  <c r="AD72" i="49"/>
  <c r="AD73" i="49"/>
  <c r="AD74" i="49"/>
  <c r="AD75" i="49"/>
  <c r="AD76" i="49"/>
  <c r="AD77" i="49"/>
  <c r="AD78" i="49"/>
  <c r="AD79" i="49"/>
  <c r="AD80" i="49"/>
  <c r="AD81" i="49"/>
  <c r="AA8" i="49"/>
  <c r="AC8" i="49" s="1"/>
  <c r="AA9" i="49"/>
  <c r="AC9" i="49" s="1"/>
  <c r="AA10" i="49"/>
  <c r="AC10" i="49" s="1"/>
  <c r="AA11" i="49"/>
  <c r="AC11" i="49" s="1"/>
  <c r="AA12" i="49"/>
  <c r="AC12" i="49" s="1"/>
  <c r="AA13" i="49"/>
  <c r="AC13" i="49" s="1"/>
  <c r="AA14" i="49"/>
  <c r="AC14" i="49" s="1"/>
  <c r="AA15" i="49"/>
  <c r="AC15" i="49" s="1"/>
  <c r="AA16" i="49"/>
  <c r="AC16" i="49" s="1"/>
  <c r="AA17" i="49"/>
  <c r="AC17" i="49" s="1"/>
  <c r="AA18" i="49"/>
  <c r="AC18" i="49" s="1"/>
  <c r="AA19" i="49"/>
  <c r="AC19" i="49" s="1"/>
  <c r="AA20" i="49"/>
  <c r="AC20" i="49" s="1"/>
  <c r="AA21" i="49"/>
  <c r="AC21" i="49" s="1"/>
  <c r="AA22" i="49"/>
  <c r="AC22" i="49" s="1"/>
  <c r="AA23" i="49"/>
  <c r="AC23" i="49" s="1"/>
  <c r="AA24" i="49"/>
  <c r="AC24" i="49" s="1"/>
  <c r="AA25" i="49"/>
  <c r="AC25" i="49" s="1"/>
  <c r="AA26" i="49"/>
  <c r="AC26" i="49" s="1"/>
  <c r="AA27" i="49"/>
  <c r="AC27" i="49" s="1"/>
  <c r="AA28" i="49"/>
  <c r="AC28" i="49" s="1"/>
  <c r="AA29" i="49"/>
  <c r="AC29" i="49" s="1"/>
  <c r="AA30" i="49"/>
  <c r="AC30" i="49" s="1"/>
  <c r="AA31" i="49"/>
  <c r="AC31" i="49" s="1"/>
  <c r="AA32" i="49"/>
  <c r="AC32" i="49" s="1"/>
  <c r="AA33" i="49"/>
  <c r="AC33" i="49" s="1"/>
  <c r="AA34" i="49"/>
  <c r="AC34" i="49" s="1"/>
  <c r="AA35" i="49"/>
  <c r="AC35" i="49" s="1"/>
  <c r="AA36" i="49"/>
  <c r="AC36" i="49" s="1"/>
  <c r="AA37" i="49"/>
  <c r="AC37" i="49" s="1"/>
  <c r="AA38" i="49"/>
  <c r="AC38" i="49" s="1"/>
  <c r="AA39" i="49"/>
  <c r="AC39" i="49" s="1"/>
  <c r="AA40" i="49"/>
  <c r="AC40" i="49" s="1"/>
  <c r="AA41" i="49"/>
  <c r="AC41" i="49" s="1"/>
  <c r="AA42" i="49"/>
  <c r="AC42" i="49" s="1"/>
  <c r="AA43" i="49"/>
  <c r="AC43" i="49" s="1"/>
  <c r="AA44" i="49"/>
  <c r="AC44" i="49" s="1"/>
  <c r="AA45" i="49"/>
  <c r="AC45" i="49" s="1"/>
  <c r="AA46" i="49"/>
  <c r="AC46" i="49" s="1"/>
  <c r="AA47" i="49"/>
  <c r="AC47" i="49" s="1"/>
  <c r="AA48" i="49"/>
  <c r="AC48" i="49" s="1"/>
  <c r="AA49" i="49"/>
  <c r="AC49" i="49" s="1"/>
  <c r="AA50" i="49"/>
  <c r="AC50" i="49" s="1"/>
  <c r="AA51" i="49"/>
  <c r="AC51" i="49" s="1"/>
  <c r="AA52" i="49"/>
  <c r="AC52" i="49" s="1"/>
  <c r="AA53" i="49"/>
  <c r="AC53" i="49" s="1"/>
  <c r="AA54" i="49"/>
  <c r="AC54" i="49" s="1"/>
  <c r="AA55" i="49"/>
  <c r="AC55" i="49" s="1"/>
  <c r="AA56" i="49"/>
  <c r="AC56" i="49" s="1"/>
  <c r="AA57" i="49"/>
  <c r="AC57" i="49" s="1"/>
  <c r="AA58" i="49"/>
  <c r="AC58" i="49" s="1"/>
  <c r="AA59" i="49"/>
  <c r="AC59" i="49" s="1"/>
  <c r="AA60" i="49"/>
  <c r="AC60" i="49" s="1"/>
  <c r="AA61" i="49"/>
  <c r="AC61" i="49" s="1"/>
  <c r="AA62" i="49"/>
  <c r="AC62" i="49" s="1"/>
  <c r="AA63" i="49"/>
  <c r="AC63" i="49" s="1"/>
  <c r="AA64" i="49"/>
  <c r="AC64" i="49" s="1"/>
  <c r="AA65" i="49"/>
  <c r="AC65" i="49" s="1"/>
  <c r="AA66" i="49"/>
  <c r="AC66" i="49" s="1"/>
  <c r="AA67" i="49"/>
  <c r="AC67" i="49" s="1"/>
  <c r="AA68" i="49"/>
  <c r="AC68" i="49" s="1"/>
  <c r="AA69" i="49"/>
  <c r="AC69" i="49" s="1"/>
  <c r="AA70" i="49"/>
  <c r="AC70" i="49" s="1"/>
  <c r="AA71" i="49"/>
  <c r="AC71" i="49" s="1"/>
  <c r="AA72" i="49"/>
  <c r="AC72" i="49" s="1"/>
  <c r="AA73" i="49"/>
  <c r="AC73" i="49" s="1"/>
  <c r="AA74" i="49"/>
  <c r="AC74" i="49" s="1"/>
  <c r="AA75" i="49"/>
  <c r="AC75" i="49" s="1"/>
  <c r="AA76" i="49"/>
  <c r="AC76" i="49" s="1"/>
  <c r="AA77" i="49"/>
  <c r="AC77" i="49" s="1"/>
  <c r="AA78" i="49"/>
  <c r="AC78" i="49" s="1"/>
  <c r="AA79" i="49"/>
  <c r="AC79" i="49" s="1"/>
  <c r="AA80" i="49"/>
  <c r="AC80" i="49" s="1"/>
  <c r="AC81" i="49"/>
  <c r="AA7" i="49"/>
  <c r="AC7" i="49" s="1"/>
  <c r="AD6" i="49"/>
  <c r="X82" i="49"/>
  <c r="X75" i="49"/>
  <c r="X76" i="49"/>
  <c r="X77" i="49"/>
  <c r="X78" i="49"/>
  <c r="X79" i="49"/>
  <c r="X80" i="49"/>
  <c r="X81" i="49"/>
  <c r="X63" i="49"/>
  <c r="X64" i="49"/>
  <c r="X65" i="49"/>
  <c r="X66" i="49"/>
  <c r="X67" i="49"/>
  <c r="X68" i="49"/>
  <c r="X69" i="49"/>
  <c r="X70" i="49"/>
  <c r="X71" i="49"/>
  <c r="X72" i="49"/>
  <c r="X73" i="49"/>
  <c r="X74" i="49"/>
  <c r="X55" i="49"/>
  <c r="X56" i="49"/>
  <c r="X57" i="49"/>
  <c r="X58" i="49"/>
  <c r="X59" i="49"/>
  <c r="X60" i="49"/>
  <c r="X61" i="49"/>
  <c r="X62" i="49"/>
  <c r="X42" i="49"/>
  <c r="X43" i="49"/>
  <c r="X44" i="49"/>
  <c r="X45" i="49"/>
  <c r="X46" i="49"/>
  <c r="X47" i="49"/>
  <c r="X48" i="49"/>
  <c r="X49" i="49"/>
  <c r="X50" i="49"/>
  <c r="X51" i="49"/>
  <c r="X52" i="49"/>
  <c r="X53" i="49"/>
  <c r="X54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29" i="49"/>
  <c r="X30" i="49"/>
  <c r="X31" i="49"/>
  <c r="X32" i="49"/>
  <c r="X33" i="49"/>
  <c r="X34" i="49"/>
  <c r="X35" i="49"/>
  <c r="X36" i="49"/>
  <c r="X37" i="49"/>
  <c r="X38" i="49"/>
  <c r="X39" i="49"/>
  <c r="X40" i="49"/>
  <c r="X41" i="49"/>
  <c r="X7" i="49"/>
  <c r="I14" i="11" l="1"/>
  <c r="AA82" i="49"/>
  <c r="AC82" i="49" s="1"/>
  <c r="AD82" i="49"/>
  <c r="L163" i="75"/>
  <c r="L154" i="75"/>
  <c r="L155" i="75"/>
  <c r="L156" i="75"/>
  <c r="L157" i="75"/>
  <c r="L158" i="75"/>
  <c r="L159" i="75"/>
  <c r="L160" i="75"/>
  <c r="L161" i="75"/>
  <c r="L153" i="75"/>
  <c r="AF33" i="71" l="1"/>
  <c r="AF70" i="71" s="1"/>
  <c r="AF107" i="71" s="1"/>
  <c r="U33" i="71"/>
  <c r="U70" i="71" s="1"/>
  <c r="U107" i="71" s="1"/>
  <c r="AE9" i="7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P42" i="49"/>
  <c r="P41" i="49"/>
  <c r="P40" i="49"/>
  <c r="P39" i="49"/>
  <c r="P38" i="49"/>
  <c r="P37" i="49"/>
  <c r="P36" i="49"/>
  <c r="P33" i="49"/>
  <c r="P31" i="49"/>
  <c r="P30" i="49"/>
  <c r="P29" i="49"/>
  <c r="P28" i="49"/>
  <c r="P27" i="49"/>
  <c r="P26" i="49"/>
  <c r="P25" i="49"/>
  <c r="P24" i="49"/>
  <c r="P23" i="49"/>
  <c r="P22" i="49"/>
  <c r="P21" i="49"/>
  <c r="P20" i="49"/>
  <c r="P19" i="49"/>
  <c r="P18" i="49"/>
  <c r="P17" i="49"/>
  <c r="P16" i="49"/>
  <c r="P15" i="49"/>
  <c r="P14" i="49"/>
  <c r="P13" i="49"/>
  <c r="P12" i="49"/>
  <c r="P11" i="49"/>
  <c r="P10" i="49"/>
  <c r="P9" i="49"/>
  <c r="P8" i="49"/>
  <c r="P7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V31" i="49"/>
  <c r="S31" i="49"/>
  <c r="U31" i="49" s="1"/>
  <c r="V30" i="49"/>
  <c r="S30" i="49"/>
  <c r="U30" i="49" s="1"/>
  <c r="V29" i="49"/>
  <c r="S29" i="49"/>
  <c r="U29" i="49" s="1"/>
  <c r="V28" i="49"/>
  <c r="S28" i="49"/>
  <c r="U28" i="49" s="1"/>
  <c r="V27" i="49"/>
  <c r="S27" i="49"/>
  <c r="U27" i="49" s="1"/>
  <c r="V26" i="49"/>
  <c r="S26" i="49"/>
  <c r="U26" i="49" s="1"/>
  <c r="V25" i="49"/>
  <c r="S25" i="49"/>
  <c r="U25" i="49" s="1"/>
  <c r="V24" i="49"/>
  <c r="S24" i="49"/>
  <c r="U24" i="49" s="1"/>
  <c r="V23" i="49"/>
  <c r="S23" i="49"/>
  <c r="U23" i="49" s="1"/>
  <c r="V22" i="49"/>
  <c r="S22" i="49"/>
  <c r="U22" i="49" s="1"/>
  <c r="V21" i="49"/>
  <c r="S21" i="49"/>
  <c r="U21" i="49" s="1"/>
  <c r="V20" i="49"/>
  <c r="S20" i="49"/>
  <c r="U20" i="49" s="1"/>
  <c r="V19" i="49"/>
  <c r="S19" i="49"/>
  <c r="U19" i="49" s="1"/>
  <c r="V18" i="49"/>
  <c r="S18" i="49"/>
  <c r="U18" i="49" s="1"/>
  <c r="V17" i="49"/>
  <c r="S17" i="49"/>
  <c r="U17" i="49" s="1"/>
  <c r="V16" i="49"/>
  <c r="S16" i="49"/>
  <c r="U16" i="49" s="1"/>
  <c r="V15" i="49"/>
  <c r="S15" i="49"/>
  <c r="U15" i="49" s="1"/>
  <c r="V14" i="49"/>
  <c r="S14" i="49"/>
  <c r="U14" i="49" s="1"/>
  <c r="V13" i="49"/>
  <c r="S13" i="49"/>
  <c r="U13" i="49" s="1"/>
  <c r="V12" i="49"/>
  <c r="S12" i="49"/>
  <c r="U12" i="49" s="1"/>
  <c r="V11" i="49"/>
  <c r="S11" i="49"/>
  <c r="U11" i="49" s="1"/>
  <c r="V10" i="49"/>
  <c r="S10" i="49"/>
  <c r="U10" i="49" s="1"/>
  <c r="V9" i="49"/>
  <c r="S9" i="49"/>
  <c r="U9" i="49" s="1"/>
  <c r="V8" i="49"/>
  <c r="S8" i="49"/>
  <c r="U8" i="49" s="1"/>
  <c r="V7" i="49"/>
  <c r="S7" i="49"/>
  <c r="U7" i="49" s="1"/>
  <c r="V6" i="49"/>
  <c r="U6" i="49"/>
  <c r="T6" i="49"/>
  <c r="S6" i="49"/>
  <c r="R6" i="49"/>
  <c r="Q6" i="49"/>
  <c r="T8" i="16" l="1" a="1"/>
  <c r="AE8" i="16" a="1"/>
  <c r="T35" i="71"/>
  <c r="AE35" i="71"/>
  <c r="V33" i="49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E8" i="16" l="1"/>
  <c r="AE9" i="16"/>
  <c r="AE15" i="16"/>
  <c r="AE12" i="16"/>
  <c r="AE16" i="16"/>
  <c r="AE14" i="16"/>
  <c r="AE13" i="16"/>
  <c r="AE11" i="16"/>
  <c r="AE10" i="16"/>
  <c r="T8" i="16"/>
  <c r="T14" i="16"/>
  <c r="T15" i="16"/>
  <c r="T13" i="16"/>
  <c r="T12" i="16"/>
  <c r="T10" i="16"/>
  <c r="T11" i="16"/>
  <c r="T9" i="16"/>
  <c r="T16" i="16"/>
  <c r="AB180" i="7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I178" i="71" s="1"/>
  <c r="N9" i="75" s="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78" i="71"/>
  <c r="AD178" i="71"/>
  <c r="AE178" i="71"/>
  <c r="S178" i="71"/>
  <c r="H178" i="71"/>
  <c r="M9" i="75" s="1"/>
  <c r="H177" i="71"/>
  <c r="M10" i="75" s="1"/>
  <c r="M81" i="75"/>
  <c r="A80" i="75" s="1"/>
  <c r="S157" i="71"/>
  <c r="S171" i="71"/>
  <c r="S156" i="71"/>
  <c r="I168" i="71"/>
  <c r="N27" i="75" s="1"/>
  <c r="AD165" i="71"/>
  <c r="AD177" i="71"/>
  <c r="I167" i="71"/>
  <c r="N28" i="75" s="1"/>
  <c r="S162" i="71"/>
  <c r="S174" i="71"/>
  <c r="AD159" i="71"/>
  <c r="AD171" i="71"/>
  <c r="AD168" i="71"/>
  <c r="H154" i="71"/>
  <c r="M49" i="75" s="1"/>
  <c r="I175" i="71"/>
  <c r="N14" i="75" s="1"/>
  <c r="I163" i="71"/>
  <c r="N36" i="75" s="1"/>
  <c r="I156" i="71"/>
  <c r="N45" i="75" s="1"/>
  <c r="S153" i="71"/>
  <c r="I155" i="71"/>
  <c r="N46" i="75" s="1"/>
  <c r="S159" i="71"/>
  <c r="S165" i="71"/>
  <c r="AD156" i="71"/>
  <c r="AD162" i="71"/>
  <c r="T180" i="71"/>
  <c r="AD174" i="71"/>
  <c r="H158" i="71"/>
  <c r="M43" i="75" s="1"/>
  <c r="H176" i="71"/>
  <c r="M13" i="75" s="1"/>
  <c r="S168" i="71"/>
  <c r="I157" i="71"/>
  <c r="N44" i="75" s="1"/>
  <c r="H164" i="71"/>
  <c r="M33" i="75" s="1"/>
  <c r="T176" i="71"/>
  <c r="S154" i="71"/>
  <c r="H165" i="71"/>
  <c r="M32" i="75" s="1"/>
  <c r="I153" i="71"/>
  <c r="N50" i="75" s="1"/>
  <c r="AD153" i="7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I160" i="71"/>
  <c r="N39" i="75" s="1"/>
  <c r="H168" i="71"/>
  <c r="M27" i="75" s="1"/>
  <c r="H156" i="71"/>
  <c r="M45" i="75" s="1"/>
  <c r="I171" i="71"/>
  <c r="N22" i="75" s="1"/>
  <c r="I159" i="71"/>
  <c r="N40" i="75" s="1"/>
  <c r="H153" i="71"/>
  <c r="M5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74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0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N21" i="75" l="1"/>
  <c r="M21" i="75"/>
  <c r="Z18" i="109"/>
  <c r="AE18" i="109"/>
  <c r="U18" i="109"/>
  <c r="B9" i="103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U18" i="109" l="1"/>
  <c r="AP18" i="109"/>
  <c r="AP34" i="109" s="1"/>
  <c r="AK18" i="109"/>
  <c r="AK33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P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U36" i="109"/>
  <c r="AT36" i="109"/>
  <c r="AS36" i="109"/>
  <c r="AR36" i="109"/>
  <c r="AP36" i="109"/>
  <c r="AO36" i="109"/>
  <c r="AN36" i="109"/>
  <c r="AM36" i="109"/>
  <c r="AJ36" i="109"/>
  <c r="AI36" i="109"/>
  <c r="AH36" i="109"/>
  <c r="AU34" i="109"/>
  <c r="AT34" i="109"/>
  <c r="AS34" i="109"/>
  <c r="AR34" i="109"/>
  <c r="AO34" i="109"/>
  <c r="AN34" i="109"/>
  <c r="AM34" i="109"/>
  <c r="AJ34" i="109"/>
  <c r="AI34" i="109"/>
  <c r="AH34" i="109"/>
  <c r="AU33" i="109"/>
  <c r="AT33" i="109"/>
  <c r="AS33" i="109"/>
  <c r="AR33" i="109"/>
  <c r="AO33" i="109"/>
  <c r="AN33" i="109"/>
  <c r="AM33" i="109"/>
  <c r="AJ33" i="109"/>
  <c r="AI33" i="109"/>
  <c r="AH33" i="109"/>
  <c r="AU32" i="109"/>
  <c r="AT32" i="109"/>
  <c r="AS32" i="109"/>
  <c r="AR32" i="109"/>
  <c r="AP32" i="109"/>
  <c r="AO32" i="109"/>
  <c r="AN32" i="109"/>
  <c r="AM32" i="109"/>
  <c r="AJ32" i="109"/>
  <c r="AI32" i="109"/>
  <c r="AH32" i="109"/>
  <c r="AU31" i="109"/>
  <c r="AT31" i="109"/>
  <c r="AS31" i="109"/>
  <c r="AR31" i="109"/>
  <c r="AO31" i="109"/>
  <c r="AN31" i="109"/>
  <c r="AM31" i="109"/>
  <c r="AJ31" i="109"/>
  <c r="AI31" i="109"/>
  <c r="AH31" i="109"/>
  <c r="AU30" i="109"/>
  <c r="AT30" i="109"/>
  <c r="AS30" i="109"/>
  <c r="AR30" i="109"/>
  <c r="AP30" i="109"/>
  <c r="AO30" i="109"/>
  <c r="AN30" i="109"/>
  <c r="AM30" i="109"/>
  <c r="AJ30" i="109"/>
  <c r="AI30" i="109"/>
  <c r="AH30" i="109"/>
  <c r="AU29" i="109"/>
  <c r="AT29" i="109"/>
  <c r="AS29" i="109"/>
  <c r="AR29" i="109"/>
  <c r="AP29" i="109"/>
  <c r="AO29" i="109"/>
  <c r="AN29" i="109"/>
  <c r="AM29" i="109"/>
  <c r="AJ29" i="109"/>
  <c r="AI29" i="109"/>
  <c r="AH29" i="109"/>
  <c r="AU28" i="109"/>
  <c r="AT28" i="109"/>
  <c r="AS28" i="109"/>
  <c r="AR28" i="109"/>
  <c r="AO28" i="109"/>
  <c r="AN28" i="109"/>
  <c r="AM28" i="109"/>
  <c r="AJ28" i="109"/>
  <c r="AI28" i="109"/>
  <c r="AH28" i="109"/>
  <c r="AU27" i="109"/>
  <c r="AT27" i="109"/>
  <c r="AS27" i="109"/>
  <c r="AR27" i="109"/>
  <c r="AP27" i="109"/>
  <c r="AO27" i="109"/>
  <c r="AN27" i="109"/>
  <c r="AM27" i="109"/>
  <c r="AJ27" i="109"/>
  <c r="AI27" i="109"/>
  <c r="AH27" i="109"/>
  <c r="AU26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Q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W46" i="109"/>
  <c r="P35" i="108" s="1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AB32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O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P3" i="108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E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45" i="109" s="1"/>
  <c r="A10" i="109"/>
  <c r="Q46" i="109" s="1"/>
  <c r="A11" i="109"/>
  <c r="AG29" i="109" s="1"/>
  <c r="A12" i="109"/>
  <c r="AG48" i="109" s="1"/>
  <c r="A13" i="109"/>
  <c r="Q49" i="109" s="1"/>
  <c r="A14" i="109"/>
  <c r="AG50" i="109" s="1"/>
  <c r="A15" i="109"/>
  <c r="AG51" i="109" s="1"/>
  <c r="A16" i="109"/>
  <c r="AG52" i="109" s="1"/>
  <c r="A18" i="109"/>
  <c r="AG54" i="109" s="1"/>
  <c r="N1" i="108"/>
  <c r="M38" i="108"/>
  <c r="M19" i="108"/>
  <c r="M13" i="108"/>
  <c r="M43" i="108" s="1"/>
  <c r="M11" i="108"/>
  <c r="M41" i="108" s="1"/>
  <c r="M10" i="108"/>
  <c r="M25" i="108" s="1"/>
  <c r="M9" i="108"/>
  <c r="M24" i="108" s="1"/>
  <c r="M8" i="108"/>
  <c r="M23" i="108" s="1"/>
  <c r="M7" i="108"/>
  <c r="M22" i="108" s="1"/>
  <c r="M6" i="108"/>
  <c r="M36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131" i="71" s="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E101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Z91" i="71"/>
  <c r="Y91" i="71"/>
  <c r="X91" i="71"/>
  <c r="AB90" i="71"/>
  <c r="AA90" i="71"/>
  <c r="Z90" i="71"/>
  <c r="Y90" i="71"/>
  <c r="X90" i="71"/>
  <c r="W90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W51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D69" i="71" s="1"/>
  <c r="AD106" i="71" s="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E63" i="71"/>
  <c r="AD26" i="71"/>
  <c r="AF26" i="71" s="1"/>
  <c r="AF63" i="71" s="1"/>
  <c r="AF100" i="71" s="1"/>
  <c r="AE62" i="71"/>
  <c r="AD25" i="71"/>
  <c r="AF25" i="71" s="1"/>
  <c r="AF62" i="71" s="1"/>
  <c r="AF99" i="71" s="1"/>
  <c r="AE98" i="71"/>
  <c r="AD24" i="71"/>
  <c r="AD61" i="71" s="1"/>
  <c r="AD98" i="71" s="1"/>
  <c r="AE60" i="71"/>
  <c r="AD23" i="71"/>
  <c r="AE59" i="71"/>
  <c r="AD22" i="71"/>
  <c r="AD59" i="71" s="1"/>
  <c r="AD96" i="71" s="1"/>
  <c r="AE58" i="71"/>
  <c r="AD21" i="71"/>
  <c r="AD58" i="71" s="1"/>
  <c r="AD95" i="71" s="1"/>
  <c r="W95" i="71"/>
  <c r="AE94" i="71"/>
  <c r="AD20" i="71"/>
  <c r="AE56" i="71"/>
  <c r="AD19" i="71"/>
  <c r="AD56" i="71" s="1"/>
  <c r="AD93" i="71" s="1"/>
  <c r="AE55" i="71"/>
  <c r="AD18" i="7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E51" i="71"/>
  <c r="AD14" i="71"/>
  <c r="AF14" i="71" s="1"/>
  <c r="AF51" i="71" s="1"/>
  <c r="AF88" i="71" s="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Q89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63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T98" i="71"/>
  <c r="S24" i="7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L95" i="7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Z79" i="16" s="1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81" i="16" s="1"/>
  <c r="L10" i="16"/>
  <c r="L82" i="16" s="1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O54" i="109" l="1"/>
  <c r="W1" i="16"/>
  <c r="A1" i="108"/>
  <c r="A79" i="108"/>
  <c r="A40" i="108"/>
  <c r="AP33" i="109"/>
  <c r="AP54" i="109"/>
  <c r="AP28" i="109"/>
  <c r="AP31" i="109"/>
  <c r="O34" i="109"/>
  <c r="M79" i="16"/>
  <c r="W39" i="16"/>
  <c r="L57" i="71"/>
  <c r="L131" i="71"/>
  <c r="W87" i="71"/>
  <c r="L68" i="71"/>
  <c r="W63" i="71"/>
  <c r="M35" i="108"/>
  <c r="W88" i="71"/>
  <c r="W99" i="71"/>
  <c r="W100" i="71"/>
  <c r="M28" i="108"/>
  <c r="Q47" i="109"/>
  <c r="W125" i="71"/>
  <c r="M26" i="108"/>
  <c r="Q33" i="109"/>
  <c r="L87" i="71"/>
  <c r="L56" i="71"/>
  <c r="M21" i="108"/>
  <c r="Q44" i="109"/>
  <c r="AG30" i="109"/>
  <c r="AG31" i="109"/>
  <c r="AG32" i="109"/>
  <c r="AG33" i="109"/>
  <c r="AG34" i="109"/>
  <c r="W137" i="71"/>
  <c r="Q30" i="109"/>
  <c r="AG27" i="109"/>
  <c r="AG28" i="109"/>
  <c r="AG44" i="109"/>
  <c r="L99" i="71"/>
  <c r="Q27" i="109"/>
  <c r="Q54" i="109"/>
  <c r="L100" i="71"/>
  <c r="L171" i="71"/>
  <c r="W65" i="71"/>
  <c r="W102" i="71"/>
  <c r="W127" i="71"/>
  <c r="M33" i="108"/>
  <c r="Q26" i="109"/>
  <c r="Q29" i="109"/>
  <c r="Q32" i="109"/>
  <c r="Q36" i="109"/>
  <c r="AG45" i="109"/>
  <c r="W52" i="71"/>
  <c r="AG46" i="109"/>
  <c r="L126" i="71"/>
  <c r="L52" i="71"/>
  <c r="L135" i="71"/>
  <c r="L169" i="71"/>
  <c r="L123" i="71"/>
  <c r="L157" i="71"/>
  <c r="W98" i="71"/>
  <c r="W169" i="71"/>
  <c r="W49" i="71"/>
  <c r="W157" i="71"/>
  <c r="AG47" i="109"/>
  <c r="L134" i="71"/>
  <c r="L168" i="71"/>
  <c r="L48" i="71"/>
  <c r="L156" i="71"/>
  <c r="W126" i="71"/>
  <c r="W134" i="71"/>
  <c r="W168" i="71"/>
  <c r="W122" i="71"/>
  <c r="W156" i="71"/>
  <c r="M40" i="108"/>
  <c r="Q48" i="109"/>
  <c r="Q51" i="109"/>
  <c r="L96" i="71"/>
  <c r="L167" i="71"/>
  <c r="L84" i="71"/>
  <c r="L155" i="71"/>
  <c r="W133" i="71"/>
  <c r="W167" i="71"/>
  <c r="W121" i="71"/>
  <c r="W155" i="71"/>
  <c r="M39" i="108"/>
  <c r="Q28" i="109"/>
  <c r="Q31" i="109"/>
  <c r="Q34" i="109"/>
  <c r="AG49" i="109"/>
  <c r="L64" i="71"/>
  <c r="L45" i="71"/>
  <c r="L153" i="71"/>
  <c r="L83" i="71"/>
  <c r="L154" i="71"/>
  <c r="W64" i="71"/>
  <c r="W119" i="71"/>
  <c r="W153" i="71"/>
  <c r="L53" i="71"/>
  <c r="L161" i="71"/>
  <c r="L65" i="71"/>
  <c r="L143" i="71"/>
  <c r="L177" i="71"/>
  <c r="L109" i="71"/>
  <c r="L180" i="71"/>
  <c r="W53" i="71"/>
  <c r="W135" i="71"/>
  <c r="W106" i="71"/>
  <c r="W177" i="71"/>
  <c r="W57" i="71"/>
  <c r="W165" i="71"/>
  <c r="W109" i="71"/>
  <c r="W180" i="71"/>
  <c r="M37" i="108"/>
  <c r="W68" i="71"/>
  <c r="W176" i="71"/>
  <c r="W56" i="71"/>
  <c r="W164" i="71"/>
  <c r="Q52" i="109"/>
  <c r="L138" i="71"/>
  <c r="L67" i="71"/>
  <c r="L175" i="71"/>
  <c r="L55" i="71"/>
  <c r="L163" i="71"/>
  <c r="W141" i="71"/>
  <c r="W175" i="71"/>
  <c r="W55" i="71"/>
  <c r="W163" i="71"/>
  <c r="AG36" i="109"/>
  <c r="L66" i="71"/>
  <c r="L174" i="71"/>
  <c r="L54" i="71"/>
  <c r="L162" i="71"/>
  <c r="W138" i="71"/>
  <c r="W103" i="71"/>
  <c r="W174" i="71"/>
  <c r="O31" i="109"/>
  <c r="AK26" i="109"/>
  <c r="AK31" i="109"/>
  <c r="AK32" i="109"/>
  <c r="AK34" i="109"/>
  <c r="AK27" i="109"/>
  <c r="AU54" i="109"/>
  <c r="AK29" i="109"/>
  <c r="AF12" i="71"/>
  <c r="AF49" i="71" s="1"/>
  <c r="AF86" i="71" s="1"/>
  <c r="AK36" i="109"/>
  <c r="AK54" i="109"/>
  <c r="AK28" i="109"/>
  <c r="AK30" i="109"/>
  <c r="AF9" i="71"/>
  <c r="AF46" i="71" s="1"/>
  <c r="AF83" i="71" s="1"/>
  <c r="AF18" i="71"/>
  <c r="AF55" i="71" s="1"/>
  <c r="AF92" i="71" s="1"/>
  <c r="AF23" i="71"/>
  <c r="AF60" i="71" s="1"/>
  <c r="AF97" i="71" s="1"/>
  <c r="AE85" i="71"/>
  <c r="AE49" i="71"/>
  <c r="AE57" i="71"/>
  <c r="AF11" i="71"/>
  <c r="AF48" i="71" s="1"/>
  <c r="AF85" i="71" s="1"/>
  <c r="AF15" i="71"/>
  <c r="AF52" i="71" s="1"/>
  <c r="AF89" i="71" s="1"/>
  <c r="AF20" i="71"/>
  <c r="AF57" i="71" s="1"/>
  <c r="AF94" i="71" s="1"/>
  <c r="AF29" i="71"/>
  <c r="AF66" i="71" s="1"/>
  <c r="AF103" i="71" s="1"/>
  <c r="AE65" i="71"/>
  <c r="AE97" i="71"/>
  <c r="AE45" i="71"/>
  <c r="AE93" i="71"/>
  <c r="AF30" i="71"/>
  <c r="AF67" i="71" s="1"/>
  <c r="AF104" i="71" s="1"/>
  <c r="AE69" i="71"/>
  <c r="AF8" i="71"/>
  <c r="AF21" i="71"/>
  <c r="AF58" i="71" s="1"/>
  <c r="AF95" i="71" s="1"/>
  <c r="AE89" i="71"/>
  <c r="AE53" i="71"/>
  <c r="AE61" i="71"/>
  <c r="U24" i="71"/>
  <c r="U61" i="71" s="1"/>
  <c r="U98" i="71" s="1"/>
  <c r="AF27" i="71"/>
  <c r="AF64" i="71" s="1"/>
  <c r="AF101" i="71" s="1"/>
  <c r="AF32" i="71"/>
  <c r="AF69" i="71" s="1"/>
  <c r="AF106" i="71" s="1"/>
  <c r="AE105" i="71"/>
  <c r="T93" i="71"/>
  <c r="U31" i="71"/>
  <c r="U68" i="71" s="1"/>
  <c r="U105" i="71" s="1"/>
  <c r="T89" i="71"/>
  <c r="T105" i="71"/>
  <c r="T101" i="7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87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X47" i="71"/>
  <c r="X55" i="71"/>
  <c r="Z109" i="71"/>
  <c r="AA81" i="16"/>
  <c r="AD72" i="7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A47" i="16" l="1"/>
  <c r="AF45" i="71"/>
  <c r="AF82" i="71" s="1"/>
  <c r="AF35" i="71"/>
  <c r="AF72" i="71" s="1"/>
  <c r="AF109" i="71" s="1"/>
  <c r="U35" i="71"/>
  <c r="U72" i="71" s="1"/>
  <c r="U109" i="71" s="1"/>
  <c r="X48" i="16"/>
  <c r="Z47" i="16"/>
  <c r="AD83" i="16"/>
  <c r="X71" i="16"/>
  <c r="X49" i="16"/>
  <c r="Z67" i="16"/>
  <c r="X53" i="16"/>
  <c r="AA49" i="16"/>
  <c r="AB52" i="16"/>
  <c r="AE86" i="16" s="1"/>
  <c r="Z54" i="16"/>
  <c r="Z52" i="16"/>
  <c r="X46" i="16"/>
  <c r="AA88" i="16"/>
  <c r="X54" i="16"/>
  <c r="Y54" i="16"/>
  <c r="AA52" i="16"/>
  <c r="AD84" i="16"/>
  <c r="P51" i="16"/>
  <c r="AA50" i="16"/>
  <c r="X50" i="16"/>
  <c r="Y49" i="16"/>
  <c r="M48" i="16"/>
  <c r="Y51" i="16"/>
  <c r="S82" i="16"/>
  <c r="AB46" i="16"/>
  <c r="AE80" i="16" s="1"/>
  <c r="Z48" i="16"/>
  <c r="N47" i="16"/>
  <c r="Y53" i="16"/>
  <c r="Z46" i="16"/>
  <c r="AE109" i="71"/>
  <c r="T27" i="16"/>
  <c r="T28" i="16"/>
  <c r="T34" i="16"/>
  <c r="T31" i="16"/>
  <c r="T33" i="16"/>
  <c r="T30" i="16"/>
  <c r="T32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AD85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P48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D27" i="16" s="1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0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Z33" i="16" l="1"/>
  <c r="Z27" i="16"/>
  <c r="Z29" i="16"/>
  <c r="AB32" i="16"/>
  <c r="U16" i="16"/>
  <c r="U34" i="16" s="1"/>
  <c r="AF12" i="16"/>
  <c r="AF30" i="16" s="1"/>
  <c r="AB29" i="16"/>
  <c r="AB31" i="16"/>
  <c r="Z31" i="16"/>
  <c r="AA28" i="16"/>
  <c r="AB33" i="16"/>
  <c r="Z28" i="16"/>
  <c r="AF15" i="16"/>
  <c r="AF33" i="16" s="1"/>
  <c r="AF14" i="16"/>
  <c r="AF32" i="16" s="1"/>
  <c r="U13" i="16"/>
  <c r="U31" i="16" s="1"/>
  <c r="T18" i="16"/>
  <c r="T36" i="16" s="1"/>
  <c r="U12" i="16"/>
  <c r="U30" i="16" s="1"/>
  <c r="U9" i="16"/>
  <c r="U27" i="16" s="1"/>
  <c r="U10" i="16"/>
  <c r="U28" i="16" s="1"/>
  <c r="T26" i="16"/>
  <c r="AF9" i="16"/>
  <c r="AF27" i="16" s="1"/>
  <c r="U15" i="16"/>
  <c r="U33" i="16" s="1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D33" i="105"/>
  <c r="L32" i="105"/>
  <c r="H32" i="105"/>
  <c r="U32" i="105" s="1"/>
  <c r="D32" i="105"/>
  <c r="T32" i="105" s="1"/>
  <c r="L31" i="105"/>
  <c r="H31" i="105"/>
  <c r="D31" i="105"/>
  <c r="L30" i="105"/>
  <c r="H30" i="105"/>
  <c r="D30" i="105"/>
  <c r="L29" i="105"/>
  <c r="H29" i="105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L24" i="105"/>
  <c r="H24" i="105"/>
  <c r="D24" i="105"/>
  <c r="L23" i="105"/>
  <c r="H23" i="105"/>
  <c r="D23" i="105"/>
  <c r="L22" i="105"/>
  <c r="H22" i="105"/>
  <c r="D22" i="105"/>
  <c r="T22" i="105" s="1"/>
  <c r="L21" i="105"/>
  <c r="H21" i="105"/>
  <c r="D21" i="105"/>
  <c r="T21" i="105" s="1"/>
  <c r="L20" i="105"/>
  <c r="H20" i="105"/>
  <c r="D20" i="105"/>
  <c r="L19" i="105"/>
  <c r="H19" i="105"/>
  <c r="D19" i="105"/>
  <c r="L18" i="105"/>
  <c r="H18" i="105"/>
  <c r="U18" i="105" s="1"/>
  <c r="D18" i="105"/>
  <c r="L17" i="105"/>
  <c r="H17" i="105"/>
  <c r="D17" i="105"/>
  <c r="L16" i="105"/>
  <c r="H16" i="105"/>
  <c r="D16" i="105"/>
  <c r="T16" i="105" s="1"/>
  <c r="L15" i="105"/>
  <c r="H15" i="105"/>
  <c r="D15" i="105"/>
  <c r="L14" i="105"/>
  <c r="H14" i="105"/>
  <c r="D14" i="105"/>
  <c r="T14" i="105" s="1"/>
  <c r="L13" i="105"/>
  <c r="H13" i="105"/>
  <c r="D13" i="105"/>
  <c r="T13" i="105" s="1"/>
  <c r="L12" i="105"/>
  <c r="H12" i="105"/>
  <c r="D12" i="105"/>
  <c r="L11" i="105"/>
  <c r="H11" i="105"/>
  <c r="D11" i="105"/>
  <c r="L10" i="105"/>
  <c r="H10" i="105"/>
  <c r="U10" i="105" s="1"/>
  <c r="D10" i="105"/>
  <c r="L9" i="105"/>
  <c r="H9" i="105"/>
  <c r="D9" i="105"/>
  <c r="U7" i="105"/>
  <c r="T7" i="105"/>
  <c r="R7" i="105"/>
  <c r="Q7" i="105"/>
  <c r="U11" i="105" l="1"/>
  <c r="U30" i="105"/>
  <c r="U29" i="105"/>
  <c r="T33" i="105"/>
  <c r="U19" i="105"/>
  <c r="U27" i="105"/>
  <c r="T24" i="105"/>
  <c r="U13" i="105"/>
  <c r="U21" i="105"/>
  <c r="T10" i="105"/>
  <c r="U15" i="105"/>
  <c r="T18" i="105"/>
  <c r="U23" i="105"/>
  <c r="T26" i="105"/>
  <c r="T29" i="105"/>
  <c r="U14" i="105"/>
  <c r="T17" i="105"/>
  <c r="U22" i="105"/>
  <c r="T25" i="105"/>
  <c r="U33" i="105"/>
  <c r="L36" i="105"/>
  <c r="U12" i="105"/>
  <c r="T15" i="105"/>
  <c r="U20" i="105"/>
  <c r="T23" i="105"/>
  <c r="U31" i="105"/>
  <c r="T11" i="105"/>
  <c r="U16" i="105"/>
  <c r="T19" i="105"/>
  <c r="U24" i="105"/>
  <c r="T27" i="105"/>
  <c r="T30" i="105"/>
  <c r="T9" i="105"/>
  <c r="D36" i="105"/>
  <c r="U9" i="105"/>
  <c r="H36" i="105"/>
  <c r="T12" i="105"/>
  <c r="U17" i="105"/>
  <c r="T20" i="105"/>
  <c r="U25" i="105"/>
  <c r="T28" i="105"/>
  <c r="T31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C31" i="49"/>
  <c r="E31" i="49"/>
  <c r="E7" i="49"/>
  <c r="C7" i="49"/>
  <c r="B7" i="49"/>
  <c r="A1" i="104" l="1"/>
  <c r="G8" i="49"/>
  <c r="K8" i="49" a="1"/>
  <c r="K14" i="49" s="1"/>
  <c r="M8" i="49" a="1"/>
  <c r="M13" i="49" s="1"/>
  <c r="J8" i="49" a="1"/>
  <c r="J8" i="49" s="1"/>
  <c r="T36" i="105"/>
  <c r="U36" i="105"/>
  <c r="G7" i="49"/>
  <c r="F330" i="104"/>
  <c r="F329" i="104"/>
  <c r="D330" i="104"/>
  <c r="D329" i="104"/>
  <c r="B330" i="104"/>
  <c r="B329" i="104"/>
  <c r="B35" i="104"/>
  <c r="K15" i="49" l="1"/>
  <c r="M15" i="49"/>
  <c r="M16" i="49"/>
  <c r="K8" i="49"/>
  <c r="J14" i="49"/>
  <c r="J16" i="49"/>
  <c r="M8" i="49"/>
  <c r="J13" i="49"/>
  <c r="M14" i="49"/>
  <c r="M9" i="49"/>
  <c r="J10" i="49"/>
  <c r="K12" i="49"/>
  <c r="K9" i="49"/>
  <c r="K10" i="49"/>
  <c r="J11" i="49"/>
  <c r="K11" i="49"/>
  <c r="J9" i="49"/>
  <c r="M12" i="49"/>
  <c r="J12" i="49"/>
  <c r="K16" i="49"/>
  <c r="J15" i="49"/>
  <c r="M10" i="49"/>
  <c r="M11" i="49"/>
  <c r="K13" i="49"/>
  <c r="B30" i="104"/>
  <c r="O554" i="102" l="1"/>
  <c r="N564" i="102"/>
  <c r="X540" i="102"/>
  <c r="W540" i="102"/>
  <c r="V540" i="102"/>
  <c r="X539" i="102"/>
  <c r="W539" i="102"/>
  <c r="V539" i="102"/>
  <c r="S540" i="102"/>
  <c r="R540" i="102"/>
  <c r="Q540" i="102"/>
  <c r="S539" i="102"/>
  <c r="R539" i="102"/>
  <c r="Q539" i="102"/>
  <c r="N540" i="102"/>
  <c r="M540" i="102"/>
  <c r="L540" i="102"/>
  <c r="N539" i="102"/>
  <c r="M539" i="102"/>
  <c r="L539" i="102"/>
  <c r="I540" i="102"/>
  <c r="H540" i="102"/>
  <c r="G540" i="102"/>
  <c r="I539" i="102"/>
  <c r="H539" i="102"/>
  <c r="G539" i="102"/>
  <c r="B540" i="102"/>
  <c r="C540" i="102"/>
  <c r="D540" i="102"/>
  <c r="C539" i="102"/>
  <c r="D539" i="102"/>
  <c r="B539" i="102"/>
  <c r="X536" i="102"/>
  <c r="W536" i="102"/>
  <c r="V536" i="102"/>
  <c r="S536" i="102"/>
  <c r="R536" i="102"/>
  <c r="Q536" i="102"/>
  <c r="N536" i="102"/>
  <c r="M536" i="102"/>
  <c r="L536" i="102"/>
  <c r="I536" i="102"/>
  <c r="H536" i="102"/>
  <c r="G536" i="102"/>
  <c r="D536" i="102"/>
  <c r="C536" i="102"/>
  <c r="B536" i="102"/>
  <c r="Y535" i="102"/>
  <c r="T535" i="102"/>
  <c r="O535" i="102"/>
  <c r="J535" i="102"/>
  <c r="E535" i="102"/>
  <c r="Y534" i="102"/>
  <c r="T534" i="102"/>
  <c r="O534" i="102"/>
  <c r="J534" i="102"/>
  <c r="E534" i="102"/>
  <c r="X531" i="102"/>
  <c r="W531" i="102"/>
  <c r="V531" i="102"/>
  <c r="S531" i="102"/>
  <c r="R531" i="102"/>
  <c r="Q531" i="102"/>
  <c r="N531" i="102"/>
  <c r="M531" i="102"/>
  <c r="L531" i="102"/>
  <c r="I531" i="102"/>
  <c r="H531" i="102"/>
  <c r="G531" i="102"/>
  <c r="D531" i="102"/>
  <c r="C531" i="102"/>
  <c r="B531" i="102"/>
  <c r="Y530" i="102"/>
  <c r="T530" i="102"/>
  <c r="O530" i="102"/>
  <c r="J530" i="102"/>
  <c r="E530" i="102"/>
  <c r="Y529" i="102"/>
  <c r="T529" i="102"/>
  <c r="O529" i="102"/>
  <c r="J529" i="102"/>
  <c r="E529" i="102"/>
  <c r="X526" i="102"/>
  <c r="W526" i="102"/>
  <c r="V526" i="102"/>
  <c r="S526" i="102"/>
  <c r="R526" i="102"/>
  <c r="Q526" i="102"/>
  <c r="N526" i="102"/>
  <c r="M526" i="102"/>
  <c r="L526" i="102"/>
  <c r="I526" i="102"/>
  <c r="H526" i="102"/>
  <c r="G526" i="102"/>
  <c r="D526" i="102"/>
  <c r="C526" i="102"/>
  <c r="B526" i="102"/>
  <c r="Y525" i="102"/>
  <c r="T525" i="102"/>
  <c r="O525" i="102"/>
  <c r="J525" i="102"/>
  <c r="E525" i="102"/>
  <c r="Y524" i="102"/>
  <c r="T524" i="102"/>
  <c r="O524" i="102"/>
  <c r="J524" i="102"/>
  <c r="E524" i="102"/>
  <c r="X521" i="102"/>
  <c r="W521" i="102"/>
  <c r="V521" i="102"/>
  <c r="S521" i="102"/>
  <c r="R521" i="102"/>
  <c r="Q521" i="102"/>
  <c r="N521" i="102"/>
  <c r="M521" i="102"/>
  <c r="L521" i="102"/>
  <c r="I521" i="102"/>
  <c r="H521" i="102"/>
  <c r="G521" i="102"/>
  <c r="D521" i="102"/>
  <c r="C521" i="102"/>
  <c r="B521" i="102"/>
  <c r="Y520" i="102"/>
  <c r="T520" i="102"/>
  <c r="O520" i="102"/>
  <c r="J520" i="102"/>
  <c r="E520" i="102"/>
  <c r="Y519" i="102"/>
  <c r="T519" i="102"/>
  <c r="O519" i="102"/>
  <c r="J519" i="102"/>
  <c r="E519" i="102"/>
  <c r="X486" i="102"/>
  <c r="W486" i="102"/>
  <c r="V486" i="102"/>
  <c r="S486" i="102"/>
  <c r="R486" i="102"/>
  <c r="Q486" i="102"/>
  <c r="N486" i="102"/>
  <c r="M486" i="102"/>
  <c r="L486" i="102"/>
  <c r="I486" i="102"/>
  <c r="H486" i="102"/>
  <c r="G486" i="102"/>
  <c r="D486" i="102"/>
  <c r="C486" i="102"/>
  <c r="B486" i="102"/>
  <c r="Y485" i="102"/>
  <c r="T485" i="102"/>
  <c r="O485" i="102"/>
  <c r="J485" i="102"/>
  <c r="E485" i="102"/>
  <c r="Y484" i="102"/>
  <c r="T484" i="102"/>
  <c r="O484" i="102"/>
  <c r="J484" i="102"/>
  <c r="E484" i="102"/>
  <c r="X476" i="102"/>
  <c r="W476" i="102"/>
  <c r="V476" i="102"/>
  <c r="S476" i="102"/>
  <c r="R476" i="102"/>
  <c r="Q476" i="102"/>
  <c r="N476" i="102"/>
  <c r="M476" i="102"/>
  <c r="L476" i="102"/>
  <c r="I476" i="102"/>
  <c r="H476" i="102"/>
  <c r="G476" i="102"/>
  <c r="D476" i="102"/>
  <c r="C476" i="102"/>
  <c r="B476" i="102"/>
  <c r="Y475" i="102"/>
  <c r="T475" i="102"/>
  <c r="O475" i="102"/>
  <c r="J475" i="102"/>
  <c r="E475" i="102"/>
  <c r="Y474" i="102"/>
  <c r="T474" i="102"/>
  <c r="O474" i="102"/>
  <c r="J474" i="102"/>
  <c r="E474" i="102"/>
  <c r="X465" i="102"/>
  <c r="W465" i="102"/>
  <c r="V465" i="102"/>
  <c r="X464" i="102"/>
  <c r="W464" i="102"/>
  <c r="V464" i="102"/>
  <c r="S465" i="102"/>
  <c r="R465" i="102"/>
  <c r="Q465" i="102"/>
  <c r="S464" i="102"/>
  <c r="R464" i="102"/>
  <c r="Q464" i="102"/>
  <c r="N465" i="102"/>
  <c r="M465" i="102"/>
  <c r="L465" i="102"/>
  <c r="N464" i="102"/>
  <c r="M464" i="102"/>
  <c r="L464" i="102"/>
  <c r="I465" i="102"/>
  <c r="H465" i="102"/>
  <c r="G465" i="102"/>
  <c r="I464" i="102"/>
  <c r="H464" i="102"/>
  <c r="G464" i="102"/>
  <c r="B465" i="102"/>
  <c r="C465" i="102"/>
  <c r="D465" i="102"/>
  <c r="C464" i="102"/>
  <c r="D464" i="102"/>
  <c r="B464" i="102"/>
  <c r="X461" i="102"/>
  <c r="W461" i="102"/>
  <c r="V461" i="102"/>
  <c r="S461" i="102"/>
  <c r="R461" i="102"/>
  <c r="Q461" i="102"/>
  <c r="N461" i="102"/>
  <c r="M461" i="102"/>
  <c r="L461" i="102"/>
  <c r="I461" i="102"/>
  <c r="H461" i="102"/>
  <c r="G461" i="102"/>
  <c r="D461" i="102"/>
  <c r="C461" i="102"/>
  <c r="B461" i="102"/>
  <c r="Y460" i="102"/>
  <c r="T460" i="102"/>
  <c r="O460" i="102"/>
  <c r="J460" i="102"/>
  <c r="E460" i="102"/>
  <c r="Y459" i="102"/>
  <c r="T459" i="102"/>
  <c r="O459" i="102"/>
  <c r="J459" i="102"/>
  <c r="E459" i="102"/>
  <c r="X456" i="102"/>
  <c r="W456" i="102"/>
  <c r="V456" i="102"/>
  <c r="S456" i="102"/>
  <c r="R456" i="102"/>
  <c r="Q456" i="102"/>
  <c r="N456" i="102"/>
  <c r="M456" i="102"/>
  <c r="L456" i="102"/>
  <c r="I456" i="102"/>
  <c r="H456" i="102"/>
  <c r="G456" i="102"/>
  <c r="D456" i="102"/>
  <c r="C456" i="102"/>
  <c r="B456" i="102"/>
  <c r="Y455" i="102"/>
  <c r="T455" i="102"/>
  <c r="O455" i="102"/>
  <c r="J455" i="102"/>
  <c r="E455" i="102"/>
  <c r="Y454" i="102"/>
  <c r="T454" i="102"/>
  <c r="O454" i="102"/>
  <c r="J454" i="102"/>
  <c r="E454" i="102"/>
  <c r="X451" i="102"/>
  <c r="W451" i="102"/>
  <c r="V451" i="102"/>
  <c r="S451" i="102"/>
  <c r="R451" i="102"/>
  <c r="Q451" i="102"/>
  <c r="N451" i="102"/>
  <c r="M451" i="102"/>
  <c r="L451" i="102"/>
  <c r="I451" i="102"/>
  <c r="H451" i="102"/>
  <c r="G451" i="102"/>
  <c r="D451" i="102"/>
  <c r="C451" i="102"/>
  <c r="B451" i="102"/>
  <c r="Y450" i="102"/>
  <c r="T450" i="102"/>
  <c r="O450" i="102"/>
  <c r="J450" i="102"/>
  <c r="E450" i="102"/>
  <c r="Y449" i="102"/>
  <c r="T449" i="102"/>
  <c r="O449" i="102"/>
  <c r="J449" i="102"/>
  <c r="E449" i="102"/>
  <c r="X446" i="102"/>
  <c r="W446" i="102"/>
  <c r="V446" i="102"/>
  <c r="S446" i="102"/>
  <c r="R446" i="102"/>
  <c r="Q446" i="102"/>
  <c r="N446" i="102"/>
  <c r="M446" i="102"/>
  <c r="L446" i="102"/>
  <c r="I446" i="102"/>
  <c r="H446" i="102"/>
  <c r="G446" i="102"/>
  <c r="D446" i="102"/>
  <c r="C446" i="102"/>
  <c r="B446" i="102"/>
  <c r="Y445" i="102"/>
  <c r="T445" i="102"/>
  <c r="O445" i="102"/>
  <c r="J445" i="102"/>
  <c r="E445" i="102"/>
  <c r="Y444" i="102"/>
  <c r="T444" i="102"/>
  <c r="O444" i="102"/>
  <c r="J444" i="102"/>
  <c r="E444" i="102"/>
  <c r="X441" i="102"/>
  <c r="W441" i="102"/>
  <c r="V441" i="102"/>
  <c r="S441" i="102"/>
  <c r="R441" i="102"/>
  <c r="Q441" i="102"/>
  <c r="N441" i="102"/>
  <c r="M441" i="102"/>
  <c r="L441" i="102"/>
  <c r="I441" i="102"/>
  <c r="H441" i="102"/>
  <c r="G441" i="102"/>
  <c r="D441" i="102"/>
  <c r="C441" i="102"/>
  <c r="B441" i="102"/>
  <c r="Y440" i="102"/>
  <c r="T440" i="102"/>
  <c r="O440" i="102"/>
  <c r="J440" i="102"/>
  <c r="E440" i="102"/>
  <c r="Y439" i="102"/>
  <c r="T439" i="102"/>
  <c r="O439" i="102"/>
  <c r="J439" i="102"/>
  <c r="E439" i="102"/>
  <c r="X436" i="102"/>
  <c r="W436" i="102"/>
  <c r="V436" i="102"/>
  <c r="S436" i="102"/>
  <c r="R436" i="102"/>
  <c r="Q436" i="102"/>
  <c r="N436" i="102"/>
  <c r="M436" i="102"/>
  <c r="L436" i="102"/>
  <c r="I436" i="102"/>
  <c r="H436" i="102"/>
  <c r="G436" i="102"/>
  <c r="D436" i="102"/>
  <c r="C436" i="102"/>
  <c r="B436" i="102"/>
  <c r="Y435" i="102"/>
  <c r="T435" i="102"/>
  <c r="O435" i="102"/>
  <c r="J435" i="102"/>
  <c r="E435" i="102"/>
  <c r="Y434" i="102"/>
  <c r="T434" i="102"/>
  <c r="O434" i="102"/>
  <c r="J434" i="102"/>
  <c r="E434" i="102"/>
  <c r="X425" i="102"/>
  <c r="W425" i="102"/>
  <c r="V425" i="102"/>
  <c r="X424" i="102"/>
  <c r="W424" i="102"/>
  <c r="V424" i="102"/>
  <c r="S425" i="102"/>
  <c r="R425" i="102"/>
  <c r="Q425" i="102"/>
  <c r="S424" i="102"/>
  <c r="R424" i="102"/>
  <c r="Q424" i="102"/>
  <c r="N425" i="102"/>
  <c r="M425" i="102"/>
  <c r="L425" i="102"/>
  <c r="N424" i="102"/>
  <c r="M424" i="102"/>
  <c r="L424" i="102"/>
  <c r="I425" i="102"/>
  <c r="H425" i="102"/>
  <c r="G425" i="102"/>
  <c r="I424" i="102"/>
  <c r="H424" i="102"/>
  <c r="G424" i="102"/>
  <c r="B425" i="102"/>
  <c r="C425" i="102"/>
  <c r="D425" i="102"/>
  <c r="C424" i="102"/>
  <c r="D424" i="102"/>
  <c r="B424" i="102"/>
  <c r="X421" i="102"/>
  <c r="W421" i="102"/>
  <c r="V421" i="102"/>
  <c r="S421" i="102"/>
  <c r="R421" i="102"/>
  <c r="Q421" i="102"/>
  <c r="N421" i="102"/>
  <c r="M421" i="102"/>
  <c r="L421" i="102"/>
  <c r="I421" i="102"/>
  <c r="H421" i="102"/>
  <c r="G421" i="102"/>
  <c r="D421" i="102"/>
  <c r="C421" i="102"/>
  <c r="B421" i="102"/>
  <c r="Y420" i="102"/>
  <c r="T420" i="102"/>
  <c r="O420" i="102"/>
  <c r="J420" i="102"/>
  <c r="E420" i="102"/>
  <c r="Y419" i="102"/>
  <c r="T419" i="102"/>
  <c r="O419" i="102"/>
  <c r="J419" i="102"/>
  <c r="E419" i="102"/>
  <c r="X416" i="102"/>
  <c r="W416" i="102"/>
  <c r="V416" i="102"/>
  <c r="S416" i="102"/>
  <c r="R416" i="102"/>
  <c r="Q416" i="102"/>
  <c r="N416" i="102"/>
  <c r="M416" i="102"/>
  <c r="L416" i="102"/>
  <c r="I416" i="102"/>
  <c r="H416" i="102"/>
  <c r="G416" i="102"/>
  <c r="D416" i="102"/>
  <c r="C416" i="102"/>
  <c r="B416" i="102"/>
  <c r="Y415" i="102"/>
  <c r="T415" i="102"/>
  <c r="O415" i="102"/>
  <c r="J415" i="102"/>
  <c r="E415" i="102"/>
  <c r="Y414" i="102"/>
  <c r="T414" i="102"/>
  <c r="O414" i="102"/>
  <c r="J414" i="102"/>
  <c r="E414" i="102"/>
  <c r="X411" i="102"/>
  <c r="W411" i="102"/>
  <c r="V411" i="102"/>
  <c r="S411" i="102"/>
  <c r="R411" i="102"/>
  <c r="Q411" i="102"/>
  <c r="N411" i="102"/>
  <c r="M411" i="102"/>
  <c r="L411" i="102"/>
  <c r="I411" i="102"/>
  <c r="H411" i="102"/>
  <c r="G411" i="102"/>
  <c r="D411" i="102"/>
  <c r="C411" i="102"/>
  <c r="B411" i="102"/>
  <c r="Y410" i="102"/>
  <c r="T410" i="102"/>
  <c r="O410" i="102"/>
  <c r="J410" i="102"/>
  <c r="E410" i="102"/>
  <c r="Y409" i="102"/>
  <c r="T409" i="102"/>
  <c r="O409" i="102"/>
  <c r="J409" i="102"/>
  <c r="E409" i="102"/>
  <c r="X406" i="102"/>
  <c r="W406" i="102"/>
  <c r="V406" i="102"/>
  <c r="S406" i="102"/>
  <c r="R406" i="102"/>
  <c r="Q406" i="102"/>
  <c r="N406" i="102"/>
  <c r="M406" i="102"/>
  <c r="L406" i="102"/>
  <c r="I406" i="102"/>
  <c r="H406" i="102"/>
  <c r="G406" i="102"/>
  <c r="D406" i="102"/>
  <c r="C406" i="102"/>
  <c r="B406" i="102"/>
  <c r="Y405" i="102"/>
  <c r="T405" i="102"/>
  <c r="O405" i="102"/>
  <c r="J405" i="102"/>
  <c r="E405" i="102"/>
  <c r="Y404" i="102"/>
  <c r="T404" i="102"/>
  <c r="O404" i="102"/>
  <c r="J404" i="102"/>
  <c r="E404" i="102"/>
  <c r="X401" i="102"/>
  <c r="W401" i="102"/>
  <c r="V401" i="102"/>
  <c r="S401" i="102"/>
  <c r="R401" i="102"/>
  <c r="Q401" i="102"/>
  <c r="N401" i="102"/>
  <c r="M401" i="102"/>
  <c r="L401" i="102"/>
  <c r="I401" i="102"/>
  <c r="H401" i="102"/>
  <c r="G401" i="102"/>
  <c r="D401" i="102"/>
  <c r="C401" i="102"/>
  <c r="B401" i="102"/>
  <c r="Y400" i="102"/>
  <c r="T400" i="102"/>
  <c r="O400" i="102"/>
  <c r="J400" i="102"/>
  <c r="E400" i="102"/>
  <c r="Y399" i="102"/>
  <c r="T399" i="102"/>
  <c r="O399" i="102"/>
  <c r="J399" i="102"/>
  <c r="E399" i="102"/>
  <c r="X396" i="102"/>
  <c r="W396" i="102"/>
  <c r="V396" i="102"/>
  <c r="S396" i="102"/>
  <c r="R396" i="102"/>
  <c r="Q396" i="102"/>
  <c r="N396" i="102"/>
  <c r="M396" i="102"/>
  <c r="L396" i="102"/>
  <c r="I396" i="102"/>
  <c r="H396" i="102"/>
  <c r="G396" i="102"/>
  <c r="D396" i="102"/>
  <c r="C396" i="102"/>
  <c r="B396" i="102"/>
  <c r="Y395" i="102"/>
  <c r="T395" i="102"/>
  <c r="O395" i="102"/>
  <c r="J395" i="102"/>
  <c r="E395" i="102"/>
  <c r="Y394" i="102"/>
  <c r="T394" i="102"/>
  <c r="O394" i="102"/>
  <c r="J394" i="102"/>
  <c r="E394" i="102"/>
  <c r="X391" i="102"/>
  <c r="W391" i="102"/>
  <c r="V391" i="102"/>
  <c r="S391" i="102"/>
  <c r="R391" i="102"/>
  <c r="Q391" i="102"/>
  <c r="N391" i="102"/>
  <c r="M391" i="102"/>
  <c r="L391" i="102"/>
  <c r="I391" i="102"/>
  <c r="H391" i="102"/>
  <c r="G391" i="102"/>
  <c r="D391" i="102"/>
  <c r="C391" i="102"/>
  <c r="B391" i="102"/>
  <c r="Y390" i="102"/>
  <c r="T390" i="102"/>
  <c r="O390" i="102"/>
  <c r="J390" i="102"/>
  <c r="E390" i="102"/>
  <c r="Y389" i="102"/>
  <c r="T389" i="102"/>
  <c r="O389" i="102"/>
  <c r="J389" i="102"/>
  <c r="E389" i="102"/>
  <c r="E379" i="102"/>
  <c r="X381" i="102"/>
  <c r="W381" i="102"/>
  <c r="V381" i="102"/>
  <c r="S381" i="102"/>
  <c r="R381" i="102"/>
  <c r="Q381" i="102"/>
  <c r="N381" i="102"/>
  <c r="M381" i="102"/>
  <c r="L381" i="102"/>
  <c r="I381" i="102"/>
  <c r="H381" i="102"/>
  <c r="G381" i="102"/>
  <c r="D381" i="102"/>
  <c r="C381" i="102"/>
  <c r="B381" i="102"/>
  <c r="Y380" i="102"/>
  <c r="T380" i="102"/>
  <c r="O380" i="102"/>
  <c r="J380" i="102"/>
  <c r="E380" i="102"/>
  <c r="Y379" i="102"/>
  <c r="T379" i="102"/>
  <c r="O379" i="102"/>
  <c r="J379" i="102"/>
  <c r="X565" i="102"/>
  <c r="W565" i="102"/>
  <c r="V565" i="102"/>
  <c r="S565" i="102"/>
  <c r="R565" i="102"/>
  <c r="Q565" i="102"/>
  <c r="N565" i="102"/>
  <c r="M565" i="102"/>
  <c r="L565" i="102"/>
  <c r="I565" i="102"/>
  <c r="H565" i="102"/>
  <c r="G565" i="102"/>
  <c r="D565" i="102"/>
  <c r="C565" i="102"/>
  <c r="B565" i="102"/>
  <c r="X564" i="102"/>
  <c r="W564" i="102"/>
  <c r="V564" i="102"/>
  <c r="S564" i="102"/>
  <c r="R564" i="102"/>
  <c r="Q564" i="102"/>
  <c r="M564" i="102"/>
  <c r="L564" i="102"/>
  <c r="I564" i="102"/>
  <c r="H564" i="102"/>
  <c r="G564" i="102"/>
  <c r="D564" i="102"/>
  <c r="C564" i="102"/>
  <c r="B564" i="102"/>
  <c r="X561" i="102"/>
  <c r="W561" i="102"/>
  <c r="V561" i="102"/>
  <c r="S561" i="102"/>
  <c r="R561" i="102"/>
  <c r="Q561" i="102"/>
  <c r="N561" i="102"/>
  <c r="M561" i="102"/>
  <c r="L561" i="102"/>
  <c r="I561" i="102"/>
  <c r="H561" i="102"/>
  <c r="G561" i="102"/>
  <c r="D561" i="102"/>
  <c r="C561" i="102"/>
  <c r="B561" i="102"/>
  <c r="Y560" i="102"/>
  <c r="T560" i="102"/>
  <c r="O560" i="102"/>
  <c r="J560" i="102"/>
  <c r="E560" i="102"/>
  <c r="Y559" i="102"/>
  <c r="T559" i="102"/>
  <c r="O559" i="102"/>
  <c r="J559" i="102"/>
  <c r="E559" i="102"/>
  <c r="X556" i="102"/>
  <c r="W556" i="102"/>
  <c r="V556" i="102"/>
  <c r="S556" i="102"/>
  <c r="R556" i="102"/>
  <c r="Q556" i="102"/>
  <c r="N556" i="102"/>
  <c r="M556" i="102"/>
  <c r="L556" i="102"/>
  <c r="I556" i="102"/>
  <c r="H556" i="102"/>
  <c r="G556" i="102"/>
  <c r="D556" i="102"/>
  <c r="C556" i="102"/>
  <c r="B556" i="102"/>
  <c r="Y555" i="102"/>
  <c r="T555" i="102"/>
  <c r="O555" i="102"/>
  <c r="J555" i="102"/>
  <c r="E555" i="102"/>
  <c r="Y554" i="102"/>
  <c r="T554" i="102"/>
  <c r="J554" i="102"/>
  <c r="E554" i="102"/>
  <c r="X551" i="102"/>
  <c r="W551" i="102"/>
  <c r="V551" i="102"/>
  <c r="S551" i="102"/>
  <c r="R551" i="102"/>
  <c r="Q551" i="102"/>
  <c r="N551" i="102"/>
  <c r="M551" i="102"/>
  <c r="L551" i="102"/>
  <c r="I551" i="102"/>
  <c r="H551" i="102"/>
  <c r="G551" i="102"/>
  <c r="D551" i="102"/>
  <c r="C551" i="102"/>
  <c r="B551" i="102"/>
  <c r="Y550" i="102"/>
  <c r="T550" i="102"/>
  <c r="O550" i="102"/>
  <c r="J550" i="102"/>
  <c r="E550" i="102"/>
  <c r="Y549" i="102"/>
  <c r="T549" i="102"/>
  <c r="O549" i="102"/>
  <c r="J549" i="102"/>
  <c r="E549" i="102"/>
  <c r="X510" i="102"/>
  <c r="W510" i="102"/>
  <c r="V510" i="102"/>
  <c r="S510" i="102"/>
  <c r="R510" i="102"/>
  <c r="Q510" i="102"/>
  <c r="N510" i="102"/>
  <c r="M510" i="102"/>
  <c r="L510" i="102"/>
  <c r="I510" i="102"/>
  <c r="H510" i="102"/>
  <c r="G510" i="102"/>
  <c r="D510" i="102"/>
  <c r="C510" i="102"/>
  <c r="B510" i="102"/>
  <c r="X509" i="102"/>
  <c r="W509" i="102"/>
  <c r="V509" i="102"/>
  <c r="S509" i="102"/>
  <c r="R509" i="102"/>
  <c r="Q509" i="102"/>
  <c r="N509" i="102"/>
  <c r="M509" i="102"/>
  <c r="L509" i="102"/>
  <c r="I509" i="102"/>
  <c r="H509" i="102"/>
  <c r="G509" i="102"/>
  <c r="D509" i="102"/>
  <c r="C509" i="102"/>
  <c r="B509" i="102"/>
  <c r="X506" i="102"/>
  <c r="W506" i="102"/>
  <c r="V506" i="102"/>
  <c r="S506" i="102"/>
  <c r="R506" i="102"/>
  <c r="Q506" i="102"/>
  <c r="N506" i="102"/>
  <c r="M506" i="102"/>
  <c r="L506" i="102"/>
  <c r="I506" i="102"/>
  <c r="H506" i="102"/>
  <c r="G506" i="102"/>
  <c r="D506" i="102"/>
  <c r="C506" i="102"/>
  <c r="B506" i="102"/>
  <c r="Y505" i="102"/>
  <c r="T505" i="102"/>
  <c r="O505" i="102"/>
  <c r="J505" i="102"/>
  <c r="E505" i="102"/>
  <c r="Y504" i="102"/>
  <c r="T504" i="102"/>
  <c r="O504" i="102"/>
  <c r="J504" i="102"/>
  <c r="E504" i="102"/>
  <c r="X501" i="102"/>
  <c r="W501" i="102"/>
  <c r="V501" i="102"/>
  <c r="S501" i="102"/>
  <c r="R501" i="102"/>
  <c r="Q501" i="102"/>
  <c r="N501" i="102"/>
  <c r="M501" i="102"/>
  <c r="L501" i="102"/>
  <c r="I501" i="102"/>
  <c r="H501" i="102"/>
  <c r="G501" i="102"/>
  <c r="D501" i="102"/>
  <c r="C501" i="102"/>
  <c r="B501" i="102"/>
  <c r="Y500" i="102"/>
  <c r="T500" i="102"/>
  <c r="O500" i="102"/>
  <c r="J500" i="102"/>
  <c r="E500" i="102"/>
  <c r="Y499" i="102"/>
  <c r="T499" i="102"/>
  <c r="O499" i="102"/>
  <c r="J499" i="102"/>
  <c r="E499" i="102"/>
  <c r="X496" i="102"/>
  <c r="W496" i="102"/>
  <c r="V496" i="102"/>
  <c r="S496" i="102"/>
  <c r="R496" i="102"/>
  <c r="Q496" i="102"/>
  <c r="N496" i="102"/>
  <c r="M496" i="102"/>
  <c r="L496" i="102"/>
  <c r="I496" i="102"/>
  <c r="H496" i="102"/>
  <c r="G496" i="102"/>
  <c r="D496" i="102"/>
  <c r="C496" i="102"/>
  <c r="B496" i="102"/>
  <c r="Y495" i="102"/>
  <c r="T495" i="102"/>
  <c r="O495" i="102"/>
  <c r="J495" i="102"/>
  <c r="E495" i="102"/>
  <c r="Y494" i="102"/>
  <c r="T494" i="102"/>
  <c r="O494" i="102"/>
  <c r="J494" i="102"/>
  <c r="E494" i="102"/>
  <c r="X370" i="102"/>
  <c r="W370" i="102"/>
  <c r="V370" i="102"/>
  <c r="B313" i="104" s="1"/>
  <c r="S370" i="102"/>
  <c r="R370" i="102"/>
  <c r="Q370" i="102"/>
  <c r="N370" i="102"/>
  <c r="M370" i="102"/>
  <c r="L370" i="102"/>
  <c r="I370" i="102"/>
  <c r="H370" i="102"/>
  <c r="G370" i="102"/>
  <c r="D370" i="102"/>
  <c r="C370" i="102"/>
  <c r="B370" i="102"/>
  <c r="X369" i="102"/>
  <c r="W369" i="102"/>
  <c r="V369" i="102"/>
  <c r="S369" i="102"/>
  <c r="R369" i="102"/>
  <c r="Q369" i="102"/>
  <c r="N369" i="102"/>
  <c r="M369" i="102"/>
  <c r="L369" i="102"/>
  <c r="I369" i="102"/>
  <c r="H369" i="102"/>
  <c r="G369" i="102"/>
  <c r="D369" i="102"/>
  <c r="C369" i="102"/>
  <c r="B369" i="102"/>
  <c r="X366" i="102"/>
  <c r="W366" i="102"/>
  <c r="V366" i="102"/>
  <c r="S366" i="102"/>
  <c r="R366" i="102"/>
  <c r="Q366" i="102"/>
  <c r="N366" i="102"/>
  <c r="M366" i="102"/>
  <c r="L366" i="102"/>
  <c r="I366" i="102"/>
  <c r="H366" i="102"/>
  <c r="G366" i="102"/>
  <c r="D366" i="102"/>
  <c r="C366" i="102"/>
  <c r="B366" i="102"/>
  <c r="Y365" i="102"/>
  <c r="T365" i="102"/>
  <c r="O365" i="102"/>
  <c r="J365" i="102"/>
  <c r="E365" i="102"/>
  <c r="Y364" i="102"/>
  <c r="T364" i="102"/>
  <c r="O364" i="102"/>
  <c r="J364" i="102"/>
  <c r="E364" i="102"/>
  <c r="X361" i="102"/>
  <c r="W361" i="102"/>
  <c r="V361" i="102"/>
  <c r="S361" i="102"/>
  <c r="R361" i="102"/>
  <c r="Q361" i="102"/>
  <c r="N361" i="102"/>
  <c r="M361" i="102"/>
  <c r="L361" i="102"/>
  <c r="I361" i="102"/>
  <c r="H361" i="102"/>
  <c r="G361" i="102"/>
  <c r="D361" i="102"/>
  <c r="C361" i="102"/>
  <c r="B361" i="102"/>
  <c r="Y360" i="102"/>
  <c r="T360" i="102"/>
  <c r="O360" i="102"/>
  <c r="J360" i="102"/>
  <c r="E360" i="102"/>
  <c r="Y359" i="102"/>
  <c r="T359" i="102"/>
  <c r="O359" i="102"/>
  <c r="J359" i="102"/>
  <c r="E359" i="102"/>
  <c r="X356" i="102"/>
  <c r="W356" i="102"/>
  <c r="V356" i="102"/>
  <c r="S356" i="102"/>
  <c r="R356" i="102"/>
  <c r="Q356" i="102"/>
  <c r="N356" i="102"/>
  <c r="M356" i="102"/>
  <c r="L356" i="102"/>
  <c r="I356" i="102"/>
  <c r="H356" i="102"/>
  <c r="G356" i="102"/>
  <c r="D356" i="102"/>
  <c r="C356" i="102"/>
  <c r="B356" i="102"/>
  <c r="Y355" i="102"/>
  <c r="T355" i="102"/>
  <c r="O355" i="102"/>
  <c r="J355" i="102"/>
  <c r="E355" i="102"/>
  <c r="Y354" i="102"/>
  <c r="T354" i="102"/>
  <c r="O354" i="102"/>
  <c r="J354" i="102"/>
  <c r="E354" i="102"/>
  <c r="X345" i="102"/>
  <c r="W345" i="102"/>
  <c r="V345" i="102"/>
  <c r="S345" i="102"/>
  <c r="R345" i="102"/>
  <c r="Q345" i="102"/>
  <c r="N345" i="102"/>
  <c r="M345" i="102"/>
  <c r="L345" i="102"/>
  <c r="I345" i="102"/>
  <c r="H345" i="102"/>
  <c r="G345" i="102"/>
  <c r="D345" i="102"/>
  <c r="C345" i="102"/>
  <c r="B345" i="102"/>
  <c r="X344" i="102"/>
  <c r="W344" i="102"/>
  <c r="V344" i="102"/>
  <c r="S344" i="102"/>
  <c r="R344" i="102"/>
  <c r="Q344" i="102"/>
  <c r="N344" i="102"/>
  <c r="M344" i="102"/>
  <c r="L344" i="102"/>
  <c r="I344" i="102"/>
  <c r="H344" i="102"/>
  <c r="G344" i="102"/>
  <c r="D344" i="102"/>
  <c r="C344" i="102"/>
  <c r="B344" i="102"/>
  <c r="X341" i="102"/>
  <c r="W341" i="102"/>
  <c r="V341" i="102"/>
  <c r="S341" i="102"/>
  <c r="R341" i="102"/>
  <c r="Q341" i="102"/>
  <c r="N341" i="102"/>
  <c r="M341" i="102"/>
  <c r="L341" i="102"/>
  <c r="I341" i="102"/>
  <c r="H341" i="102"/>
  <c r="G341" i="102"/>
  <c r="D341" i="102"/>
  <c r="C341" i="102"/>
  <c r="B341" i="102"/>
  <c r="Y340" i="102"/>
  <c r="T340" i="102"/>
  <c r="O340" i="102"/>
  <c r="J340" i="102"/>
  <c r="E340" i="102"/>
  <c r="Y339" i="102"/>
  <c r="T339" i="102"/>
  <c r="O339" i="102"/>
  <c r="J339" i="102"/>
  <c r="E339" i="102"/>
  <c r="X336" i="102"/>
  <c r="W336" i="102"/>
  <c r="V336" i="102"/>
  <c r="S336" i="102"/>
  <c r="R336" i="102"/>
  <c r="Q336" i="102"/>
  <c r="N336" i="102"/>
  <c r="M336" i="102"/>
  <c r="L336" i="102"/>
  <c r="I336" i="102"/>
  <c r="H336" i="102"/>
  <c r="G336" i="102"/>
  <c r="D336" i="102"/>
  <c r="C336" i="102"/>
  <c r="B336" i="102"/>
  <c r="Y335" i="102"/>
  <c r="T335" i="102"/>
  <c r="O335" i="102"/>
  <c r="J335" i="102"/>
  <c r="E335" i="102"/>
  <c r="Y334" i="102"/>
  <c r="T334" i="102"/>
  <c r="O334" i="102"/>
  <c r="J334" i="102"/>
  <c r="E334" i="102"/>
  <c r="X331" i="102"/>
  <c r="W331" i="102"/>
  <c r="V331" i="102"/>
  <c r="S331" i="102"/>
  <c r="R331" i="102"/>
  <c r="Q331" i="102"/>
  <c r="N331" i="102"/>
  <c r="M331" i="102"/>
  <c r="L331" i="102"/>
  <c r="I331" i="102"/>
  <c r="H331" i="102"/>
  <c r="G331" i="102"/>
  <c r="D331" i="102"/>
  <c r="C331" i="102"/>
  <c r="B331" i="102"/>
  <c r="Y330" i="102"/>
  <c r="T330" i="102"/>
  <c r="O330" i="102"/>
  <c r="J330" i="102"/>
  <c r="E330" i="102"/>
  <c r="Y329" i="102"/>
  <c r="T329" i="102"/>
  <c r="O329" i="102"/>
  <c r="J329" i="102"/>
  <c r="E329" i="102"/>
  <c r="X320" i="102"/>
  <c r="W320" i="102"/>
  <c r="V320" i="102"/>
  <c r="S320" i="102"/>
  <c r="R320" i="102"/>
  <c r="Q320" i="102"/>
  <c r="N320" i="102"/>
  <c r="M320" i="102"/>
  <c r="L320" i="102"/>
  <c r="I320" i="102"/>
  <c r="H320" i="102"/>
  <c r="G320" i="102"/>
  <c r="D320" i="102"/>
  <c r="C320" i="102"/>
  <c r="B320" i="102"/>
  <c r="X319" i="102"/>
  <c r="W319" i="102"/>
  <c r="V319" i="102"/>
  <c r="S319" i="102"/>
  <c r="R319" i="102"/>
  <c r="Q319" i="102"/>
  <c r="N319" i="102"/>
  <c r="M319" i="102"/>
  <c r="L319" i="102"/>
  <c r="I319" i="102"/>
  <c r="H319" i="102"/>
  <c r="G319" i="102"/>
  <c r="D319" i="102"/>
  <c r="C319" i="102"/>
  <c r="B319" i="102"/>
  <c r="X316" i="102"/>
  <c r="W316" i="102"/>
  <c r="V316" i="102"/>
  <c r="S316" i="102"/>
  <c r="R316" i="102"/>
  <c r="Q316" i="102"/>
  <c r="N316" i="102"/>
  <c r="M316" i="102"/>
  <c r="L316" i="102"/>
  <c r="I316" i="102"/>
  <c r="H316" i="102"/>
  <c r="G316" i="102"/>
  <c r="D316" i="102"/>
  <c r="C316" i="102"/>
  <c r="B316" i="102"/>
  <c r="Y315" i="102"/>
  <c r="T315" i="102"/>
  <c r="O315" i="102"/>
  <c r="J315" i="102"/>
  <c r="E315" i="102"/>
  <c r="Y314" i="102"/>
  <c r="T314" i="102"/>
  <c r="O314" i="102"/>
  <c r="J314" i="102"/>
  <c r="E314" i="102"/>
  <c r="X311" i="102"/>
  <c r="W311" i="102"/>
  <c r="V311" i="102"/>
  <c r="S311" i="102"/>
  <c r="R311" i="102"/>
  <c r="Q311" i="102"/>
  <c r="N311" i="102"/>
  <c r="M311" i="102"/>
  <c r="L311" i="102"/>
  <c r="I311" i="102"/>
  <c r="H311" i="102"/>
  <c r="G311" i="102"/>
  <c r="D311" i="102"/>
  <c r="C311" i="102"/>
  <c r="B311" i="102"/>
  <c r="Y310" i="102"/>
  <c r="T310" i="102"/>
  <c r="O310" i="102"/>
  <c r="J310" i="102"/>
  <c r="E310" i="102"/>
  <c r="Y309" i="102"/>
  <c r="T309" i="102"/>
  <c r="O309" i="102"/>
  <c r="J309" i="102"/>
  <c r="E309" i="102"/>
  <c r="X306" i="102"/>
  <c r="W306" i="102"/>
  <c r="V306" i="102"/>
  <c r="S306" i="102"/>
  <c r="R306" i="102"/>
  <c r="Q306" i="102"/>
  <c r="N306" i="102"/>
  <c r="M306" i="102"/>
  <c r="L306" i="102"/>
  <c r="I306" i="102"/>
  <c r="H306" i="102"/>
  <c r="G306" i="102"/>
  <c r="D306" i="102"/>
  <c r="C306" i="102"/>
  <c r="B306" i="102"/>
  <c r="Y305" i="102"/>
  <c r="T305" i="102"/>
  <c r="O305" i="102"/>
  <c r="J305" i="102"/>
  <c r="E305" i="102"/>
  <c r="Y304" i="102"/>
  <c r="T304" i="102"/>
  <c r="O304" i="102"/>
  <c r="J304" i="102"/>
  <c r="E304" i="102"/>
  <c r="X295" i="102"/>
  <c r="W295" i="102"/>
  <c r="V295" i="102"/>
  <c r="X294" i="102"/>
  <c r="W294" i="102"/>
  <c r="V294" i="102"/>
  <c r="S295" i="102"/>
  <c r="R295" i="102"/>
  <c r="Q295" i="102"/>
  <c r="S294" i="102"/>
  <c r="R294" i="102"/>
  <c r="Q294" i="102"/>
  <c r="N295" i="102"/>
  <c r="M295" i="102"/>
  <c r="L295" i="102"/>
  <c r="N294" i="102"/>
  <c r="M294" i="102"/>
  <c r="L294" i="102"/>
  <c r="I295" i="102"/>
  <c r="H295" i="102"/>
  <c r="G295" i="102"/>
  <c r="I294" i="102"/>
  <c r="H294" i="102"/>
  <c r="G294" i="102"/>
  <c r="B295" i="102"/>
  <c r="C295" i="102"/>
  <c r="D295" i="102"/>
  <c r="C294" i="102"/>
  <c r="D294" i="102"/>
  <c r="B294" i="102"/>
  <c r="X291" i="102"/>
  <c r="W291" i="102"/>
  <c r="V291" i="102"/>
  <c r="S291" i="102"/>
  <c r="R291" i="102"/>
  <c r="Q291" i="102"/>
  <c r="N291" i="102"/>
  <c r="M291" i="102"/>
  <c r="L291" i="102"/>
  <c r="I291" i="102"/>
  <c r="H291" i="102"/>
  <c r="G291" i="102"/>
  <c r="D291" i="102"/>
  <c r="C291" i="102"/>
  <c r="B291" i="102"/>
  <c r="Y290" i="102"/>
  <c r="T290" i="102"/>
  <c r="O290" i="102"/>
  <c r="J290" i="102"/>
  <c r="E290" i="102"/>
  <c r="Y289" i="102"/>
  <c r="T289" i="102"/>
  <c r="O289" i="102"/>
  <c r="J289" i="102"/>
  <c r="E289" i="102"/>
  <c r="X286" i="102"/>
  <c r="W286" i="102"/>
  <c r="V286" i="102"/>
  <c r="S286" i="102"/>
  <c r="R286" i="102"/>
  <c r="Q286" i="102"/>
  <c r="N286" i="102"/>
  <c r="M286" i="102"/>
  <c r="L286" i="102"/>
  <c r="I286" i="102"/>
  <c r="H286" i="102"/>
  <c r="G286" i="102"/>
  <c r="D286" i="102"/>
  <c r="C286" i="102"/>
  <c r="B286" i="102"/>
  <c r="Y285" i="102"/>
  <c r="T285" i="102"/>
  <c r="O285" i="102"/>
  <c r="J285" i="102"/>
  <c r="E285" i="102"/>
  <c r="Y284" i="102"/>
  <c r="T284" i="102"/>
  <c r="O284" i="102"/>
  <c r="J284" i="102"/>
  <c r="E284" i="102"/>
  <c r="X275" i="102"/>
  <c r="W275" i="102"/>
  <c r="V275" i="102"/>
  <c r="X274" i="102"/>
  <c r="W274" i="102"/>
  <c r="V274" i="102"/>
  <c r="S275" i="102"/>
  <c r="R275" i="102"/>
  <c r="Q275" i="102"/>
  <c r="S274" i="102"/>
  <c r="R274" i="102"/>
  <c r="Q274" i="102"/>
  <c r="N275" i="102"/>
  <c r="M275" i="102"/>
  <c r="L275" i="102"/>
  <c r="N274" i="102"/>
  <c r="M274" i="102"/>
  <c r="L274" i="102"/>
  <c r="I275" i="102"/>
  <c r="H275" i="102"/>
  <c r="G275" i="102"/>
  <c r="I274" i="102"/>
  <c r="H274" i="102"/>
  <c r="G274" i="102"/>
  <c r="B275" i="102"/>
  <c r="C275" i="102"/>
  <c r="D275" i="102"/>
  <c r="C274" i="102"/>
  <c r="D274" i="102"/>
  <c r="B274" i="102"/>
  <c r="X271" i="102"/>
  <c r="W271" i="102"/>
  <c r="V271" i="102"/>
  <c r="S271" i="102"/>
  <c r="R271" i="102"/>
  <c r="Q271" i="102"/>
  <c r="N271" i="102"/>
  <c r="M271" i="102"/>
  <c r="L271" i="102"/>
  <c r="I271" i="102"/>
  <c r="H271" i="102"/>
  <c r="G271" i="102"/>
  <c r="D271" i="102"/>
  <c r="C271" i="102"/>
  <c r="B271" i="102"/>
  <c r="Y270" i="102"/>
  <c r="T270" i="102"/>
  <c r="O270" i="102"/>
  <c r="J270" i="102"/>
  <c r="E270" i="102"/>
  <c r="Y269" i="102"/>
  <c r="T269" i="102"/>
  <c r="O269" i="102"/>
  <c r="J269" i="102"/>
  <c r="E269" i="102"/>
  <c r="X266" i="102"/>
  <c r="W266" i="102"/>
  <c r="V266" i="102"/>
  <c r="S266" i="102"/>
  <c r="R266" i="102"/>
  <c r="Q266" i="102"/>
  <c r="N266" i="102"/>
  <c r="M266" i="102"/>
  <c r="L266" i="102"/>
  <c r="I266" i="102"/>
  <c r="H266" i="102"/>
  <c r="G266" i="102"/>
  <c r="D266" i="102"/>
  <c r="C266" i="102"/>
  <c r="B266" i="102"/>
  <c r="Y265" i="102"/>
  <c r="T265" i="102"/>
  <c r="O265" i="102"/>
  <c r="J265" i="102"/>
  <c r="E265" i="102"/>
  <c r="Y264" i="102"/>
  <c r="T264" i="102"/>
  <c r="O264" i="102"/>
  <c r="J264" i="102"/>
  <c r="E264" i="102"/>
  <c r="X261" i="102"/>
  <c r="W261" i="102"/>
  <c r="V261" i="102"/>
  <c r="S261" i="102"/>
  <c r="R261" i="102"/>
  <c r="Q261" i="102"/>
  <c r="N261" i="102"/>
  <c r="M261" i="102"/>
  <c r="L261" i="102"/>
  <c r="I261" i="102"/>
  <c r="H261" i="102"/>
  <c r="G261" i="102"/>
  <c r="D261" i="102"/>
  <c r="C261" i="102"/>
  <c r="B261" i="102"/>
  <c r="Y260" i="102"/>
  <c r="T260" i="102"/>
  <c r="O260" i="102"/>
  <c r="J260" i="102"/>
  <c r="E260" i="102"/>
  <c r="Y259" i="102"/>
  <c r="T259" i="102"/>
  <c r="O259" i="102"/>
  <c r="J259" i="102"/>
  <c r="E259" i="102"/>
  <c r="X256" i="102"/>
  <c r="W256" i="102"/>
  <c r="V256" i="102"/>
  <c r="S256" i="102"/>
  <c r="R256" i="102"/>
  <c r="Q256" i="102"/>
  <c r="N256" i="102"/>
  <c r="M256" i="102"/>
  <c r="L256" i="102"/>
  <c r="I256" i="102"/>
  <c r="H256" i="102"/>
  <c r="G256" i="102"/>
  <c r="D256" i="102"/>
  <c r="C256" i="102"/>
  <c r="B256" i="102"/>
  <c r="Y255" i="102"/>
  <c r="T255" i="102"/>
  <c r="O255" i="102"/>
  <c r="J255" i="102"/>
  <c r="E255" i="102"/>
  <c r="Y254" i="102"/>
  <c r="T254" i="102"/>
  <c r="O254" i="102"/>
  <c r="J254" i="102"/>
  <c r="E254" i="102"/>
  <c r="X251" i="102"/>
  <c r="W251" i="102"/>
  <c r="V251" i="102"/>
  <c r="S251" i="102"/>
  <c r="R251" i="102"/>
  <c r="Q251" i="102"/>
  <c r="N251" i="102"/>
  <c r="M251" i="102"/>
  <c r="L251" i="102"/>
  <c r="I251" i="102"/>
  <c r="H251" i="102"/>
  <c r="G251" i="102"/>
  <c r="D251" i="102"/>
  <c r="C251" i="102"/>
  <c r="B251" i="102"/>
  <c r="Y250" i="102"/>
  <c r="T250" i="102"/>
  <c r="O250" i="102"/>
  <c r="J250" i="102"/>
  <c r="E250" i="102"/>
  <c r="Y249" i="102"/>
  <c r="T249" i="102"/>
  <c r="O249" i="102"/>
  <c r="J249" i="102"/>
  <c r="E249" i="102"/>
  <c r="B239" i="102"/>
  <c r="B236" i="102"/>
  <c r="E234" i="102"/>
  <c r="X240" i="102"/>
  <c r="W240" i="102"/>
  <c r="V240" i="102"/>
  <c r="S240" i="102"/>
  <c r="R240" i="102"/>
  <c r="Q240" i="102"/>
  <c r="N240" i="102"/>
  <c r="M240" i="102"/>
  <c r="L240" i="102"/>
  <c r="I240" i="102"/>
  <c r="H240" i="102"/>
  <c r="G240" i="102"/>
  <c r="D240" i="102"/>
  <c r="C240" i="102"/>
  <c r="B240" i="102"/>
  <c r="X239" i="102"/>
  <c r="W239" i="102"/>
  <c r="V239" i="102"/>
  <c r="S239" i="102"/>
  <c r="R239" i="102"/>
  <c r="Q239" i="102"/>
  <c r="N239" i="102"/>
  <c r="M239" i="102"/>
  <c r="L239" i="102"/>
  <c r="I239" i="102"/>
  <c r="H239" i="102"/>
  <c r="G239" i="102"/>
  <c r="D239" i="102"/>
  <c r="C239" i="102"/>
  <c r="X236" i="102"/>
  <c r="W236" i="102"/>
  <c r="V236" i="102"/>
  <c r="S236" i="102"/>
  <c r="R236" i="102"/>
  <c r="Q236" i="102"/>
  <c r="N236" i="102"/>
  <c r="M236" i="102"/>
  <c r="L236" i="102"/>
  <c r="I236" i="102"/>
  <c r="H236" i="102"/>
  <c r="G236" i="102"/>
  <c r="D236" i="102"/>
  <c r="C236" i="102"/>
  <c r="Y235" i="102"/>
  <c r="T235" i="102"/>
  <c r="O235" i="102"/>
  <c r="J235" i="102"/>
  <c r="E235" i="102"/>
  <c r="Y234" i="102"/>
  <c r="T234" i="102"/>
  <c r="O234" i="102"/>
  <c r="J234" i="102"/>
  <c r="X231" i="102"/>
  <c r="W231" i="102"/>
  <c r="V231" i="102"/>
  <c r="S231" i="102"/>
  <c r="R231" i="102"/>
  <c r="Q231" i="102"/>
  <c r="N231" i="102"/>
  <c r="M231" i="102"/>
  <c r="L231" i="102"/>
  <c r="I231" i="102"/>
  <c r="H231" i="102"/>
  <c r="G231" i="102"/>
  <c r="D231" i="102"/>
  <c r="C231" i="102"/>
  <c r="B231" i="102"/>
  <c r="Y230" i="102"/>
  <c r="T230" i="102"/>
  <c r="O230" i="102"/>
  <c r="J230" i="102"/>
  <c r="E230" i="102"/>
  <c r="Y229" i="102"/>
  <c r="T229" i="102"/>
  <c r="O229" i="102"/>
  <c r="J229" i="102"/>
  <c r="E229" i="102"/>
  <c r="X226" i="102"/>
  <c r="W226" i="102"/>
  <c r="V226" i="102"/>
  <c r="S226" i="102"/>
  <c r="R226" i="102"/>
  <c r="Q226" i="102"/>
  <c r="N226" i="102"/>
  <c r="M226" i="102"/>
  <c r="L226" i="102"/>
  <c r="I226" i="102"/>
  <c r="H226" i="102"/>
  <c r="G226" i="102"/>
  <c r="D226" i="102"/>
  <c r="C226" i="102"/>
  <c r="B226" i="102"/>
  <c r="Y225" i="102"/>
  <c r="T225" i="102"/>
  <c r="O225" i="102"/>
  <c r="J225" i="102"/>
  <c r="E225" i="102"/>
  <c r="Y224" i="102"/>
  <c r="T224" i="102"/>
  <c r="O224" i="102"/>
  <c r="J224" i="102"/>
  <c r="E224" i="102"/>
  <c r="X215" i="102"/>
  <c r="W215" i="102"/>
  <c r="V215" i="102"/>
  <c r="S215" i="102"/>
  <c r="R215" i="102"/>
  <c r="Q215" i="102"/>
  <c r="N215" i="102"/>
  <c r="M215" i="102"/>
  <c r="L215" i="102"/>
  <c r="I215" i="102"/>
  <c r="H215" i="102"/>
  <c r="G215" i="102"/>
  <c r="D215" i="102"/>
  <c r="C215" i="102"/>
  <c r="B215" i="102"/>
  <c r="X214" i="102"/>
  <c r="W214" i="102"/>
  <c r="V214" i="102"/>
  <c r="S214" i="102"/>
  <c r="R214" i="102"/>
  <c r="Q214" i="102"/>
  <c r="N214" i="102"/>
  <c r="M214" i="102"/>
  <c r="L214" i="102"/>
  <c r="I214" i="102"/>
  <c r="H214" i="102"/>
  <c r="G214" i="102"/>
  <c r="D214" i="102"/>
  <c r="C214" i="102"/>
  <c r="B214" i="102"/>
  <c r="X211" i="102"/>
  <c r="W211" i="102"/>
  <c r="V211" i="102"/>
  <c r="S211" i="102"/>
  <c r="R211" i="102"/>
  <c r="Q211" i="102"/>
  <c r="N211" i="102"/>
  <c r="M211" i="102"/>
  <c r="L211" i="102"/>
  <c r="I211" i="102"/>
  <c r="H211" i="102"/>
  <c r="G211" i="102"/>
  <c r="D211" i="102"/>
  <c r="C211" i="102"/>
  <c r="B211" i="102"/>
  <c r="Y210" i="102"/>
  <c r="T210" i="102"/>
  <c r="O210" i="102"/>
  <c r="J210" i="102"/>
  <c r="E210" i="102"/>
  <c r="Y209" i="102"/>
  <c r="T209" i="102"/>
  <c r="O209" i="102"/>
  <c r="J209" i="102"/>
  <c r="E209" i="102"/>
  <c r="X206" i="102"/>
  <c r="W206" i="102"/>
  <c r="V206" i="102"/>
  <c r="S206" i="102"/>
  <c r="R206" i="102"/>
  <c r="Q206" i="102"/>
  <c r="N206" i="102"/>
  <c r="M206" i="102"/>
  <c r="L206" i="102"/>
  <c r="I206" i="102"/>
  <c r="H206" i="102"/>
  <c r="G206" i="102"/>
  <c r="D206" i="102"/>
  <c r="C206" i="102"/>
  <c r="B206" i="102"/>
  <c r="Y205" i="102"/>
  <c r="T205" i="102"/>
  <c r="O205" i="102"/>
  <c r="J205" i="102"/>
  <c r="E205" i="102"/>
  <c r="Y204" i="102"/>
  <c r="T204" i="102"/>
  <c r="O204" i="102"/>
  <c r="J204" i="102"/>
  <c r="E204" i="102"/>
  <c r="X201" i="102"/>
  <c r="W201" i="102"/>
  <c r="V201" i="102"/>
  <c r="S201" i="102"/>
  <c r="R201" i="102"/>
  <c r="Q201" i="102"/>
  <c r="N201" i="102"/>
  <c r="M201" i="102"/>
  <c r="L201" i="102"/>
  <c r="I201" i="102"/>
  <c r="H201" i="102"/>
  <c r="G201" i="102"/>
  <c r="D201" i="102"/>
  <c r="C201" i="102"/>
  <c r="B201" i="102"/>
  <c r="Y200" i="102"/>
  <c r="T200" i="102"/>
  <c r="O200" i="102"/>
  <c r="J200" i="102"/>
  <c r="E200" i="102"/>
  <c r="Y199" i="102"/>
  <c r="T199" i="102"/>
  <c r="O199" i="102"/>
  <c r="J199" i="102"/>
  <c r="E199" i="102"/>
  <c r="B189" i="102"/>
  <c r="X190" i="102"/>
  <c r="W190" i="102"/>
  <c r="V190" i="102"/>
  <c r="S190" i="102"/>
  <c r="R190" i="102"/>
  <c r="Q190" i="102"/>
  <c r="N190" i="102"/>
  <c r="M190" i="102"/>
  <c r="L190" i="102"/>
  <c r="I190" i="102"/>
  <c r="H190" i="102"/>
  <c r="G190" i="102"/>
  <c r="D190" i="102"/>
  <c r="C190" i="102"/>
  <c r="B190" i="102"/>
  <c r="X189" i="102"/>
  <c r="W189" i="102"/>
  <c r="V189" i="102"/>
  <c r="S189" i="102"/>
  <c r="R189" i="102"/>
  <c r="Q189" i="102"/>
  <c r="N189" i="102"/>
  <c r="M189" i="102"/>
  <c r="L189" i="102"/>
  <c r="I189" i="102"/>
  <c r="H189" i="102"/>
  <c r="G189" i="102"/>
  <c r="D189" i="102"/>
  <c r="C189" i="102"/>
  <c r="X186" i="102"/>
  <c r="W186" i="102"/>
  <c r="V186" i="102"/>
  <c r="S186" i="102"/>
  <c r="R186" i="102"/>
  <c r="Q186" i="102"/>
  <c r="N186" i="102"/>
  <c r="M186" i="102"/>
  <c r="L186" i="102"/>
  <c r="I186" i="102"/>
  <c r="H186" i="102"/>
  <c r="G186" i="102"/>
  <c r="D186" i="102"/>
  <c r="C186" i="102"/>
  <c r="B186" i="102"/>
  <c r="Y185" i="102"/>
  <c r="T185" i="102"/>
  <c r="O185" i="102"/>
  <c r="J185" i="102"/>
  <c r="E185" i="102"/>
  <c r="Y184" i="102"/>
  <c r="T184" i="102"/>
  <c r="O184" i="102"/>
  <c r="J184" i="102"/>
  <c r="E184" i="102"/>
  <c r="X181" i="102"/>
  <c r="W181" i="102"/>
  <c r="V181" i="102"/>
  <c r="S181" i="102"/>
  <c r="R181" i="102"/>
  <c r="Q181" i="102"/>
  <c r="N181" i="102"/>
  <c r="M181" i="102"/>
  <c r="L181" i="102"/>
  <c r="I181" i="102"/>
  <c r="H181" i="102"/>
  <c r="G181" i="102"/>
  <c r="D181" i="102"/>
  <c r="C181" i="102"/>
  <c r="B181" i="102"/>
  <c r="Y180" i="102"/>
  <c r="T180" i="102"/>
  <c r="O180" i="102"/>
  <c r="J180" i="102"/>
  <c r="E180" i="102"/>
  <c r="Y179" i="102"/>
  <c r="T179" i="102"/>
  <c r="O179" i="102"/>
  <c r="J179" i="102"/>
  <c r="E179" i="102"/>
  <c r="X176" i="102"/>
  <c r="W176" i="102"/>
  <c r="V176" i="102"/>
  <c r="S176" i="102"/>
  <c r="R176" i="102"/>
  <c r="Q176" i="102"/>
  <c r="N176" i="102"/>
  <c r="M176" i="102"/>
  <c r="L176" i="102"/>
  <c r="I176" i="102"/>
  <c r="H176" i="102"/>
  <c r="G176" i="102"/>
  <c r="D176" i="102"/>
  <c r="C176" i="102"/>
  <c r="B176" i="102"/>
  <c r="Y175" i="102"/>
  <c r="T175" i="102"/>
  <c r="O175" i="102"/>
  <c r="J175" i="102"/>
  <c r="E175" i="102"/>
  <c r="Y174" i="102"/>
  <c r="T174" i="102"/>
  <c r="O174" i="102"/>
  <c r="J174" i="102"/>
  <c r="E174" i="102"/>
  <c r="X166" i="102"/>
  <c r="W166" i="102"/>
  <c r="V166" i="102"/>
  <c r="S166" i="102"/>
  <c r="R166" i="102"/>
  <c r="Q166" i="102"/>
  <c r="N166" i="102"/>
  <c r="M166" i="102"/>
  <c r="L166" i="102"/>
  <c r="I166" i="102"/>
  <c r="H166" i="102"/>
  <c r="G166" i="102"/>
  <c r="D166" i="102"/>
  <c r="C166" i="102"/>
  <c r="B166" i="102"/>
  <c r="Y165" i="102"/>
  <c r="T165" i="102"/>
  <c r="O165" i="102"/>
  <c r="J165" i="102"/>
  <c r="E165" i="102"/>
  <c r="Y164" i="102"/>
  <c r="T164" i="102"/>
  <c r="O164" i="102"/>
  <c r="J164" i="102"/>
  <c r="E164" i="102"/>
  <c r="X155" i="102"/>
  <c r="W155" i="102"/>
  <c r="V155" i="102"/>
  <c r="X154" i="102"/>
  <c r="W154" i="102"/>
  <c r="V154" i="102"/>
  <c r="S155" i="102"/>
  <c r="R155" i="102"/>
  <c r="Q155" i="102"/>
  <c r="S154" i="102"/>
  <c r="R154" i="102"/>
  <c r="Q154" i="102"/>
  <c r="N155" i="102"/>
  <c r="M155" i="102"/>
  <c r="L155" i="102"/>
  <c r="N154" i="102"/>
  <c r="M154" i="102"/>
  <c r="L154" i="102"/>
  <c r="I155" i="102"/>
  <c r="H155" i="102"/>
  <c r="G155" i="102"/>
  <c r="I154" i="102"/>
  <c r="H154" i="102"/>
  <c r="G154" i="102"/>
  <c r="B155" i="102"/>
  <c r="C155" i="102"/>
  <c r="D155" i="102"/>
  <c r="C154" i="102"/>
  <c r="D154" i="102"/>
  <c r="B154" i="102"/>
  <c r="B151" i="102"/>
  <c r="X151" i="102"/>
  <c r="W151" i="102"/>
  <c r="V151" i="102"/>
  <c r="S151" i="102"/>
  <c r="R151" i="102"/>
  <c r="Q151" i="102"/>
  <c r="N151" i="102"/>
  <c r="M151" i="102"/>
  <c r="L151" i="102"/>
  <c r="I151" i="102"/>
  <c r="H151" i="102"/>
  <c r="G151" i="102"/>
  <c r="D151" i="102"/>
  <c r="C151" i="102"/>
  <c r="Y150" i="102"/>
  <c r="T150" i="102"/>
  <c r="O150" i="102"/>
  <c r="J150" i="102"/>
  <c r="E150" i="102"/>
  <c r="Y149" i="102"/>
  <c r="T149" i="102"/>
  <c r="O149" i="102"/>
  <c r="J149" i="102"/>
  <c r="E149" i="102"/>
  <c r="X146" i="102"/>
  <c r="W146" i="102"/>
  <c r="V146" i="102"/>
  <c r="S146" i="102"/>
  <c r="R146" i="102"/>
  <c r="Q146" i="102"/>
  <c r="N146" i="102"/>
  <c r="M146" i="102"/>
  <c r="L146" i="102"/>
  <c r="I146" i="102"/>
  <c r="H146" i="102"/>
  <c r="G146" i="102"/>
  <c r="D146" i="102"/>
  <c r="C146" i="102"/>
  <c r="B146" i="102"/>
  <c r="Y145" i="102"/>
  <c r="T145" i="102"/>
  <c r="O145" i="102"/>
  <c r="J145" i="102"/>
  <c r="E145" i="102"/>
  <c r="Y144" i="102"/>
  <c r="T144" i="102"/>
  <c r="O144" i="102"/>
  <c r="J144" i="102"/>
  <c r="E144" i="102"/>
  <c r="X141" i="102"/>
  <c r="W141" i="102"/>
  <c r="V141" i="102"/>
  <c r="S141" i="102"/>
  <c r="R141" i="102"/>
  <c r="Q141" i="102"/>
  <c r="N141" i="102"/>
  <c r="M141" i="102"/>
  <c r="L141" i="102"/>
  <c r="I141" i="102"/>
  <c r="H141" i="102"/>
  <c r="G141" i="102"/>
  <c r="D141" i="102"/>
  <c r="C141" i="102"/>
  <c r="B141" i="102"/>
  <c r="Y140" i="102"/>
  <c r="T140" i="102"/>
  <c r="O140" i="102"/>
  <c r="J140" i="102"/>
  <c r="E140" i="102"/>
  <c r="Y139" i="102"/>
  <c r="T139" i="102"/>
  <c r="O139" i="102"/>
  <c r="J139" i="102"/>
  <c r="E139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E134" i="102"/>
  <c r="X131" i="102"/>
  <c r="W131" i="102"/>
  <c r="V131" i="102"/>
  <c r="S131" i="102"/>
  <c r="R131" i="102"/>
  <c r="Q131" i="102"/>
  <c r="N131" i="102"/>
  <c r="M131" i="102"/>
  <c r="L131" i="102"/>
  <c r="I131" i="102"/>
  <c r="H131" i="102"/>
  <c r="G131" i="102"/>
  <c r="D131" i="102"/>
  <c r="C131" i="102"/>
  <c r="B131" i="102"/>
  <c r="Y130" i="102"/>
  <c r="T130" i="102"/>
  <c r="O130" i="102"/>
  <c r="J130" i="102"/>
  <c r="E130" i="102"/>
  <c r="Y129" i="102"/>
  <c r="T129" i="102"/>
  <c r="O129" i="102"/>
  <c r="J129" i="102"/>
  <c r="E129" i="102"/>
  <c r="X126" i="102"/>
  <c r="W126" i="102"/>
  <c r="V126" i="102"/>
  <c r="S126" i="102"/>
  <c r="R126" i="102"/>
  <c r="Q126" i="102"/>
  <c r="N126" i="102"/>
  <c r="M126" i="102"/>
  <c r="L126" i="102"/>
  <c r="I126" i="102"/>
  <c r="H126" i="102"/>
  <c r="G126" i="102"/>
  <c r="D126" i="102"/>
  <c r="C126" i="102"/>
  <c r="B126" i="102"/>
  <c r="Y125" i="102"/>
  <c r="T125" i="102"/>
  <c r="O125" i="102"/>
  <c r="J125" i="102"/>
  <c r="E125" i="102"/>
  <c r="Y124" i="102"/>
  <c r="T124" i="102"/>
  <c r="O124" i="102"/>
  <c r="J124" i="102"/>
  <c r="E124" i="102"/>
  <c r="X121" i="102"/>
  <c r="W121" i="102"/>
  <c r="V121" i="102"/>
  <c r="S121" i="102"/>
  <c r="R121" i="102"/>
  <c r="Q121" i="102"/>
  <c r="N121" i="102"/>
  <c r="M121" i="102"/>
  <c r="L121" i="102"/>
  <c r="I121" i="102"/>
  <c r="H121" i="102"/>
  <c r="G121" i="102"/>
  <c r="D121" i="102"/>
  <c r="C121" i="102"/>
  <c r="B121" i="102"/>
  <c r="Y120" i="102"/>
  <c r="T120" i="102"/>
  <c r="O120" i="102"/>
  <c r="J120" i="102"/>
  <c r="E120" i="102"/>
  <c r="Y119" i="102"/>
  <c r="T119" i="102"/>
  <c r="O119" i="102"/>
  <c r="J119" i="102"/>
  <c r="E119" i="102"/>
  <c r="X116" i="102"/>
  <c r="W116" i="102"/>
  <c r="V116" i="102"/>
  <c r="S116" i="102"/>
  <c r="R116" i="102"/>
  <c r="Q116" i="102"/>
  <c r="N116" i="102"/>
  <c r="M116" i="102"/>
  <c r="L116" i="102"/>
  <c r="I116" i="102"/>
  <c r="H116" i="102"/>
  <c r="G116" i="102"/>
  <c r="D116" i="102"/>
  <c r="C116" i="102"/>
  <c r="B116" i="102"/>
  <c r="Y115" i="102"/>
  <c r="T115" i="102"/>
  <c r="O115" i="102"/>
  <c r="J115" i="102"/>
  <c r="E115" i="102"/>
  <c r="Y114" i="102"/>
  <c r="T114" i="102"/>
  <c r="O114" i="102"/>
  <c r="J114" i="102"/>
  <c r="E114" i="102"/>
  <c r="X111" i="102"/>
  <c r="W111" i="102"/>
  <c r="V111" i="102"/>
  <c r="S111" i="102"/>
  <c r="R111" i="102"/>
  <c r="Q111" i="102"/>
  <c r="N111" i="102"/>
  <c r="M111" i="102"/>
  <c r="L111" i="102"/>
  <c r="I111" i="102"/>
  <c r="H111" i="102"/>
  <c r="G111" i="102"/>
  <c r="D111" i="102"/>
  <c r="C111" i="102"/>
  <c r="B111" i="102"/>
  <c r="Y110" i="102"/>
  <c r="T110" i="102"/>
  <c r="O110" i="102"/>
  <c r="J110" i="102"/>
  <c r="E110" i="102"/>
  <c r="Y109" i="102"/>
  <c r="T109" i="102"/>
  <c r="O109" i="102"/>
  <c r="J109" i="102"/>
  <c r="E109" i="102"/>
  <c r="X106" i="102"/>
  <c r="W106" i="102"/>
  <c r="V106" i="102"/>
  <c r="S106" i="102"/>
  <c r="R106" i="102"/>
  <c r="Q106" i="102"/>
  <c r="N106" i="102"/>
  <c r="M106" i="102"/>
  <c r="L106" i="102"/>
  <c r="I106" i="102"/>
  <c r="H106" i="102"/>
  <c r="G106" i="102"/>
  <c r="D106" i="102"/>
  <c r="C106" i="102"/>
  <c r="B106" i="102"/>
  <c r="Y105" i="102"/>
  <c r="T105" i="102"/>
  <c r="O105" i="102"/>
  <c r="J105" i="102"/>
  <c r="E105" i="102"/>
  <c r="Y104" i="102"/>
  <c r="T104" i="102"/>
  <c r="O104" i="102"/>
  <c r="J104" i="102"/>
  <c r="E104" i="102"/>
  <c r="X101" i="102"/>
  <c r="W101" i="102"/>
  <c r="V101" i="102"/>
  <c r="S101" i="102"/>
  <c r="R101" i="102"/>
  <c r="Q101" i="102"/>
  <c r="N101" i="102"/>
  <c r="M101" i="102"/>
  <c r="L101" i="102"/>
  <c r="I101" i="102"/>
  <c r="H101" i="102"/>
  <c r="G101" i="102"/>
  <c r="D101" i="102"/>
  <c r="C101" i="102"/>
  <c r="B101" i="102"/>
  <c r="Y100" i="102"/>
  <c r="T100" i="102"/>
  <c r="O100" i="102"/>
  <c r="J100" i="102"/>
  <c r="E100" i="102"/>
  <c r="Y99" i="102"/>
  <c r="T99" i="102"/>
  <c r="O99" i="102"/>
  <c r="J99" i="102"/>
  <c r="E99" i="102"/>
  <c r="X96" i="102"/>
  <c r="W96" i="102"/>
  <c r="V96" i="102"/>
  <c r="S96" i="102"/>
  <c r="R96" i="102"/>
  <c r="Q96" i="102"/>
  <c r="N96" i="102"/>
  <c r="M96" i="102"/>
  <c r="L96" i="102"/>
  <c r="I96" i="102"/>
  <c r="H96" i="102"/>
  <c r="G96" i="102"/>
  <c r="D96" i="102"/>
  <c r="C96" i="102"/>
  <c r="B96" i="102"/>
  <c r="Y95" i="102"/>
  <c r="T95" i="102"/>
  <c r="O95" i="102"/>
  <c r="J95" i="102"/>
  <c r="E95" i="102"/>
  <c r="Y94" i="102"/>
  <c r="T94" i="102"/>
  <c r="O94" i="102"/>
  <c r="J94" i="102"/>
  <c r="E94" i="102"/>
  <c r="X91" i="102"/>
  <c r="W91" i="102"/>
  <c r="V91" i="102"/>
  <c r="S91" i="102"/>
  <c r="R91" i="102"/>
  <c r="Q91" i="102"/>
  <c r="N91" i="102"/>
  <c r="M91" i="102"/>
  <c r="L91" i="102"/>
  <c r="I91" i="102"/>
  <c r="H91" i="102"/>
  <c r="G91" i="102"/>
  <c r="D91" i="102"/>
  <c r="C91" i="102"/>
  <c r="B91" i="102"/>
  <c r="Y90" i="102"/>
  <c r="T90" i="102"/>
  <c r="O90" i="102"/>
  <c r="J90" i="102"/>
  <c r="E90" i="102"/>
  <c r="Y89" i="102"/>
  <c r="T89" i="102"/>
  <c r="O89" i="102"/>
  <c r="J89" i="102"/>
  <c r="E89" i="102"/>
  <c r="X86" i="102"/>
  <c r="W86" i="102"/>
  <c r="V86" i="102"/>
  <c r="S86" i="102"/>
  <c r="R86" i="102"/>
  <c r="Q86" i="102"/>
  <c r="N86" i="102"/>
  <c r="M86" i="102"/>
  <c r="L86" i="102"/>
  <c r="I86" i="102"/>
  <c r="H86" i="102"/>
  <c r="G86" i="102"/>
  <c r="D86" i="102"/>
  <c r="C86" i="102"/>
  <c r="B86" i="102"/>
  <c r="Y85" i="102"/>
  <c r="T85" i="102"/>
  <c r="O85" i="102"/>
  <c r="J85" i="102"/>
  <c r="E85" i="102"/>
  <c r="Y84" i="102"/>
  <c r="T84" i="102"/>
  <c r="O84" i="102"/>
  <c r="J84" i="102"/>
  <c r="E84" i="102"/>
  <c r="X81" i="102"/>
  <c r="W81" i="102"/>
  <c r="V81" i="102"/>
  <c r="S81" i="102"/>
  <c r="R81" i="102"/>
  <c r="Q81" i="102"/>
  <c r="N81" i="102"/>
  <c r="M81" i="102"/>
  <c r="L81" i="102"/>
  <c r="I81" i="102"/>
  <c r="H81" i="102"/>
  <c r="G81" i="102"/>
  <c r="D81" i="102"/>
  <c r="C81" i="102"/>
  <c r="B81" i="102"/>
  <c r="Y80" i="102"/>
  <c r="T80" i="102"/>
  <c r="O80" i="102"/>
  <c r="J80" i="102"/>
  <c r="E80" i="102"/>
  <c r="Y79" i="102"/>
  <c r="T79" i="102"/>
  <c r="O79" i="102"/>
  <c r="J79" i="102"/>
  <c r="E79" i="102"/>
  <c r="X76" i="102"/>
  <c r="W76" i="102"/>
  <c r="V76" i="102"/>
  <c r="S76" i="102"/>
  <c r="R76" i="102"/>
  <c r="Q76" i="102"/>
  <c r="N76" i="102"/>
  <c r="M76" i="102"/>
  <c r="L76" i="102"/>
  <c r="I76" i="102"/>
  <c r="H76" i="102"/>
  <c r="G76" i="102"/>
  <c r="D76" i="102"/>
  <c r="C76" i="102"/>
  <c r="B76" i="102"/>
  <c r="Y75" i="102"/>
  <c r="T75" i="102"/>
  <c r="O75" i="102"/>
  <c r="J75" i="102"/>
  <c r="E75" i="102"/>
  <c r="Y74" i="102"/>
  <c r="T74" i="102"/>
  <c r="O74" i="102"/>
  <c r="J74" i="102"/>
  <c r="E74" i="102"/>
  <c r="X65" i="102"/>
  <c r="W65" i="102"/>
  <c r="V65" i="102"/>
  <c r="X64" i="102"/>
  <c r="W64" i="102"/>
  <c r="V64" i="102"/>
  <c r="S65" i="102"/>
  <c r="R65" i="102"/>
  <c r="Q65" i="102"/>
  <c r="S64" i="102"/>
  <c r="R64" i="102"/>
  <c r="Q64" i="102"/>
  <c r="N65" i="102"/>
  <c r="M65" i="102"/>
  <c r="L65" i="102"/>
  <c r="N64" i="102"/>
  <c r="M64" i="102"/>
  <c r="L64" i="102"/>
  <c r="I65" i="102"/>
  <c r="H65" i="102"/>
  <c r="G65" i="102"/>
  <c r="I64" i="102"/>
  <c r="H64" i="102"/>
  <c r="G64" i="102"/>
  <c r="B65" i="102"/>
  <c r="C65" i="102"/>
  <c r="D65" i="102"/>
  <c r="C64" i="102"/>
  <c r="D64" i="102"/>
  <c r="B64" i="102"/>
  <c r="X61" i="102"/>
  <c r="W61" i="102"/>
  <c r="V61" i="102"/>
  <c r="S61" i="102"/>
  <c r="R61" i="102"/>
  <c r="Q61" i="102"/>
  <c r="N61" i="102"/>
  <c r="M61" i="102"/>
  <c r="L61" i="102"/>
  <c r="I61" i="102"/>
  <c r="H61" i="102"/>
  <c r="G61" i="102"/>
  <c r="D61" i="102"/>
  <c r="C61" i="102"/>
  <c r="B61" i="102"/>
  <c r="Y60" i="102"/>
  <c r="T60" i="102"/>
  <c r="O60" i="102"/>
  <c r="J60" i="102"/>
  <c r="E60" i="102"/>
  <c r="Y59" i="102"/>
  <c r="T59" i="102"/>
  <c r="O59" i="102"/>
  <c r="J59" i="102"/>
  <c r="E59" i="102"/>
  <c r="X56" i="102"/>
  <c r="W56" i="102"/>
  <c r="V56" i="102"/>
  <c r="S56" i="102"/>
  <c r="R56" i="102"/>
  <c r="Q56" i="102"/>
  <c r="N56" i="102"/>
  <c r="M56" i="102"/>
  <c r="L56" i="102"/>
  <c r="I56" i="102"/>
  <c r="H56" i="102"/>
  <c r="G56" i="102"/>
  <c r="D56" i="102"/>
  <c r="C56" i="102"/>
  <c r="B56" i="102"/>
  <c r="Y55" i="102"/>
  <c r="T55" i="102"/>
  <c r="O55" i="102"/>
  <c r="J55" i="102"/>
  <c r="E55" i="102"/>
  <c r="Y54" i="102"/>
  <c r="T54" i="102"/>
  <c r="O54" i="102"/>
  <c r="J54" i="102"/>
  <c r="E54" i="102"/>
  <c r="X51" i="102"/>
  <c r="W51" i="102"/>
  <c r="V51" i="102"/>
  <c r="S51" i="102"/>
  <c r="R51" i="102"/>
  <c r="Q51" i="102"/>
  <c r="N51" i="102"/>
  <c r="M51" i="102"/>
  <c r="L51" i="102"/>
  <c r="I51" i="102"/>
  <c r="H51" i="102"/>
  <c r="G51" i="102"/>
  <c r="D51" i="102"/>
  <c r="C51" i="102"/>
  <c r="B51" i="102"/>
  <c r="Y50" i="102"/>
  <c r="T50" i="102"/>
  <c r="O50" i="102"/>
  <c r="J50" i="102"/>
  <c r="E50" i="102"/>
  <c r="Y49" i="102"/>
  <c r="T49" i="102"/>
  <c r="O49" i="102"/>
  <c r="J49" i="102"/>
  <c r="E49" i="102"/>
  <c r="X40" i="102"/>
  <c r="W40" i="102"/>
  <c r="V40" i="102"/>
  <c r="X39" i="102"/>
  <c r="W39" i="102"/>
  <c r="V39" i="102"/>
  <c r="S40" i="102"/>
  <c r="R40" i="102"/>
  <c r="Q40" i="102"/>
  <c r="S39" i="102"/>
  <c r="R39" i="102"/>
  <c r="Q39" i="102"/>
  <c r="N40" i="102"/>
  <c r="M40" i="102"/>
  <c r="L40" i="102"/>
  <c r="N39" i="102"/>
  <c r="M39" i="102"/>
  <c r="L39" i="102"/>
  <c r="I40" i="102"/>
  <c r="H40" i="102"/>
  <c r="G40" i="102"/>
  <c r="I39" i="102"/>
  <c r="H39" i="102"/>
  <c r="G39" i="102"/>
  <c r="B40" i="102"/>
  <c r="C40" i="102"/>
  <c r="D40" i="102"/>
  <c r="C39" i="102"/>
  <c r="D39" i="102"/>
  <c r="B39" i="102"/>
  <c r="X36" i="102"/>
  <c r="W36" i="102"/>
  <c r="V36" i="102"/>
  <c r="S36" i="102"/>
  <c r="R36" i="102"/>
  <c r="Q36" i="102"/>
  <c r="N36" i="102"/>
  <c r="M36" i="102"/>
  <c r="L36" i="102"/>
  <c r="I36" i="102"/>
  <c r="H36" i="102"/>
  <c r="G36" i="102"/>
  <c r="D36" i="102"/>
  <c r="C36" i="102"/>
  <c r="B36" i="102"/>
  <c r="Y35" i="102"/>
  <c r="T35" i="102"/>
  <c r="O35" i="102"/>
  <c r="J35" i="102"/>
  <c r="E35" i="102"/>
  <c r="Y34" i="102"/>
  <c r="T34" i="102"/>
  <c r="O34" i="102"/>
  <c r="J34" i="102"/>
  <c r="E34" i="102"/>
  <c r="X31" i="102"/>
  <c r="W31" i="102"/>
  <c r="V31" i="102"/>
  <c r="S31" i="102"/>
  <c r="R31" i="102"/>
  <c r="Q31" i="102"/>
  <c r="N31" i="102"/>
  <c r="M31" i="102"/>
  <c r="L31" i="102"/>
  <c r="I31" i="102"/>
  <c r="H31" i="102"/>
  <c r="G31" i="102"/>
  <c r="D31" i="102"/>
  <c r="C31" i="102"/>
  <c r="B31" i="102"/>
  <c r="Y30" i="102"/>
  <c r="T30" i="102"/>
  <c r="O30" i="102"/>
  <c r="J30" i="102"/>
  <c r="E30" i="102"/>
  <c r="Y29" i="102"/>
  <c r="T29" i="102"/>
  <c r="O29" i="102"/>
  <c r="J29" i="102"/>
  <c r="E29" i="102"/>
  <c r="X21" i="102"/>
  <c r="W21" i="102"/>
  <c r="V21" i="102"/>
  <c r="S21" i="102"/>
  <c r="R21" i="102"/>
  <c r="Q21" i="102"/>
  <c r="N21" i="102"/>
  <c r="M21" i="102"/>
  <c r="L21" i="102"/>
  <c r="I21" i="102"/>
  <c r="H21" i="102"/>
  <c r="G21" i="102"/>
  <c r="D21" i="102"/>
  <c r="C21" i="102"/>
  <c r="B21" i="102"/>
  <c r="Y20" i="102"/>
  <c r="T20" i="102"/>
  <c r="O20" i="102"/>
  <c r="J20" i="102"/>
  <c r="E20" i="102"/>
  <c r="Y19" i="102"/>
  <c r="T19" i="102"/>
  <c r="O19" i="102"/>
  <c r="J19" i="102"/>
  <c r="E19" i="102"/>
  <c r="X11" i="102"/>
  <c r="W11" i="102"/>
  <c r="V11" i="102"/>
  <c r="Y10" i="102"/>
  <c r="Y9" i="102"/>
  <c r="S11" i="102"/>
  <c r="R11" i="102"/>
  <c r="Q11" i="102"/>
  <c r="T10" i="102"/>
  <c r="T9" i="102"/>
  <c r="N11" i="102"/>
  <c r="M11" i="102"/>
  <c r="L11" i="102"/>
  <c r="O10" i="102"/>
  <c r="O9" i="102"/>
  <c r="I11" i="102"/>
  <c r="H11" i="102"/>
  <c r="G11" i="102"/>
  <c r="J10" i="102"/>
  <c r="J9" i="102"/>
  <c r="C11" i="102"/>
  <c r="D11" i="102"/>
  <c r="B11" i="102"/>
  <c r="E10" i="102"/>
  <c r="E9" i="102"/>
  <c r="J251" i="102" l="1"/>
  <c r="O425" i="102"/>
  <c r="Y425" i="102"/>
  <c r="O506" i="102"/>
  <c r="X426" i="102"/>
  <c r="T201" i="102"/>
  <c r="H66" i="102"/>
  <c r="G276" i="102"/>
  <c r="S41" i="102"/>
  <c r="E539" i="102"/>
  <c r="T39" i="102"/>
  <c r="O131" i="102"/>
  <c r="V321" i="102"/>
  <c r="T31" i="102"/>
  <c r="X156" i="102"/>
  <c r="Y155" i="102"/>
  <c r="J190" i="102"/>
  <c r="E206" i="102"/>
  <c r="E274" i="102"/>
  <c r="H241" i="102"/>
  <c r="N276" i="102"/>
  <c r="S566" i="102"/>
  <c r="N566" i="102"/>
  <c r="D41" i="102"/>
  <c r="W41" i="102"/>
  <c r="C66" i="102"/>
  <c r="Y76" i="102"/>
  <c r="Q156" i="102"/>
  <c r="J306" i="102"/>
  <c r="E496" i="102"/>
  <c r="T565" i="102"/>
  <c r="T381" i="102"/>
  <c r="O396" i="102"/>
  <c r="C41" i="102"/>
  <c r="X41" i="102"/>
  <c r="E214" i="102"/>
  <c r="T215" i="102"/>
  <c r="C276" i="102"/>
  <c r="Q41" i="102"/>
  <c r="E151" i="102"/>
  <c r="B156" i="102"/>
  <c r="W296" i="102"/>
  <c r="H321" i="102"/>
  <c r="I566" i="102"/>
  <c r="D156" i="102"/>
  <c r="T166" i="102"/>
  <c r="V241" i="102"/>
  <c r="O286" i="102"/>
  <c r="C296" i="102"/>
  <c r="I321" i="102"/>
  <c r="O536" i="102"/>
  <c r="N541" i="102"/>
  <c r="Y295" i="102"/>
  <c r="O56" i="102"/>
  <c r="M276" i="102"/>
  <c r="J401" i="102"/>
  <c r="E416" i="102"/>
  <c r="T11" i="102"/>
  <c r="E176" i="102"/>
  <c r="O236" i="102"/>
  <c r="Q296" i="102"/>
  <c r="T425" i="102"/>
  <c r="L511" i="102"/>
  <c r="M41" i="102"/>
  <c r="E56" i="102"/>
  <c r="S66" i="102"/>
  <c r="J81" i="102"/>
  <c r="J186" i="102"/>
  <c r="H276" i="102"/>
  <c r="O561" i="102"/>
  <c r="O416" i="102"/>
  <c r="N466" i="102"/>
  <c r="J146" i="102"/>
  <c r="J151" i="102"/>
  <c r="Y540" i="102"/>
  <c r="E36" i="102"/>
  <c r="M541" i="102"/>
  <c r="O39" i="102"/>
  <c r="O186" i="102"/>
  <c r="E465" i="102"/>
  <c r="L296" i="102"/>
  <c r="T316" i="102"/>
  <c r="B511" i="102"/>
  <c r="G466" i="102"/>
  <c r="Y451" i="102"/>
  <c r="R541" i="102"/>
  <c r="T261" i="102"/>
  <c r="O291" i="102"/>
  <c r="T465" i="102"/>
  <c r="J11" i="102"/>
  <c r="Y21" i="102"/>
  <c r="E39" i="102"/>
  <c r="I41" i="102"/>
  <c r="V41" i="102"/>
  <c r="E51" i="102"/>
  <c r="T101" i="102"/>
  <c r="E106" i="102"/>
  <c r="O116" i="102"/>
  <c r="M156" i="102"/>
  <c r="M191" i="102"/>
  <c r="E190" i="102"/>
  <c r="O201" i="102"/>
  <c r="I216" i="102"/>
  <c r="W216" i="102"/>
  <c r="O215" i="102"/>
  <c r="E240" i="102"/>
  <c r="E236" i="102"/>
  <c r="J256" i="102"/>
  <c r="T266" i="102"/>
  <c r="E271" i="102"/>
  <c r="E294" i="102"/>
  <c r="Y294" i="102"/>
  <c r="O316" i="102"/>
  <c r="E320" i="102"/>
  <c r="L346" i="102"/>
  <c r="X346" i="102"/>
  <c r="I371" i="102"/>
  <c r="W371" i="102"/>
  <c r="H511" i="102"/>
  <c r="H566" i="102"/>
  <c r="W566" i="102"/>
  <c r="T406" i="102"/>
  <c r="O421" i="102"/>
  <c r="C426" i="102"/>
  <c r="X541" i="102"/>
  <c r="Y186" i="102"/>
  <c r="B466" i="102"/>
  <c r="Y64" i="102"/>
  <c r="E76" i="102"/>
  <c r="T189" i="102"/>
  <c r="E201" i="102"/>
  <c r="E215" i="102"/>
  <c r="O231" i="102"/>
  <c r="T239" i="102"/>
  <c r="T331" i="102"/>
  <c r="E336" i="102"/>
  <c r="E356" i="102"/>
  <c r="O366" i="102"/>
  <c r="B371" i="102"/>
  <c r="E565" i="102"/>
  <c r="E381" i="102"/>
  <c r="O391" i="102"/>
  <c r="Y401" i="102"/>
  <c r="J406" i="102"/>
  <c r="J424" i="102"/>
  <c r="N426" i="102"/>
  <c r="O436" i="102"/>
  <c r="T451" i="102"/>
  <c r="T456" i="102"/>
  <c r="T461" i="102"/>
  <c r="G41" i="102"/>
  <c r="R296" i="102"/>
  <c r="H426" i="102"/>
  <c r="O36" i="102"/>
  <c r="J56" i="102"/>
  <c r="X66" i="102"/>
  <c r="E86" i="102"/>
  <c r="O86" i="102"/>
  <c r="O96" i="102"/>
  <c r="Y106" i="102"/>
  <c r="J111" i="102"/>
  <c r="O136" i="102"/>
  <c r="Y146" i="102"/>
  <c r="Y151" i="102"/>
  <c r="Y166" i="102"/>
  <c r="J176" i="102"/>
  <c r="Y275" i="102"/>
  <c r="I426" i="102"/>
  <c r="Y424" i="102"/>
  <c r="E436" i="102"/>
  <c r="Y456" i="102"/>
  <c r="J461" i="102"/>
  <c r="E65" i="102"/>
  <c r="Y65" i="102"/>
  <c r="J76" i="102"/>
  <c r="Y189" i="102"/>
  <c r="J201" i="102"/>
  <c r="T211" i="102"/>
  <c r="J215" i="102"/>
  <c r="E251" i="102"/>
  <c r="E275" i="102"/>
  <c r="T295" i="102"/>
  <c r="Y306" i="102"/>
  <c r="Y311" i="102"/>
  <c r="J316" i="102"/>
  <c r="Y345" i="102"/>
  <c r="J356" i="102"/>
  <c r="O401" i="102"/>
  <c r="Y416" i="102"/>
  <c r="D426" i="102"/>
  <c r="J425" i="102"/>
  <c r="J231" i="102"/>
  <c r="X371" i="102"/>
  <c r="E11" i="102"/>
  <c r="C191" i="102"/>
  <c r="C321" i="102"/>
  <c r="E155" i="102"/>
  <c r="M566" i="102"/>
  <c r="Y526" i="102"/>
  <c r="Y11" i="102"/>
  <c r="J21" i="102"/>
  <c r="Y39" i="102"/>
  <c r="T61" i="102"/>
  <c r="O101" i="102"/>
  <c r="Y111" i="102"/>
  <c r="Y121" i="102"/>
  <c r="J126" i="102"/>
  <c r="O141" i="102"/>
  <c r="J189" i="102"/>
  <c r="Y190" i="102"/>
  <c r="T206" i="102"/>
  <c r="T226" i="102"/>
  <c r="E231" i="102"/>
  <c r="G241" i="102"/>
  <c r="S241" i="102"/>
  <c r="O256" i="102"/>
  <c r="Y261" i="102"/>
  <c r="Y266" i="102"/>
  <c r="J271" i="102"/>
  <c r="Y274" i="102"/>
  <c r="J331" i="102"/>
  <c r="D346" i="102"/>
  <c r="R346" i="102"/>
  <c r="E366" i="102"/>
  <c r="C371" i="102"/>
  <c r="Q371" i="102"/>
  <c r="T496" i="102"/>
  <c r="E501" i="102"/>
  <c r="E509" i="102"/>
  <c r="T510" i="102"/>
  <c r="E551" i="102"/>
  <c r="E556" i="102"/>
  <c r="E564" i="102"/>
  <c r="E391" i="102"/>
  <c r="J465" i="102"/>
  <c r="X466" i="102"/>
  <c r="E486" i="102"/>
  <c r="T486" i="102"/>
  <c r="E521" i="102"/>
  <c r="O531" i="102"/>
  <c r="Y536" i="102"/>
  <c r="O539" i="102"/>
  <c r="S541" i="102"/>
  <c r="N321" i="102"/>
  <c r="J501" i="102"/>
  <c r="W511" i="102"/>
  <c r="N346" i="102"/>
  <c r="D241" i="102"/>
  <c r="L276" i="102"/>
  <c r="I296" i="102"/>
  <c r="M511" i="102"/>
  <c r="D541" i="102"/>
  <c r="M66" i="102"/>
  <c r="Y81" i="102"/>
  <c r="T91" i="102"/>
  <c r="O151" i="102"/>
  <c r="G156" i="102"/>
  <c r="N156" i="102"/>
  <c r="W276" i="102"/>
  <c r="M296" i="102"/>
  <c r="T366" i="102"/>
  <c r="J370" i="102"/>
  <c r="E506" i="102"/>
  <c r="T509" i="102"/>
  <c r="T551" i="102"/>
  <c r="E561" i="102"/>
  <c r="E441" i="102"/>
  <c r="Y461" i="102"/>
  <c r="D466" i="102"/>
  <c r="R466" i="102"/>
  <c r="Y465" i="102"/>
  <c r="J476" i="102"/>
  <c r="T521" i="102"/>
  <c r="I511" i="102"/>
  <c r="J556" i="102"/>
  <c r="O31" i="102"/>
  <c r="M216" i="102"/>
  <c r="M371" i="102"/>
  <c r="E31" i="102"/>
  <c r="D321" i="102"/>
  <c r="E40" i="102"/>
  <c r="J65" i="102"/>
  <c r="W66" i="102"/>
  <c r="Y91" i="102"/>
  <c r="J96" i="102"/>
  <c r="J136" i="102"/>
  <c r="E141" i="102"/>
  <c r="T146" i="102"/>
  <c r="T151" i="102"/>
  <c r="H156" i="102"/>
  <c r="O155" i="102"/>
  <c r="T155" i="102"/>
  <c r="O176" i="102"/>
  <c r="I191" i="102"/>
  <c r="S216" i="102"/>
  <c r="G296" i="102"/>
  <c r="N296" i="102"/>
  <c r="Y316" i="102"/>
  <c r="O320" i="102"/>
  <c r="Y336" i="102"/>
  <c r="Y356" i="102"/>
  <c r="Y370" i="102"/>
  <c r="T506" i="102"/>
  <c r="T561" i="102"/>
  <c r="E401" i="102"/>
  <c r="J416" i="102"/>
  <c r="T421" i="102"/>
  <c r="W426" i="102"/>
  <c r="J436" i="102"/>
  <c r="O464" i="102"/>
  <c r="S466" i="102"/>
  <c r="Y476" i="102"/>
  <c r="J486" i="102"/>
  <c r="G541" i="102"/>
  <c r="E306" i="102"/>
  <c r="T121" i="102"/>
  <c r="E331" i="102"/>
  <c r="B346" i="102"/>
  <c r="E186" i="102"/>
  <c r="R241" i="102"/>
  <c r="R321" i="102"/>
  <c r="T64" i="102"/>
  <c r="T76" i="102"/>
  <c r="Y126" i="102"/>
  <c r="Y131" i="102"/>
  <c r="Y136" i="102"/>
  <c r="J141" i="102"/>
  <c r="V156" i="102"/>
  <c r="E166" i="102"/>
  <c r="O181" i="102"/>
  <c r="X191" i="102"/>
  <c r="H216" i="102"/>
  <c r="T231" i="102"/>
  <c r="L241" i="102"/>
  <c r="X241" i="102"/>
  <c r="T256" i="102"/>
  <c r="O271" i="102"/>
  <c r="D276" i="102"/>
  <c r="J286" i="102"/>
  <c r="H296" i="102"/>
  <c r="O311" i="102"/>
  <c r="O319" i="102"/>
  <c r="Y341" i="102"/>
  <c r="O345" i="102"/>
  <c r="Y361" i="102"/>
  <c r="J366" i="102"/>
  <c r="G511" i="102"/>
  <c r="S511" i="102"/>
  <c r="E536" i="102"/>
  <c r="T540" i="102"/>
  <c r="I541" i="102"/>
  <c r="E21" i="102"/>
  <c r="Y36" i="102"/>
  <c r="T40" i="102"/>
  <c r="Y56" i="102"/>
  <c r="E64" i="102"/>
  <c r="T136" i="102"/>
  <c r="T275" i="102"/>
  <c r="D296" i="102"/>
  <c r="J295" i="102"/>
  <c r="O424" i="102"/>
  <c r="S426" i="102"/>
  <c r="Y436" i="102"/>
  <c r="J441" i="102"/>
  <c r="E456" i="102"/>
  <c r="N41" i="102"/>
  <c r="R41" i="102"/>
  <c r="O51" i="102"/>
  <c r="Y61" i="102"/>
  <c r="E189" i="102"/>
  <c r="T251" i="102"/>
  <c r="E256" i="102"/>
  <c r="O261" i="102"/>
  <c r="O266" i="102"/>
  <c r="O496" i="102"/>
  <c r="Y506" i="102"/>
  <c r="Y561" i="102"/>
  <c r="O565" i="102"/>
  <c r="O381" i="102"/>
  <c r="Y391" i="102"/>
  <c r="J396" i="102"/>
  <c r="E406" i="102"/>
  <c r="O411" i="102"/>
  <c r="O526" i="102"/>
  <c r="C541" i="102"/>
  <c r="J540" i="102"/>
  <c r="T539" i="102"/>
  <c r="O40" i="102"/>
  <c r="E261" i="102"/>
  <c r="Y446" i="102"/>
  <c r="S156" i="102"/>
  <c r="O226" i="102"/>
  <c r="B241" i="102"/>
  <c r="N241" i="102"/>
  <c r="R276" i="102"/>
  <c r="E295" i="102"/>
  <c r="N511" i="102"/>
  <c r="B426" i="102"/>
  <c r="E424" i="102"/>
  <c r="J451" i="102"/>
  <c r="J456" i="102"/>
  <c r="Y441" i="102"/>
  <c r="E540" i="102"/>
  <c r="O126" i="102"/>
  <c r="O154" i="102"/>
  <c r="L156" i="102"/>
  <c r="J31" i="102"/>
  <c r="T36" i="102"/>
  <c r="T56" i="102"/>
  <c r="O61" i="102"/>
  <c r="G66" i="102"/>
  <c r="N66" i="102"/>
  <c r="J86" i="102"/>
  <c r="E96" i="102"/>
  <c r="O106" i="102"/>
  <c r="Y116" i="102"/>
  <c r="J121" i="102"/>
  <c r="T126" i="102"/>
  <c r="E131" i="102"/>
  <c r="T186" i="102"/>
  <c r="D191" i="102"/>
  <c r="R191" i="102"/>
  <c r="O211" i="102"/>
  <c r="N216" i="102"/>
  <c r="O274" i="102"/>
  <c r="J311" i="102"/>
  <c r="Y319" i="102"/>
  <c r="T336" i="102"/>
  <c r="T341" i="102"/>
  <c r="G346" i="102"/>
  <c r="S346" i="102"/>
  <c r="J345" i="102"/>
  <c r="D371" i="102"/>
  <c r="R371" i="102"/>
  <c r="C511" i="102"/>
  <c r="C566" i="102"/>
  <c r="Q566" i="102"/>
  <c r="E464" i="102"/>
  <c r="I466" i="102"/>
  <c r="Y464" i="102"/>
  <c r="E476" i="102"/>
  <c r="J531" i="102"/>
  <c r="O11" i="102"/>
  <c r="O239" i="102"/>
  <c r="E461" i="102"/>
  <c r="O21" i="102"/>
  <c r="J40" i="102"/>
  <c r="Y40" i="102"/>
  <c r="J51" i="102"/>
  <c r="T96" i="102"/>
  <c r="E126" i="102"/>
  <c r="O166" i="102"/>
  <c r="Y181" i="102"/>
  <c r="S191" i="102"/>
  <c r="C216" i="102"/>
  <c r="Q216" i="102"/>
  <c r="O251" i="102"/>
  <c r="S276" i="102"/>
  <c r="Y291" i="102"/>
  <c r="O306" i="102"/>
  <c r="X321" i="102"/>
  <c r="Y331" i="102"/>
  <c r="H346" i="102"/>
  <c r="V346" i="102"/>
  <c r="T361" i="102"/>
  <c r="G371" i="102"/>
  <c r="S371" i="102"/>
  <c r="Y406" i="102"/>
  <c r="J411" i="102"/>
  <c r="E421" i="102"/>
  <c r="J536" i="102"/>
  <c r="Y539" i="102"/>
  <c r="T21" i="102"/>
  <c r="L41" i="102"/>
  <c r="Y51" i="102"/>
  <c r="O65" i="102"/>
  <c r="O76" i="102"/>
  <c r="T86" i="102"/>
  <c r="E91" i="102"/>
  <c r="Y101" i="102"/>
  <c r="J116" i="102"/>
  <c r="T141" i="102"/>
  <c r="E146" i="102"/>
  <c r="Y176" i="102"/>
  <c r="J181" i="102"/>
  <c r="N191" i="102"/>
  <c r="T190" i="102"/>
  <c r="O206" i="102"/>
  <c r="Y211" i="102"/>
  <c r="O214" i="102"/>
  <c r="X216" i="102"/>
  <c r="Y226" i="102"/>
  <c r="Y231" i="102"/>
  <c r="J236" i="102"/>
  <c r="Y236" i="102"/>
  <c r="I241" i="102"/>
  <c r="Y239" i="102"/>
  <c r="O240" i="102"/>
  <c r="Y271" i="102"/>
  <c r="Y286" i="102"/>
  <c r="J291" i="102"/>
  <c r="S296" i="102"/>
  <c r="T311" i="102"/>
  <c r="G321" i="102"/>
  <c r="S321" i="102"/>
  <c r="J320" i="102"/>
  <c r="Y320" i="102"/>
  <c r="E341" i="102"/>
  <c r="E344" i="102"/>
  <c r="T344" i="102"/>
  <c r="T345" i="102"/>
  <c r="T356" i="102"/>
  <c r="E361" i="102"/>
  <c r="E369" i="102"/>
  <c r="N371" i="102"/>
  <c r="T370" i="102"/>
  <c r="O501" i="102"/>
  <c r="O509" i="102"/>
  <c r="X511" i="102"/>
  <c r="O551" i="102"/>
  <c r="O556" i="102"/>
  <c r="O564" i="102"/>
  <c r="X566" i="102"/>
  <c r="Y396" i="102"/>
  <c r="T401" i="102"/>
  <c r="O406" i="102"/>
  <c r="Y411" i="102"/>
  <c r="T416" i="102"/>
  <c r="M426" i="102"/>
  <c r="J446" i="102"/>
  <c r="O461" i="102"/>
  <c r="T476" i="102"/>
  <c r="O521" i="102"/>
  <c r="Y531" i="102"/>
  <c r="T536" i="102"/>
  <c r="W541" i="102"/>
  <c r="I66" i="102"/>
  <c r="R66" i="102"/>
  <c r="O81" i="102"/>
  <c r="E101" i="102"/>
  <c r="T106" i="102"/>
  <c r="O111" i="102"/>
  <c r="W156" i="102"/>
  <c r="H191" i="102"/>
  <c r="E211" i="102"/>
  <c r="D216" i="102"/>
  <c r="R216" i="102"/>
  <c r="E226" i="102"/>
  <c r="E239" i="102"/>
  <c r="T240" i="102"/>
  <c r="E266" i="102"/>
  <c r="I276" i="102"/>
  <c r="E286" i="102"/>
  <c r="M321" i="102"/>
  <c r="J336" i="102"/>
  <c r="J341" i="102"/>
  <c r="I346" i="102"/>
  <c r="Y344" i="102"/>
  <c r="H371" i="102"/>
  <c r="Y369" i="102"/>
  <c r="J496" i="102"/>
  <c r="D511" i="102"/>
  <c r="R511" i="102"/>
  <c r="J510" i="102"/>
  <c r="D566" i="102"/>
  <c r="R566" i="102"/>
  <c r="J565" i="102"/>
  <c r="J381" i="102"/>
  <c r="T391" i="102"/>
  <c r="E396" i="102"/>
  <c r="E411" i="102"/>
  <c r="J421" i="102"/>
  <c r="O441" i="102"/>
  <c r="O446" i="102"/>
  <c r="O451" i="102"/>
  <c r="Y486" i="102"/>
  <c r="T526" i="102"/>
  <c r="E531" i="102"/>
  <c r="T51" i="102"/>
  <c r="E61" i="102"/>
  <c r="O64" i="102"/>
  <c r="T81" i="102"/>
  <c r="Y86" i="102"/>
  <c r="J91" i="102"/>
  <c r="Y96" i="102"/>
  <c r="J101" i="102"/>
  <c r="T111" i="102"/>
  <c r="E116" i="102"/>
  <c r="O121" i="102"/>
  <c r="T131" i="102"/>
  <c r="Y141" i="102"/>
  <c r="E154" i="102"/>
  <c r="T176" i="102"/>
  <c r="E181" i="102"/>
  <c r="W191" i="102"/>
  <c r="O190" i="102"/>
  <c r="Y201" i="102"/>
  <c r="J206" i="102"/>
  <c r="J214" i="102"/>
  <c r="Y215" i="102"/>
  <c r="Y256" i="102"/>
  <c r="J261" i="102"/>
  <c r="T271" i="102"/>
  <c r="J275" i="102"/>
  <c r="T286" i="102"/>
  <c r="E291" i="102"/>
  <c r="T306" i="102"/>
  <c r="E311" i="102"/>
  <c r="E319" i="102"/>
  <c r="O331" i="102"/>
  <c r="O336" i="102"/>
  <c r="O356" i="102"/>
  <c r="J361" i="102"/>
  <c r="Y366" i="102"/>
  <c r="L371" i="102"/>
  <c r="Y496" i="102"/>
  <c r="T501" i="102"/>
  <c r="Y510" i="102"/>
  <c r="J551" i="102"/>
  <c r="T556" i="102"/>
  <c r="J564" i="102"/>
  <c r="Y565" i="102"/>
  <c r="Y381" i="102"/>
  <c r="T396" i="102"/>
  <c r="T411" i="102"/>
  <c r="Y421" i="102"/>
  <c r="T424" i="102"/>
  <c r="T436" i="102"/>
  <c r="T441" i="102"/>
  <c r="O456" i="102"/>
  <c r="O476" i="102"/>
  <c r="J521" i="102"/>
  <c r="E526" i="102"/>
  <c r="T531" i="102"/>
  <c r="Y31" i="102"/>
  <c r="J36" i="102"/>
  <c r="H41" i="102"/>
  <c r="J61" i="102"/>
  <c r="T65" i="102"/>
  <c r="E81" i="102"/>
  <c r="O91" i="102"/>
  <c r="J106" i="102"/>
  <c r="E111" i="102"/>
  <c r="T116" i="102"/>
  <c r="E121" i="102"/>
  <c r="J131" i="102"/>
  <c r="E136" i="102"/>
  <c r="O146" i="102"/>
  <c r="I156" i="102"/>
  <c r="R156" i="102"/>
  <c r="J166" i="102"/>
  <c r="T181" i="102"/>
  <c r="O189" i="102"/>
  <c r="Y206" i="102"/>
  <c r="J211" i="102"/>
  <c r="Y214" i="102"/>
  <c r="J226" i="102"/>
  <c r="T236" i="102"/>
  <c r="J240" i="102"/>
  <c r="Y240" i="102"/>
  <c r="Y251" i="102"/>
  <c r="J266" i="102"/>
  <c r="Q276" i="102"/>
  <c r="X276" i="102"/>
  <c r="T291" i="102"/>
  <c r="X296" i="102"/>
  <c r="E316" i="102"/>
  <c r="T319" i="102"/>
  <c r="T320" i="102"/>
  <c r="O341" i="102"/>
  <c r="O344" i="102"/>
  <c r="E345" i="102"/>
  <c r="O361" i="102"/>
  <c r="O369" i="102"/>
  <c r="Y501" i="102"/>
  <c r="J506" i="102"/>
  <c r="Y509" i="102"/>
  <c r="Y551" i="102"/>
  <c r="Y556" i="102"/>
  <c r="J561" i="102"/>
  <c r="Y564" i="102"/>
  <c r="J391" i="102"/>
  <c r="R426" i="102"/>
  <c r="E446" i="102"/>
  <c r="T446" i="102"/>
  <c r="E451" i="102"/>
  <c r="H466" i="102"/>
  <c r="O465" i="102"/>
  <c r="O486" i="102"/>
  <c r="Y521" i="102"/>
  <c r="J526" i="102"/>
  <c r="H541" i="102"/>
  <c r="O540" i="102"/>
  <c r="Q541" i="102"/>
  <c r="J539" i="102"/>
  <c r="B541" i="102"/>
  <c r="V541" i="102"/>
  <c r="L541" i="102"/>
  <c r="V466" i="102"/>
  <c r="T464" i="102"/>
  <c r="L466" i="102"/>
  <c r="Q466" i="102"/>
  <c r="J464" i="102"/>
  <c r="C466" i="102"/>
  <c r="M466" i="102"/>
  <c r="W466" i="102"/>
  <c r="G426" i="102"/>
  <c r="E425" i="102"/>
  <c r="V426" i="102"/>
  <c r="Q426" i="102"/>
  <c r="L426" i="102"/>
  <c r="G566" i="102"/>
  <c r="T564" i="102"/>
  <c r="B566" i="102"/>
  <c r="L566" i="102"/>
  <c r="V566" i="102"/>
  <c r="J509" i="102"/>
  <c r="O510" i="102"/>
  <c r="V511" i="102"/>
  <c r="Q511" i="102"/>
  <c r="E510" i="102"/>
  <c r="J369" i="102"/>
  <c r="T369" i="102"/>
  <c r="E370" i="102"/>
  <c r="O370" i="102"/>
  <c r="V371" i="102"/>
  <c r="Q346" i="102"/>
  <c r="J344" i="102"/>
  <c r="C346" i="102"/>
  <c r="M346" i="102"/>
  <c r="W346" i="102"/>
  <c r="Q321" i="102"/>
  <c r="J319" i="102"/>
  <c r="B321" i="102"/>
  <c r="L321" i="102"/>
  <c r="W321" i="102"/>
  <c r="O294" i="102"/>
  <c r="J294" i="102"/>
  <c r="T294" i="102"/>
  <c r="O295" i="102"/>
  <c r="V296" i="102"/>
  <c r="B296" i="102"/>
  <c r="J274" i="102"/>
  <c r="T274" i="102"/>
  <c r="O275" i="102"/>
  <c r="V276" i="102"/>
  <c r="B276" i="102"/>
  <c r="Q241" i="102"/>
  <c r="J239" i="102"/>
  <c r="M241" i="102"/>
  <c r="C241" i="102"/>
  <c r="W241" i="102"/>
  <c r="G216" i="102"/>
  <c r="T214" i="102"/>
  <c r="B216" i="102"/>
  <c r="L216" i="102"/>
  <c r="V216" i="102"/>
  <c r="G191" i="102"/>
  <c r="B191" i="102"/>
  <c r="L191" i="102"/>
  <c r="Q191" i="102"/>
  <c r="V191" i="102"/>
  <c r="Y154" i="102"/>
  <c r="J155" i="102"/>
  <c r="C156" i="102"/>
  <c r="J154" i="102"/>
  <c r="T154" i="102"/>
  <c r="D66" i="102"/>
  <c r="J64" i="102"/>
  <c r="B66" i="102"/>
  <c r="V66" i="102"/>
  <c r="L66" i="102"/>
  <c r="Q66" i="102"/>
  <c r="J39" i="102"/>
  <c r="B41" i="102"/>
  <c r="N1294" i="103"/>
  <c r="M1294" i="103"/>
  <c r="L1294" i="103"/>
  <c r="I1294" i="103"/>
  <c r="H1294" i="103"/>
  <c r="G1294" i="103"/>
  <c r="D1294" i="103"/>
  <c r="C1294" i="103"/>
  <c r="B1294" i="103"/>
  <c r="O1292" i="103"/>
  <c r="J1292" i="103"/>
  <c r="E1292" i="103"/>
  <c r="O1291" i="103"/>
  <c r="J1291" i="103"/>
  <c r="E1291" i="103"/>
  <c r="O1290" i="103"/>
  <c r="J1290" i="103"/>
  <c r="E1290" i="103"/>
  <c r="O1289" i="103"/>
  <c r="J1289" i="103"/>
  <c r="E1289" i="103"/>
  <c r="O1288" i="103"/>
  <c r="J1288" i="103"/>
  <c r="E1288" i="103"/>
  <c r="O1287" i="103"/>
  <c r="J1287" i="103"/>
  <c r="E1287" i="103"/>
  <c r="O1286" i="103"/>
  <c r="J1286" i="103"/>
  <c r="E1286" i="103"/>
  <c r="O1285" i="103"/>
  <c r="J1285" i="103"/>
  <c r="E1285" i="103"/>
  <c r="O1284" i="103"/>
  <c r="J1284" i="103"/>
  <c r="E1284" i="103"/>
  <c r="O1282" i="103"/>
  <c r="J1282" i="103"/>
  <c r="E1282" i="103"/>
  <c r="L1281" i="103"/>
  <c r="G1281" i="103"/>
  <c r="B1281" i="103"/>
  <c r="N1277" i="103"/>
  <c r="M1277" i="103"/>
  <c r="L1277" i="103"/>
  <c r="I1277" i="103"/>
  <c r="H1277" i="103"/>
  <c r="G1277" i="103"/>
  <c r="D1277" i="103"/>
  <c r="C1277" i="103"/>
  <c r="B1277" i="103"/>
  <c r="O1275" i="103"/>
  <c r="J1275" i="103"/>
  <c r="E1275" i="103"/>
  <c r="O1274" i="103"/>
  <c r="J1274" i="103"/>
  <c r="E1274" i="103"/>
  <c r="O1273" i="103"/>
  <c r="J1273" i="103"/>
  <c r="E1273" i="103"/>
  <c r="O1272" i="103"/>
  <c r="J1272" i="103"/>
  <c r="E1272" i="103"/>
  <c r="O1271" i="103"/>
  <c r="J1271" i="103"/>
  <c r="E1271" i="103"/>
  <c r="O1270" i="103"/>
  <c r="J1270" i="103"/>
  <c r="E1270" i="103"/>
  <c r="O1269" i="103"/>
  <c r="J1269" i="103"/>
  <c r="E1269" i="103"/>
  <c r="O1268" i="103"/>
  <c r="J1268" i="103"/>
  <c r="E1268" i="103"/>
  <c r="O1267" i="103"/>
  <c r="J1267" i="103"/>
  <c r="E1267" i="103"/>
  <c r="O1265" i="103"/>
  <c r="J1265" i="103"/>
  <c r="E1265" i="103"/>
  <c r="L1264" i="103"/>
  <c r="G1264" i="103"/>
  <c r="B1264" i="103"/>
  <c r="N1260" i="103"/>
  <c r="M1260" i="103"/>
  <c r="L1260" i="103"/>
  <c r="I1260" i="103"/>
  <c r="H1260" i="103"/>
  <c r="G1260" i="103"/>
  <c r="D1260" i="103"/>
  <c r="C1260" i="103"/>
  <c r="B1260" i="103"/>
  <c r="O1258" i="103"/>
  <c r="J1258" i="103"/>
  <c r="E1258" i="103"/>
  <c r="O1257" i="103"/>
  <c r="J1257" i="103"/>
  <c r="E1257" i="103"/>
  <c r="O1256" i="103"/>
  <c r="J1256" i="103"/>
  <c r="E1256" i="103"/>
  <c r="O1255" i="103"/>
  <c r="J1255" i="103"/>
  <c r="E1255" i="103"/>
  <c r="O1254" i="103"/>
  <c r="J1254" i="103"/>
  <c r="E1254" i="103"/>
  <c r="O1253" i="103"/>
  <c r="J1253" i="103"/>
  <c r="E1253" i="103"/>
  <c r="O1252" i="103"/>
  <c r="J1252" i="103"/>
  <c r="E1252" i="103"/>
  <c r="O1251" i="103"/>
  <c r="J1251" i="103"/>
  <c r="E1251" i="103"/>
  <c r="O1250" i="103"/>
  <c r="J1250" i="103"/>
  <c r="E1250" i="103"/>
  <c r="O1248" i="103"/>
  <c r="J1248" i="103"/>
  <c r="E1248" i="103"/>
  <c r="L1247" i="103"/>
  <c r="G1247" i="103"/>
  <c r="B1247" i="103"/>
  <c r="N1243" i="103"/>
  <c r="M1243" i="103"/>
  <c r="L1243" i="103"/>
  <c r="I1243" i="103"/>
  <c r="H1243" i="103"/>
  <c r="G1243" i="103"/>
  <c r="D1243" i="103"/>
  <c r="C1243" i="103"/>
  <c r="B1243" i="103"/>
  <c r="O1241" i="103"/>
  <c r="J1241" i="103"/>
  <c r="E1241" i="103"/>
  <c r="O1240" i="103"/>
  <c r="J1240" i="103"/>
  <c r="E1240" i="103"/>
  <c r="O1239" i="103"/>
  <c r="J1239" i="103"/>
  <c r="E1239" i="103"/>
  <c r="O1238" i="103"/>
  <c r="J1238" i="103"/>
  <c r="E1238" i="103"/>
  <c r="O1237" i="103"/>
  <c r="J1237" i="103"/>
  <c r="E1237" i="103"/>
  <c r="O1236" i="103"/>
  <c r="J1236" i="103"/>
  <c r="E1236" i="103"/>
  <c r="O1235" i="103"/>
  <c r="J1235" i="103"/>
  <c r="E1235" i="103"/>
  <c r="O1234" i="103"/>
  <c r="J1234" i="103"/>
  <c r="E1234" i="103"/>
  <c r="O1233" i="103"/>
  <c r="J1233" i="103"/>
  <c r="E1233" i="103"/>
  <c r="O1231" i="103"/>
  <c r="J1231" i="103"/>
  <c r="E1231" i="103"/>
  <c r="L1230" i="103"/>
  <c r="G1230" i="103"/>
  <c r="B1230" i="103"/>
  <c r="N1226" i="103"/>
  <c r="M1226" i="103"/>
  <c r="L1226" i="103"/>
  <c r="I1226" i="103"/>
  <c r="H1226" i="103"/>
  <c r="G1226" i="103"/>
  <c r="D1226" i="103"/>
  <c r="C1226" i="103"/>
  <c r="B1226" i="103"/>
  <c r="O1224" i="103"/>
  <c r="J1224" i="103"/>
  <c r="E1224" i="103"/>
  <c r="O1223" i="103"/>
  <c r="J1223" i="103"/>
  <c r="E1223" i="103"/>
  <c r="O1222" i="103"/>
  <c r="J1222" i="103"/>
  <c r="E1222" i="103"/>
  <c r="O1221" i="103"/>
  <c r="J1221" i="103"/>
  <c r="E1221" i="103"/>
  <c r="O1220" i="103"/>
  <c r="J1220" i="103"/>
  <c r="E1220" i="103"/>
  <c r="O1219" i="103"/>
  <c r="J1219" i="103"/>
  <c r="E1219" i="103"/>
  <c r="O1218" i="103"/>
  <c r="J1218" i="103"/>
  <c r="E1218" i="103"/>
  <c r="O1217" i="103"/>
  <c r="J1217" i="103"/>
  <c r="E1217" i="103"/>
  <c r="O1216" i="103"/>
  <c r="J1216" i="103"/>
  <c r="E1216" i="103"/>
  <c r="O1214" i="103"/>
  <c r="J1214" i="103"/>
  <c r="E1214" i="103"/>
  <c r="L1213" i="103"/>
  <c r="G1213" i="103"/>
  <c r="B1213" i="103"/>
  <c r="N1209" i="103"/>
  <c r="M1209" i="103"/>
  <c r="L1209" i="103"/>
  <c r="I1209" i="103"/>
  <c r="H1209" i="103"/>
  <c r="G1209" i="103"/>
  <c r="D1209" i="103"/>
  <c r="C1209" i="103"/>
  <c r="B1209" i="103"/>
  <c r="O1207" i="103"/>
  <c r="J1207" i="103"/>
  <c r="E1207" i="103"/>
  <c r="O1206" i="103"/>
  <c r="J1206" i="103"/>
  <c r="E1206" i="103"/>
  <c r="O1205" i="103"/>
  <c r="J1205" i="103"/>
  <c r="E1205" i="103"/>
  <c r="O1204" i="103"/>
  <c r="J1204" i="103"/>
  <c r="E1204" i="103"/>
  <c r="O1203" i="103"/>
  <c r="J1203" i="103"/>
  <c r="E1203" i="103"/>
  <c r="O1202" i="103"/>
  <c r="J1202" i="103"/>
  <c r="E1202" i="103"/>
  <c r="O1201" i="103"/>
  <c r="J1201" i="103"/>
  <c r="E1201" i="103"/>
  <c r="O1200" i="103"/>
  <c r="J1200" i="103"/>
  <c r="E1200" i="103"/>
  <c r="O1199" i="103"/>
  <c r="J1199" i="103"/>
  <c r="E1199" i="103"/>
  <c r="O1197" i="103"/>
  <c r="J1197" i="103"/>
  <c r="E1197" i="103"/>
  <c r="L1196" i="103"/>
  <c r="G1196" i="103"/>
  <c r="B1196" i="103"/>
  <c r="N1192" i="103"/>
  <c r="M1192" i="103"/>
  <c r="L1192" i="103"/>
  <c r="I1192" i="103"/>
  <c r="H1192" i="103"/>
  <c r="G1192" i="103"/>
  <c r="D1192" i="103"/>
  <c r="C1192" i="103"/>
  <c r="B1192" i="103"/>
  <c r="O1190" i="103"/>
  <c r="J1190" i="103"/>
  <c r="E1190" i="103"/>
  <c r="O1189" i="103"/>
  <c r="J1189" i="103"/>
  <c r="E1189" i="103"/>
  <c r="O1188" i="103"/>
  <c r="J1188" i="103"/>
  <c r="E1188" i="103"/>
  <c r="O1187" i="103"/>
  <c r="J1187" i="103"/>
  <c r="E1187" i="103"/>
  <c r="O1186" i="103"/>
  <c r="J1186" i="103"/>
  <c r="E1186" i="103"/>
  <c r="O1185" i="103"/>
  <c r="J1185" i="103"/>
  <c r="E1185" i="103"/>
  <c r="O1184" i="103"/>
  <c r="J1184" i="103"/>
  <c r="E1184" i="103"/>
  <c r="O1183" i="103"/>
  <c r="J1183" i="103"/>
  <c r="E1183" i="103"/>
  <c r="O1182" i="103"/>
  <c r="J1182" i="103"/>
  <c r="E1182" i="103"/>
  <c r="O1180" i="103"/>
  <c r="J1180" i="103"/>
  <c r="E1180" i="103"/>
  <c r="L1179" i="103"/>
  <c r="G1179" i="103"/>
  <c r="B1179" i="103"/>
  <c r="N1175" i="103"/>
  <c r="M1175" i="103"/>
  <c r="L1175" i="103"/>
  <c r="I1175" i="103"/>
  <c r="H1175" i="103"/>
  <c r="G1175" i="103"/>
  <c r="D1175" i="103"/>
  <c r="C1175" i="103"/>
  <c r="B1175" i="103"/>
  <c r="O1173" i="103"/>
  <c r="J1173" i="103"/>
  <c r="E1173" i="103"/>
  <c r="O1172" i="103"/>
  <c r="J1172" i="103"/>
  <c r="E1172" i="103"/>
  <c r="O1171" i="103"/>
  <c r="J1171" i="103"/>
  <c r="E1171" i="103"/>
  <c r="O1170" i="103"/>
  <c r="J1170" i="103"/>
  <c r="E1170" i="103"/>
  <c r="O1169" i="103"/>
  <c r="J1169" i="103"/>
  <c r="E1169" i="103"/>
  <c r="O1168" i="103"/>
  <c r="J1168" i="103"/>
  <c r="E1168" i="103"/>
  <c r="O1167" i="103"/>
  <c r="J1167" i="103"/>
  <c r="E1167" i="103"/>
  <c r="O1166" i="103"/>
  <c r="J1166" i="103"/>
  <c r="E1166" i="103"/>
  <c r="O1165" i="103"/>
  <c r="J1165" i="103"/>
  <c r="E1165" i="103"/>
  <c r="O1163" i="103"/>
  <c r="J1163" i="103"/>
  <c r="E1163" i="103"/>
  <c r="L1162" i="103"/>
  <c r="G1162" i="103"/>
  <c r="B1162" i="103"/>
  <c r="N1158" i="103"/>
  <c r="M1158" i="103"/>
  <c r="L1158" i="103"/>
  <c r="I1158" i="103"/>
  <c r="H1158" i="103"/>
  <c r="G1158" i="103"/>
  <c r="D1158" i="103"/>
  <c r="C1158" i="103"/>
  <c r="B1158" i="103"/>
  <c r="O1156" i="103"/>
  <c r="J1156" i="103"/>
  <c r="E1156" i="103"/>
  <c r="O1155" i="103"/>
  <c r="J1155" i="103"/>
  <c r="E1155" i="103"/>
  <c r="O1154" i="103"/>
  <c r="J1154" i="103"/>
  <c r="E1154" i="103"/>
  <c r="O1153" i="103"/>
  <c r="J1153" i="103"/>
  <c r="E1153" i="103"/>
  <c r="O1152" i="103"/>
  <c r="J1152" i="103"/>
  <c r="E1152" i="103"/>
  <c r="O1151" i="103"/>
  <c r="J1151" i="103"/>
  <c r="E1151" i="103"/>
  <c r="O1150" i="103"/>
  <c r="J1150" i="103"/>
  <c r="E1150" i="103"/>
  <c r="O1149" i="103"/>
  <c r="J1149" i="103"/>
  <c r="E1149" i="103"/>
  <c r="O1148" i="103"/>
  <c r="J1148" i="103"/>
  <c r="E1148" i="103"/>
  <c r="O1146" i="103"/>
  <c r="J1146" i="103"/>
  <c r="E1146" i="103"/>
  <c r="L1145" i="103"/>
  <c r="G1145" i="103"/>
  <c r="B1145" i="103"/>
  <c r="N1141" i="103"/>
  <c r="M1141" i="103"/>
  <c r="L1141" i="103"/>
  <c r="I1141" i="103"/>
  <c r="H1141" i="103"/>
  <c r="G1141" i="103"/>
  <c r="D1141" i="103"/>
  <c r="C1141" i="103"/>
  <c r="B1141" i="103"/>
  <c r="O1139" i="103"/>
  <c r="J1139" i="103"/>
  <c r="E1139" i="103"/>
  <c r="O1138" i="103"/>
  <c r="J1138" i="103"/>
  <c r="E1138" i="103"/>
  <c r="O1137" i="103"/>
  <c r="J1137" i="103"/>
  <c r="E1137" i="103"/>
  <c r="O1136" i="103"/>
  <c r="J1136" i="103"/>
  <c r="E1136" i="103"/>
  <c r="O1135" i="103"/>
  <c r="J1135" i="103"/>
  <c r="E1135" i="103"/>
  <c r="O1134" i="103"/>
  <c r="J1134" i="103"/>
  <c r="E1134" i="103"/>
  <c r="O1133" i="103"/>
  <c r="J1133" i="103"/>
  <c r="E1133" i="103"/>
  <c r="O1132" i="103"/>
  <c r="J1132" i="103"/>
  <c r="E1132" i="103"/>
  <c r="O1131" i="103"/>
  <c r="J1131" i="103"/>
  <c r="E1131" i="103"/>
  <c r="O1129" i="103"/>
  <c r="J1129" i="103"/>
  <c r="E1129" i="103"/>
  <c r="L1128" i="103"/>
  <c r="G1128" i="103"/>
  <c r="B1128" i="103"/>
  <c r="N1124" i="103"/>
  <c r="M1124" i="103"/>
  <c r="L1124" i="103"/>
  <c r="I1124" i="103"/>
  <c r="H1124" i="103"/>
  <c r="G1124" i="103"/>
  <c r="D1124" i="103"/>
  <c r="C1124" i="103"/>
  <c r="B1124" i="103"/>
  <c r="O1122" i="103"/>
  <c r="J1122" i="103"/>
  <c r="E1122" i="103"/>
  <c r="O1121" i="103"/>
  <c r="J1121" i="103"/>
  <c r="E1121" i="103"/>
  <c r="O1120" i="103"/>
  <c r="J1120" i="103"/>
  <c r="E1120" i="103"/>
  <c r="O1119" i="103"/>
  <c r="J1119" i="103"/>
  <c r="E1119" i="103"/>
  <c r="O1118" i="103"/>
  <c r="J1118" i="103"/>
  <c r="E1118" i="103"/>
  <c r="O1117" i="103"/>
  <c r="J1117" i="103"/>
  <c r="E1117" i="103"/>
  <c r="O1116" i="103"/>
  <c r="J1116" i="103"/>
  <c r="E1116" i="103"/>
  <c r="O1115" i="103"/>
  <c r="J1115" i="103"/>
  <c r="E1115" i="103"/>
  <c r="O1114" i="103"/>
  <c r="J1114" i="103"/>
  <c r="E1114" i="103"/>
  <c r="O1112" i="103"/>
  <c r="J1112" i="103"/>
  <c r="E1112" i="103"/>
  <c r="L1111" i="103"/>
  <c r="G1111" i="103"/>
  <c r="B1111" i="103"/>
  <c r="N1107" i="103"/>
  <c r="M1107" i="103"/>
  <c r="L1107" i="103"/>
  <c r="I1107" i="103"/>
  <c r="H1107" i="103"/>
  <c r="G1107" i="103"/>
  <c r="D1107" i="103"/>
  <c r="C1107" i="103"/>
  <c r="B1107" i="103"/>
  <c r="O1105" i="103"/>
  <c r="J1105" i="103"/>
  <c r="E1105" i="103"/>
  <c r="O1104" i="103"/>
  <c r="J1104" i="103"/>
  <c r="E1104" i="103"/>
  <c r="O1103" i="103"/>
  <c r="J1103" i="103"/>
  <c r="E1103" i="103"/>
  <c r="O1102" i="103"/>
  <c r="J1102" i="103"/>
  <c r="E1102" i="103"/>
  <c r="O1101" i="103"/>
  <c r="J1101" i="103"/>
  <c r="E1101" i="103"/>
  <c r="O1100" i="103"/>
  <c r="J1100" i="103"/>
  <c r="E1100" i="103"/>
  <c r="O1099" i="103"/>
  <c r="J1099" i="103"/>
  <c r="E1099" i="103"/>
  <c r="O1098" i="103"/>
  <c r="J1098" i="103"/>
  <c r="E1098" i="103"/>
  <c r="O1097" i="103"/>
  <c r="J1097" i="103"/>
  <c r="E1097" i="103"/>
  <c r="O1095" i="103"/>
  <c r="J1095" i="103"/>
  <c r="E1095" i="103"/>
  <c r="L1094" i="103"/>
  <c r="G1094" i="103"/>
  <c r="B1094" i="103"/>
  <c r="N1090" i="103"/>
  <c r="M1090" i="103"/>
  <c r="L1090" i="103"/>
  <c r="I1090" i="103"/>
  <c r="H1090" i="103"/>
  <c r="G1090" i="103"/>
  <c r="D1090" i="103"/>
  <c r="C1090" i="103"/>
  <c r="B1090" i="103"/>
  <c r="O1088" i="103"/>
  <c r="J1088" i="103"/>
  <c r="E1088" i="103"/>
  <c r="O1087" i="103"/>
  <c r="J1087" i="103"/>
  <c r="E1087" i="103"/>
  <c r="O1086" i="103"/>
  <c r="J1086" i="103"/>
  <c r="E1086" i="103"/>
  <c r="O1085" i="103"/>
  <c r="J1085" i="103"/>
  <c r="E1085" i="103"/>
  <c r="O1084" i="103"/>
  <c r="J1084" i="103"/>
  <c r="E1084" i="103"/>
  <c r="O1083" i="103"/>
  <c r="J1083" i="103"/>
  <c r="E1083" i="103"/>
  <c r="O1082" i="103"/>
  <c r="J1082" i="103"/>
  <c r="E1082" i="103"/>
  <c r="O1081" i="103"/>
  <c r="J1081" i="103"/>
  <c r="E1081" i="103"/>
  <c r="O1080" i="103"/>
  <c r="J1080" i="103"/>
  <c r="E1080" i="103"/>
  <c r="O1078" i="103"/>
  <c r="J1078" i="103"/>
  <c r="E1078" i="103"/>
  <c r="L1077" i="103"/>
  <c r="G1077" i="103"/>
  <c r="B1077" i="103"/>
  <c r="N1073" i="103"/>
  <c r="M1073" i="103"/>
  <c r="L1073" i="103"/>
  <c r="I1073" i="103"/>
  <c r="H1073" i="103"/>
  <c r="G1073" i="103"/>
  <c r="D1073" i="103"/>
  <c r="C1073" i="103"/>
  <c r="B1073" i="103"/>
  <c r="O1071" i="103"/>
  <c r="J1071" i="103"/>
  <c r="E1071" i="103"/>
  <c r="O1070" i="103"/>
  <c r="J1070" i="103"/>
  <c r="E1070" i="103"/>
  <c r="O1069" i="103"/>
  <c r="J1069" i="103"/>
  <c r="E1069" i="103"/>
  <c r="O1068" i="103"/>
  <c r="J1068" i="103"/>
  <c r="E1068" i="103"/>
  <c r="O1067" i="103"/>
  <c r="J1067" i="103"/>
  <c r="E1067" i="103"/>
  <c r="O1066" i="103"/>
  <c r="J1066" i="103"/>
  <c r="E1066" i="103"/>
  <c r="O1065" i="103"/>
  <c r="J1065" i="103"/>
  <c r="E1065" i="103"/>
  <c r="O1064" i="103"/>
  <c r="J1064" i="103"/>
  <c r="E1064" i="103"/>
  <c r="O1063" i="103"/>
  <c r="J1063" i="103"/>
  <c r="E1063" i="103"/>
  <c r="O1061" i="103"/>
  <c r="J1061" i="103"/>
  <c r="E1061" i="103"/>
  <c r="L1060" i="103"/>
  <c r="G1060" i="103"/>
  <c r="B1060" i="103"/>
  <c r="N1056" i="103"/>
  <c r="M1056" i="103"/>
  <c r="L1056" i="103"/>
  <c r="I1056" i="103"/>
  <c r="H1056" i="103"/>
  <c r="G1056" i="103"/>
  <c r="D1056" i="103"/>
  <c r="C1056" i="103"/>
  <c r="B1056" i="103"/>
  <c r="O1054" i="103"/>
  <c r="J1054" i="103"/>
  <c r="E1054" i="103"/>
  <c r="O1053" i="103"/>
  <c r="J1053" i="103"/>
  <c r="E1053" i="103"/>
  <c r="O1052" i="103"/>
  <c r="J1052" i="103"/>
  <c r="E1052" i="103"/>
  <c r="O1051" i="103"/>
  <c r="J1051" i="103"/>
  <c r="E1051" i="103"/>
  <c r="O1050" i="103"/>
  <c r="J1050" i="103"/>
  <c r="E1050" i="103"/>
  <c r="O1049" i="103"/>
  <c r="J1049" i="103"/>
  <c r="E1049" i="103"/>
  <c r="O1048" i="103"/>
  <c r="J1048" i="103"/>
  <c r="E1048" i="103"/>
  <c r="O1047" i="103"/>
  <c r="J1047" i="103"/>
  <c r="E1047" i="103"/>
  <c r="O1046" i="103"/>
  <c r="J1046" i="103"/>
  <c r="E1046" i="103"/>
  <c r="O1044" i="103"/>
  <c r="J1044" i="103"/>
  <c r="E1044" i="103"/>
  <c r="L1043" i="103"/>
  <c r="G1043" i="103"/>
  <c r="B1043" i="103"/>
  <c r="N1039" i="103"/>
  <c r="M1039" i="103"/>
  <c r="L1039" i="103"/>
  <c r="I1039" i="103"/>
  <c r="H1039" i="103"/>
  <c r="G1039" i="103"/>
  <c r="D1039" i="103"/>
  <c r="C1039" i="103"/>
  <c r="B1039" i="103"/>
  <c r="O1037" i="103"/>
  <c r="J1037" i="103"/>
  <c r="E1037" i="103"/>
  <c r="O1036" i="103"/>
  <c r="J1036" i="103"/>
  <c r="E1036" i="103"/>
  <c r="O1035" i="103"/>
  <c r="J1035" i="103"/>
  <c r="E1035" i="103"/>
  <c r="O1034" i="103"/>
  <c r="J1034" i="103"/>
  <c r="E1034" i="103"/>
  <c r="O1033" i="103"/>
  <c r="J1033" i="103"/>
  <c r="E1033" i="103"/>
  <c r="O1032" i="103"/>
  <c r="J1032" i="103"/>
  <c r="E1032" i="103"/>
  <c r="O1031" i="103"/>
  <c r="J1031" i="103"/>
  <c r="E1031" i="103"/>
  <c r="O1030" i="103"/>
  <c r="J1030" i="103"/>
  <c r="E1030" i="103"/>
  <c r="O1029" i="103"/>
  <c r="J1029" i="103"/>
  <c r="E1029" i="103"/>
  <c r="O1027" i="103"/>
  <c r="J1027" i="103"/>
  <c r="E1027" i="103"/>
  <c r="L1026" i="103"/>
  <c r="G1026" i="103"/>
  <c r="B1026" i="103"/>
  <c r="N1022" i="103"/>
  <c r="M1022" i="103"/>
  <c r="L1022" i="103"/>
  <c r="I1022" i="103"/>
  <c r="H1022" i="103"/>
  <c r="G1022" i="103"/>
  <c r="D1022" i="103"/>
  <c r="C1022" i="103"/>
  <c r="B1022" i="103"/>
  <c r="O1020" i="103"/>
  <c r="J1020" i="103"/>
  <c r="E1020" i="103"/>
  <c r="O1019" i="103"/>
  <c r="J1019" i="103"/>
  <c r="E1019" i="103"/>
  <c r="O1018" i="103"/>
  <c r="J1018" i="103"/>
  <c r="E1018" i="103"/>
  <c r="O1017" i="103"/>
  <c r="J1017" i="103"/>
  <c r="E1017" i="103"/>
  <c r="O1016" i="103"/>
  <c r="J1016" i="103"/>
  <c r="E1016" i="103"/>
  <c r="O1015" i="103"/>
  <c r="J1015" i="103"/>
  <c r="E1015" i="103"/>
  <c r="O1014" i="103"/>
  <c r="J1014" i="103"/>
  <c r="E1014" i="103"/>
  <c r="O1013" i="103"/>
  <c r="J1013" i="103"/>
  <c r="E1013" i="103"/>
  <c r="O1012" i="103"/>
  <c r="J1012" i="103"/>
  <c r="E1012" i="103"/>
  <c r="O1010" i="103"/>
  <c r="J1010" i="103"/>
  <c r="E1010" i="103"/>
  <c r="L1009" i="103"/>
  <c r="G1009" i="103"/>
  <c r="B1009" i="103"/>
  <c r="N1005" i="103"/>
  <c r="M1005" i="103"/>
  <c r="L1005" i="103"/>
  <c r="I1005" i="103"/>
  <c r="H1005" i="103"/>
  <c r="G1005" i="103"/>
  <c r="D1005" i="103"/>
  <c r="C1005" i="103"/>
  <c r="B1005" i="103"/>
  <c r="O1003" i="103"/>
  <c r="J1003" i="103"/>
  <c r="E1003" i="103"/>
  <c r="O1002" i="103"/>
  <c r="J1002" i="103"/>
  <c r="E1002" i="103"/>
  <c r="O1001" i="103"/>
  <c r="J1001" i="103"/>
  <c r="E1001" i="103"/>
  <c r="O1000" i="103"/>
  <c r="J1000" i="103"/>
  <c r="E1000" i="103"/>
  <c r="O999" i="103"/>
  <c r="J999" i="103"/>
  <c r="E999" i="103"/>
  <c r="O998" i="103"/>
  <c r="J998" i="103"/>
  <c r="E998" i="103"/>
  <c r="O997" i="103"/>
  <c r="J997" i="103"/>
  <c r="E997" i="103"/>
  <c r="O996" i="103"/>
  <c r="J996" i="103"/>
  <c r="E996" i="103"/>
  <c r="O995" i="103"/>
  <c r="J995" i="103"/>
  <c r="E995" i="103"/>
  <c r="O993" i="103"/>
  <c r="J993" i="103"/>
  <c r="E993" i="103"/>
  <c r="L992" i="103"/>
  <c r="G992" i="103"/>
  <c r="B992" i="103"/>
  <c r="N988" i="103"/>
  <c r="M988" i="103"/>
  <c r="L988" i="103"/>
  <c r="I988" i="103"/>
  <c r="H988" i="103"/>
  <c r="G988" i="103"/>
  <c r="D988" i="103"/>
  <c r="C988" i="103"/>
  <c r="B988" i="103"/>
  <c r="O986" i="103"/>
  <c r="J986" i="103"/>
  <c r="E986" i="103"/>
  <c r="O985" i="103"/>
  <c r="J985" i="103"/>
  <c r="E985" i="103"/>
  <c r="O984" i="103"/>
  <c r="J984" i="103"/>
  <c r="E984" i="103"/>
  <c r="O983" i="103"/>
  <c r="J983" i="103"/>
  <c r="E983" i="103"/>
  <c r="O982" i="103"/>
  <c r="J982" i="103"/>
  <c r="E982" i="103"/>
  <c r="O981" i="103"/>
  <c r="J981" i="103"/>
  <c r="E981" i="103"/>
  <c r="O980" i="103"/>
  <c r="J980" i="103"/>
  <c r="E980" i="103"/>
  <c r="O979" i="103"/>
  <c r="J979" i="103"/>
  <c r="E979" i="103"/>
  <c r="O978" i="103"/>
  <c r="J978" i="103"/>
  <c r="E978" i="103"/>
  <c r="O976" i="103"/>
  <c r="J976" i="103"/>
  <c r="E976" i="103"/>
  <c r="L975" i="103"/>
  <c r="G975" i="103"/>
  <c r="B975" i="103"/>
  <c r="N971" i="103"/>
  <c r="M971" i="103"/>
  <c r="L971" i="103"/>
  <c r="I971" i="103"/>
  <c r="H971" i="103"/>
  <c r="G971" i="103"/>
  <c r="D971" i="103"/>
  <c r="C971" i="103"/>
  <c r="B971" i="103"/>
  <c r="O969" i="103"/>
  <c r="J969" i="103"/>
  <c r="E969" i="103"/>
  <c r="O968" i="103"/>
  <c r="J968" i="103"/>
  <c r="E968" i="103"/>
  <c r="O967" i="103"/>
  <c r="J967" i="103"/>
  <c r="E967" i="103"/>
  <c r="O966" i="103"/>
  <c r="J966" i="103"/>
  <c r="E966" i="103"/>
  <c r="O965" i="103"/>
  <c r="J965" i="103"/>
  <c r="E965" i="103"/>
  <c r="O964" i="103"/>
  <c r="J964" i="103"/>
  <c r="E964" i="103"/>
  <c r="O963" i="103"/>
  <c r="J963" i="103"/>
  <c r="E963" i="103"/>
  <c r="O962" i="103"/>
  <c r="J962" i="103"/>
  <c r="E962" i="103"/>
  <c r="O961" i="103"/>
  <c r="J961" i="103"/>
  <c r="E961" i="103"/>
  <c r="O959" i="103"/>
  <c r="J959" i="103"/>
  <c r="E959" i="103"/>
  <c r="L958" i="103"/>
  <c r="G958" i="103"/>
  <c r="B958" i="103"/>
  <c r="N954" i="103"/>
  <c r="M954" i="103"/>
  <c r="L954" i="103"/>
  <c r="I954" i="103"/>
  <c r="H954" i="103"/>
  <c r="G954" i="103"/>
  <c r="D954" i="103"/>
  <c r="C954" i="103"/>
  <c r="B954" i="103"/>
  <c r="O952" i="103"/>
  <c r="J952" i="103"/>
  <c r="E952" i="103"/>
  <c r="O951" i="103"/>
  <c r="J951" i="103"/>
  <c r="E951" i="103"/>
  <c r="O950" i="103"/>
  <c r="J950" i="103"/>
  <c r="E950" i="103"/>
  <c r="O949" i="103"/>
  <c r="J949" i="103"/>
  <c r="E949" i="103"/>
  <c r="O948" i="103"/>
  <c r="J948" i="103"/>
  <c r="E948" i="103"/>
  <c r="O947" i="103"/>
  <c r="J947" i="103"/>
  <c r="E947" i="103"/>
  <c r="O946" i="103"/>
  <c r="J946" i="103"/>
  <c r="E946" i="103"/>
  <c r="O945" i="103"/>
  <c r="J945" i="103"/>
  <c r="E945" i="103"/>
  <c r="O944" i="103"/>
  <c r="J944" i="103"/>
  <c r="E944" i="103"/>
  <c r="O942" i="103"/>
  <c r="J942" i="103"/>
  <c r="E942" i="103"/>
  <c r="L941" i="103"/>
  <c r="G941" i="103"/>
  <c r="B941" i="103"/>
  <c r="N937" i="103"/>
  <c r="M937" i="103"/>
  <c r="L937" i="103"/>
  <c r="I937" i="103"/>
  <c r="H937" i="103"/>
  <c r="G937" i="103"/>
  <c r="D937" i="103"/>
  <c r="C937" i="103"/>
  <c r="B937" i="103"/>
  <c r="O935" i="103"/>
  <c r="J935" i="103"/>
  <c r="E935" i="103"/>
  <c r="O934" i="103"/>
  <c r="J934" i="103"/>
  <c r="E934" i="103"/>
  <c r="O933" i="103"/>
  <c r="J933" i="103"/>
  <c r="E933" i="103"/>
  <c r="O932" i="103"/>
  <c r="J932" i="103"/>
  <c r="E932" i="103"/>
  <c r="O931" i="103"/>
  <c r="J931" i="103"/>
  <c r="E931" i="103"/>
  <c r="O930" i="103"/>
  <c r="J930" i="103"/>
  <c r="E930" i="103"/>
  <c r="O929" i="103"/>
  <c r="J929" i="103"/>
  <c r="E929" i="103"/>
  <c r="O928" i="103"/>
  <c r="J928" i="103"/>
  <c r="E928" i="103"/>
  <c r="O927" i="103"/>
  <c r="J927" i="103"/>
  <c r="E927" i="103"/>
  <c r="O925" i="103"/>
  <c r="J925" i="103"/>
  <c r="E925" i="103"/>
  <c r="L924" i="103"/>
  <c r="G924" i="103"/>
  <c r="B924" i="103"/>
  <c r="N920" i="103"/>
  <c r="M920" i="103"/>
  <c r="L920" i="103"/>
  <c r="I920" i="103"/>
  <c r="H920" i="103"/>
  <c r="G920" i="103"/>
  <c r="D920" i="103"/>
  <c r="C920" i="103"/>
  <c r="B920" i="103"/>
  <c r="O918" i="103"/>
  <c r="J918" i="103"/>
  <c r="E918" i="103"/>
  <c r="O917" i="103"/>
  <c r="J917" i="103"/>
  <c r="E917" i="103"/>
  <c r="O916" i="103"/>
  <c r="J916" i="103"/>
  <c r="E916" i="103"/>
  <c r="O915" i="103"/>
  <c r="J915" i="103"/>
  <c r="E915" i="103"/>
  <c r="O914" i="103"/>
  <c r="J914" i="103"/>
  <c r="E914" i="103"/>
  <c r="O913" i="103"/>
  <c r="J913" i="103"/>
  <c r="E913" i="103"/>
  <c r="O912" i="103"/>
  <c r="J912" i="103"/>
  <c r="E912" i="103"/>
  <c r="O911" i="103"/>
  <c r="J911" i="103"/>
  <c r="E911" i="103"/>
  <c r="O910" i="103"/>
  <c r="J910" i="103"/>
  <c r="E910" i="103"/>
  <c r="O908" i="103"/>
  <c r="J908" i="103"/>
  <c r="E908" i="103"/>
  <c r="L907" i="103"/>
  <c r="G907" i="103"/>
  <c r="B907" i="103"/>
  <c r="N903" i="103"/>
  <c r="M903" i="103"/>
  <c r="L903" i="103"/>
  <c r="I903" i="103"/>
  <c r="H903" i="103"/>
  <c r="G903" i="103"/>
  <c r="D903" i="103"/>
  <c r="C903" i="103"/>
  <c r="B903" i="103"/>
  <c r="O901" i="103"/>
  <c r="J901" i="103"/>
  <c r="E901" i="103"/>
  <c r="O900" i="103"/>
  <c r="J900" i="103"/>
  <c r="E900" i="103"/>
  <c r="O899" i="103"/>
  <c r="J899" i="103"/>
  <c r="E899" i="103"/>
  <c r="O898" i="103"/>
  <c r="J898" i="103"/>
  <c r="E898" i="103"/>
  <c r="O897" i="103"/>
  <c r="J897" i="103"/>
  <c r="E897" i="103"/>
  <c r="O896" i="103"/>
  <c r="J896" i="103"/>
  <c r="E896" i="103"/>
  <c r="O895" i="103"/>
  <c r="J895" i="103"/>
  <c r="E895" i="103"/>
  <c r="O894" i="103"/>
  <c r="J894" i="103"/>
  <c r="E894" i="103"/>
  <c r="O893" i="103"/>
  <c r="J893" i="103"/>
  <c r="E893" i="103"/>
  <c r="O891" i="103"/>
  <c r="J891" i="103"/>
  <c r="E891" i="103"/>
  <c r="L890" i="103"/>
  <c r="G890" i="103"/>
  <c r="B890" i="103"/>
  <c r="N886" i="103"/>
  <c r="M886" i="103"/>
  <c r="L886" i="103"/>
  <c r="I886" i="103"/>
  <c r="H886" i="103"/>
  <c r="G886" i="103"/>
  <c r="D886" i="103"/>
  <c r="C886" i="103"/>
  <c r="B886" i="103"/>
  <c r="O884" i="103"/>
  <c r="J884" i="103"/>
  <c r="E884" i="103"/>
  <c r="O883" i="103"/>
  <c r="J883" i="103"/>
  <c r="E883" i="103"/>
  <c r="O882" i="103"/>
  <c r="J882" i="103"/>
  <c r="E882" i="103"/>
  <c r="O881" i="103"/>
  <c r="J881" i="103"/>
  <c r="E881" i="103"/>
  <c r="O880" i="103"/>
  <c r="J880" i="103"/>
  <c r="E880" i="103"/>
  <c r="O879" i="103"/>
  <c r="J879" i="103"/>
  <c r="E879" i="103"/>
  <c r="O878" i="103"/>
  <c r="J878" i="103"/>
  <c r="E878" i="103"/>
  <c r="O877" i="103"/>
  <c r="J877" i="103"/>
  <c r="E877" i="103"/>
  <c r="O876" i="103"/>
  <c r="J876" i="103"/>
  <c r="E876" i="103"/>
  <c r="O874" i="103"/>
  <c r="J874" i="103"/>
  <c r="E874" i="103"/>
  <c r="L873" i="103"/>
  <c r="G873" i="103"/>
  <c r="B873" i="103"/>
  <c r="N869" i="103"/>
  <c r="M869" i="103"/>
  <c r="L869" i="103"/>
  <c r="I869" i="103"/>
  <c r="H869" i="103"/>
  <c r="G869" i="103"/>
  <c r="D869" i="103"/>
  <c r="C869" i="103"/>
  <c r="B869" i="103"/>
  <c r="O867" i="103"/>
  <c r="J867" i="103"/>
  <c r="E867" i="103"/>
  <c r="O866" i="103"/>
  <c r="J866" i="103"/>
  <c r="E866" i="103"/>
  <c r="O865" i="103"/>
  <c r="J865" i="103"/>
  <c r="E865" i="103"/>
  <c r="O864" i="103"/>
  <c r="J864" i="103"/>
  <c r="E864" i="103"/>
  <c r="O863" i="103"/>
  <c r="J863" i="103"/>
  <c r="E863" i="103"/>
  <c r="O862" i="103"/>
  <c r="J862" i="103"/>
  <c r="E862" i="103"/>
  <c r="O861" i="103"/>
  <c r="J861" i="103"/>
  <c r="E861" i="103"/>
  <c r="O860" i="103"/>
  <c r="J860" i="103"/>
  <c r="E860" i="103"/>
  <c r="O859" i="103"/>
  <c r="J859" i="103"/>
  <c r="E859" i="103"/>
  <c r="O857" i="103"/>
  <c r="J857" i="103"/>
  <c r="E857" i="103"/>
  <c r="L856" i="103"/>
  <c r="G856" i="103"/>
  <c r="B856" i="103"/>
  <c r="N852" i="103"/>
  <c r="M852" i="103"/>
  <c r="L852" i="103"/>
  <c r="I852" i="103"/>
  <c r="H852" i="103"/>
  <c r="G852" i="103"/>
  <c r="D852" i="103"/>
  <c r="C852" i="103"/>
  <c r="B852" i="103"/>
  <c r="O850" i="103"/>
  <c r="J850" i="103"/>
  <c r="E850" i="103"/>
  <c r="O849" i="103"/>
  <c r="J849" i="103"/>
  <c r="E849" i="103"/>
  <c r="O848" i="103"/>
  <c r="J848" i="103"/>
  <c r="E848" i="103"/>
  <c r="O847" i="103"/>
  <c r="J847" i="103"/>
  <c r="E847" i="103"/>
  <c r="O846" i="103"/>
  <c r="J846" i="103"/>
  <c r="E846" i="103"/>
  <c r="O845" i="103"/>
  <c r="J845" i="103"/>
  <c r="E845" i="103"/>
  <c r="O844" i="103"/>
  <c r="J844" i="103"/>
  <c r="E844" i="103"/>
  <c r="O843" i="103"/>
  <c r="J843" i="103"/>
  <c r="E843" i="103"/>
  <c r="O842" i="103"/>
  <c r="J842" i="103"/>
  <c r="E842" i="103"/>
  <c r="O840" i="103"/>
  <c r="J840" i="103"/>
  <c r="E840" i="103"/>
  <c r="L839" i="103"/>
  <c r="G839" i="103"/>
  <c r="B839" i="103"/>
  <c r="N835" i="103"/>
  <c r="M835" i="103"/>
  <c r="L835" i="103"/>
  <c r="I835" i="103"/>
  <c r="H835" i="103"/>
  <c r="G835" i="103"/>
  <c r="D835" i="103"/>
  <c r="C835" i="103"/>
  <c r="B835" i="103"/>
  <c r="O833" i="103"/>
  <c r="J833" i="103"/>
  <c r="E833" i="103"/>
  <c r="O832" i="103"/>
  <c r="J832" i="103"/>
  <c r="E832" i="103"/>
  <c r="O831" i="103"/>
  <c r="J831" i="103"/>
  <c r="E831" i="103"/>
  <c r="O830" i="103"/>
  <c r="J830" i="103"/>
  <c r="E830" i="103"/>
  <c r="O829" i="103"/>
  <c r="J829" i="103"/>
  <c r="E829" i="103"/>
  <c r="O828" i="103"/>
  <c r="J828" i="103"/>
  <c r="E828" i="103"/>
  <c r="O827" i="103"/>
  <c r="J827" i="103"/>
  <c r="E827" i="103"/>
  <c r="O826" i="103"/>
  <c r="J826" i="103"/>
  <c r="E826" i="103"/>
  <c r="O825" i="103"/>
  <c r="J825" i="103"/>
  <c r="E825" i="103"/>
  <c r="O823" i="103"/>
  <c r="J823" i="103"/>
  <c r="E823" i="103"/>
  <c r="L822" i="103"/>
  <c r="G822" i="103"/>
  <c r="B822" i="103"/>
  <c r="N818" i="103"/>
  <c r="M818" i="103"/>
  <c r="L818" i="103"/>
  <c r="I818" i="103"/>
  <c r="H818" i="103"/>
  <c r="G818" i="103"/>
  <c r="D818" i="103"/>
  <c r="C818" i="103"/>
  <c r="B818" i="103"/>
  <c r="O816" i="103"/>
  <c r="J816" i="103"/>
  <c r="E816" i="103"/>
  <c r="O815" i="103"/>
  <c r="J815" i="103"/>
  <c r="E815" i="103"/>
  <c r="O814" i="103"/>
  <c r="J814" i="103"/>
  <c r="E814" i="103"/>
  <c r="O813" i="103"/>
  <c r="J813" i="103"/>
  <c r="E813" i="103"/>
  <c r="O812" i="103"/>
  <c r="J812" i="103"/>
  <c r="E812" i="103"/>
  <c r="O811" i="103"/>
  <c r="J811" i="103"/>
  <c r="E811" i="103"/>
  <c r="O810" i="103"/>
  <c r="J810" i="103"/>
  <c r="E810" i="103"/>
  <c r="O809" i="103"/>
  <c r="J809" i="103"/>
  <c r="E809" i="103"/>
  <c r="O808" i="103"/>
  <c r="J808" i="103"/>
  <c r="E808" i="103"/>
  <c r="O806" i="103"/>
  <c r="J806" i="103"/>
  <c r="E806" i="103"/>
  <c r="L805" i="103"/>
  <c r="G805" i="103"/>
  <c r="B805" i="103"/>
  <c r="N801" i="103"/>
  <c r="M801" i="103"/>
  <c r="L801" i="103"/>
  <c r="I801" i="103"/>
  <c r="H801" i="103"/>
  <c r="G801" i="103"/>
  <c r="D801" i="103"/>
  <c r="C801" i="103"/>
  <c r="B801" i="103"/>
  <c r="O799" i="103"/>
  <c r="J799" i="103"/>
  <c r="E799" i="103"/>
  <c r="O798" i="103"/>
  <c r="J798" i="103"/>
  <c r="E798" i="103"/>
  <c r="O797" i="103"/>
  <c r="J797" i="103"/>
  <c r="E797" i="103"/>
  <c r="O796" i="103"/>
  <c r="J796" i="103"/>
  <c r="E796" i="103"/>
  <c r="O795" i="103"/>
  <c r="J795" i="103"/>
  <c r="E795" i="103"/>
  <c r="O794" i="103"/>
  <c r="J794" i="103"/>
  <c r="E794" i="103"/>
  <c r="O793" i="103"/>
  <c r="J793" i="103"/>
  <c r="E793" i="103"/>
  <c r="O792" i="103"/>
  <c r="J792" i="103"/>
  <c r="E792" i="103"/>
  <c r="O791" i="103"/>
  <c r="J791" i="103"/>
  <c r="E791" i="103"/>
  <c r="O789" i="103"/>
  <c r="J789" i="103"/>
  <c r="E789" i="103"/>
  <c r="L788" i="103"/>
  <c r="G788" i="103"/>
  <c r="B788" i="103"/>
  <c r="N784" i="103"/>
  <c r="M784" i="103"/>
  <c r="L784" i="103"/>
  <c r="I784" i="103"/>
  <c r="H784" i="103"/>
  <c r="G784" i="103"/>
  <c r="D784" i="103"/>
  <c r="C784" i="103"/>
  <c r="B784" i="103"/>
  <c r="O782" i="103"/>
  <c r="J782" i="103"/>
  <c r="E782" i="103"/>
  <c r="O781" i="103"/>
  <c r="J781" i="103"/>
  <c r="E781" i="103"/>
  <c r="O780" i="103"/>
  <c r="J780" i="103"/>
  <c r="E780" i="103"/>
  <c r="O779" i="103"/>
  <c r="J779" i="103"/>
  <c r="E779" i="103"/>
  <c r="O778" i="103"/>
  <c r="J778" i="103"/>
  <c r="E778" i="103"/>
  <c r="O777" i="103"/>
  <c r="J777" i="103"/>
  <c r="E777" i="103"/>
  <c r="O776" i="103"/>
  <c r="J776" i="103"/>
  <c r="E776" i="103"/>
  <c r="O775" i="103"/>
  <c r="J775" i="103"/>
  <c r="E775" i="103"/>
  <c r="O774" i="103"/>
  <c r="J774" i="103"/>
  <c r="E774" i="103"/>
  <c r="O772" i="103"/>
  <c r="J772" i="103"/>
  <c r="E772" i="103"/>
  <c r="L771" i="103"/>
  <c r="G771" i="103"/>
  <c r="B771" i="103"/>
  <c r="N767" i="103"/>
  <c r="M767" i="103"/>
  <c r="L767" i="103"/>
  <c r="I767" i="103"/>
  <c r="H767" i="103"/>
  <c r="G767" i="103"/>
  <c r="D767" i="103"/>
  <c r="C767" i="103"/>
  <c r="B767" i="103"/>
  <c r="O765" i="103"/>
  <c r="J765" i="103"/>
  <c r="E765" i="103"/>
  <c r="O764" i="103"/>
  <c r="J764" i="103"/>
  <c r="E764" i="103"/>
  <c r="O763" i="103"/>
  <c r="J763" i="103"/>
  <c r="E763" i="103"/>
  <c r="O762" i="103"/>
  <c r="J762" i="103"/>
  <c r="E762" i="103"/>
  <c r="O761" i="103"/>
  <c r="J761" i="103"/>
  <c r="E761" i="103"/>
  <c r="O760" i="103"/>
  <c r="J760" i="103"/>
  <c r="E760" i="103"/>
  <c r="O759" i="103"/>
  <c r="J759" i="103"/>
  <c r="E759" i="103"/>
  <c r="O758" i="103"/>
  <c r="J758" i="103"/>
  <c r="E758" i="103"/>
  <c r="O757" i="103"/>
  <c r="J757" i="103"/>
  <c r="E757" i="103"/>
  <c r="O755" i="103"/>
  <c r="J755" i="103"/>
  <c r="E755" i="103"/>
  <c r="L754" i="103"/>
  <c r="G754" i="103"/>
  <c r="B754" i="103"/>
  <c r="N750" i="103"/>
  <c r="M750" i="103"/>
  <c r="L750" i="103"/>
  <c r="I750" i="103"/>
  <c r="H750" i="103"/>
  <c r="G750" i="103"/>
  <c r="D750" i="103"/>
  <c r="C750" i="103"/>
  <c r="B750" i="103"/>
  <c r="O748" i="103"/>
  <c r="J748" i="103"/>
  <c r="E748" i="103"/>
  <c r="O747" i="103"/>
  <c r="J747" i="103"/>
  <c r="E747" i="103"/>
  <c r="O746" i="103"/>
  <c r="J746" i="103"/>
  <c r="E746" i="103"/>
  <c r="O745" i="103"/>
  <c r="J745" i="103"/>
  <c r="E745" i="103"/>
  <c r="O744" i="103"/>
  <c r="J744" i="103"/>
  <c r="E744" i="103"/>
  <c r="O743" i="103"/>
  <c r="J743" i="103"/>
  <c r="E743" i="103"/>
  <c r="O742" i="103"/>
  <c r="J742" i="103"/>
  <c r="E742" i="103"/>
  <c r="O741" i="103"/>
  <c r="J741" i="103"/>
  <c r="E741" i="103"/>
  <c r="O740" i="103"/>
  <c r="J740" i="103"/>
  <c r="E740" i="103"/>
  <c r="O738" i="103"/>
  <c r="J738" i="103"/>
  <c r="E738" i="103"/>
  <c r="L737" i="103"/>
  <c r="G737" i="103"/>
  <c r="B737" i="103"/>
  <c r="N733" i="103"/>
  <c r="M733" i="103"/>
  <c r="L733" i="103"/>
  <c r="I733" i="103"/>
  <c r="H733" i="103"/>
  <c r="G733" i="103"/>
  <c r="D733" i="103"/>
  <c r="C733" i="103"/>
  <c r="B733" i="103"/>
  <c r="O731" i="103"/>
  <c r="J731" i="103"/>
  <c r="E731" i="103"/>
  <c r="O730" i="103"/>
  <c r="J730" i="103"/>
  <c r="E730" i="103"/>
  <c r="O729" i="103"/>
  <c r="J729" i="103"/>
  <c r="E729" i="103"/>
  <c r="O728" i="103"/>
  <c r="J728" i="103"/>
  <c r="E728" i="103"/>
  <c r="O727" i="103"/>
  <c r="J727" i="103"/>
  <c r="E727" i="103"/>
  <c r="O726" i="103"/>
  <c r="J726" i="103"/>
  <c r="E726" i="103"/>
  <c r="O725" i="103"/>
  <c r="J725" i="103"/>
  <c r="E725" i="103"/>
  <c r="O724" i="103"/>
  <c r="J724" i="103"/>
  <c r="E724" i="103"/>
  <c r="O723" i="103"/>
  <c r="J723" i="103"/>
  <c r="E723" i="103"/>
  <c r="O721" i="103"/>
  <c r="J721" i="103"/>
  <c r="E721" i="103"/>
  <c r="L720" i="103"/>
  <c r="G720" i="103"/>
  <c r="B720" i="103"/>
  <c r="N716" i="103"/>
  <c r="M716" i="103"/>
  <c r="L716" i="103"/>
  <c r="I716" i="103"/>
  <c r="H716" i="103"/>
  <c r="G716" i="103"/>
  <c r="D716" i="103"/>
  <c r="C716" i="103"/>
  <c r="B716" i="103"/>
  <c r="O714" i="103"/>
  <c r="J714" i="103"/>
  <c r="E714" i="103"/>
  <c r="O713" i="103"/>
  <c r="J713" i="103"/>
  <c r="E713" i="103"/>
  <c r="O712" i="103"/>
  <c r="J712" i="103"/>
  <c r="E712" i="103"/>
  <c r="O711" i="103"/>
  <c r="J711" i="103"/>
  <c r="E711" i="103"/>
  <c r="O710" i="103"/>
  <c r="J710" i="103"/>
  <c r="E710" i="103"/>
  <c r="O709" i="103"/>
  <c r="J709" i="103"/>
  <c r="E709" i="103"/>
  <c r="O708" i="103"/>
  <c r="J708" i="103"/>
  <c r="E708" i="103"/>
  <c r="O707" i="103"/>
  <c r="J707" i="103"/>
  <c r="E707" i="103"/>
  <c r="O706" i="103"/>
  <c r="J706" i="103"/>
  <c r="E706" i="103"/>
  <c r="O704" i="103"/>
  <c r="J704" i="103"/>
  <c r="E704" i="103"/>
  <c r="L703" i="103"/>
  <c r="G703" i="103"/>
  <c r="B703" i="103"/>
  <c r="N699" i="103"/>
  <c r="M699" i="103"/>
  <c r="L699" i="103"/>
  <c r="I699" i="103"/>
  <c r="H699" i="103"/>
  <c r="G699" i="103"/>
  <c r="D699" i="103"/>
  <c r="C699" i="103"/>
  <c r="B699" i="103"/>
  <c r="O697" i="103"/>
  <c r="J697" i="103"/>
  <c r="E697" i="103"/>
  <c r="O696" i="103"/>
  <c r="J696" i="103"/>
  <c r="E696" i="103"/>
  <c r="O695" i="103"/>
  <c r="J695" i="103"/>
  <c r="E695" i="103"/>
  <c r="O694" i="103"/>
  <c r="J694" i="103"/>
  <c r="E694" i="103"/>
  <c r="O693" i="103"/>
  <c r="J693" i="103"/>
  <c r="E693" i="103"/>
  <c r="O692" i="103"/>
  <c r="J692" i="103"/>
  <c r="E692" i="103"/>
  <c r="O691" i="103"/>
  <c r="J691" i="103"/>
  <c r="E691" i="103"/>
  <c r="O690" i="103"/>
  <c r="J690" i="103"/>
  <c r="E690" i="103"/>
  <c r="O689" i="103"/>
  <c r="J689" i="103"/>
  <c r="E689" i="103"/>
  <c r="O687" i="103"/>
  <c r="J687" i="103"/>
  <c r="E687" i="103"/>
  <c r="L686" i="103"/>
  <c r="G686" i="103"/>
  <c r="B686" i="103"/>
  <c r="N682" i="103"/>
  <c r="M682" i="103"/>
  <c r="L682" i="103"/>
  <c r="I682" i="103"/>
  <c r="H682" i="103"/>
  <c r="G682" i="103"/>
  <c r="D682" i="103"/>
  <c r="C682" i="103"/>
  <c r="B682" i="103"/>
  <c r="O680" i="103"/>
  <c r="J680" i="103"/>
  <c r="E680" i="103"/>
  <c r="O679" i="103"/>
  <c r="J679" i="103"/>
  <c r="E679" i="103"/>
  <c r="O678" i="103"/>
  <c r="J678" i="103"/>
  <c r="E678" i="103"/>
  <c r="O677" i="103"/>
  <c r="J677" i="103"/>
  <c r="E677" i="103"/>
  <c r="O676" i="103"/>
  <c r="J676" i="103"/>
  <c r="E676" i="103"/>
  <c r="O675" i="103"/>
  <c r="J675" i="103"/>
  <c r="E675" i="103"/>
  <c r="O674" i="103"/>
  <c r="J674" i="103"/>
  <c r="E674" i="103"/>
  <c r="O673" i="103"/>
  <c r="J673" i="103"/>
  <c r="E673" i="103"/>
  <c r="O672" i="103"/>
  <c r="J672" i="103"/>
  <c r="E672" i="103"/>
  <c r="O670" i="103"/>
  <c r="J670" i="103"/>
  <c r="E670" i="103"/>
  <c r="L669" i="103"/>
  <c r="G669" i="103"/>
  <c r="B669" i="103"/>
  <c r="N665" i="103"/>
  <c r="M665" i="103"/>
  <c r="L665" i="103"/>
  <c r="I665" i="103"/>
  <c r="H665" i="103"/>
  <c r="G665" i="103"/>
  <c r="D665" i="103"/>
  <c r="C665" i="103"/>
  <c r="B665" i="103"/>
  <c r="O663" i="103"/>
  <c r="J663" i="103"/>
  <c r="E663" i="103"/>
  <c r="O662" i="103"/>
  <c r="J662" i="103"/>
  <c r="E662" i="103"/>
  <c r="O661" i="103"/>
  <c r="J661" i="103"/>
  <c r="E661" i="103"/>
  <c r="O660" i="103"/>
  <c r="J660" i="103"/>
  <c r="E660" i="103"/>
  <c r="O659" i="103"/>
  <c r="J659" i="103"/>
  <c r="E659" i="103"/>
  <c r="O658" i="103"/>
  <c r="J658" i="103"/>
  <c r="E658" i="103"/>
  <c r="O657" i="103"/>
  <c r="J657" i="103"/>
  <c r="E657" i="103"/>
  <c r="O656" i="103"/>
  <c r="J656" i="103"/>
  <c r="E656" i="103"/>
  <c r="O655" i="103"/>
  <c r="J655" i="103"/>
  <c r="E655" i="103"/>
  <c r="O653" i="103"/>
  <c r="J653" i="103"/>
  <c r="E653" i="103"/>
  <c r="L652" i="103"/>
  <c r="G652" i="103"/>
  <c r="B652" i="103"/>
  <c r="N648" i="103"/>
  <c r="M648" i="103"/>
  <c r="L648" i="103"/>
  <c r="I648" i="103"/>
  <c r="H648" i="103"/>
  <c r="G648" i="103"/>
  <c r="D648" i="103"/>
  <c r="C648" i="103"/>
  <c r="B648" i="103"/>
  <c r="O646" i="103"/>
  <c r="J646" i="103"/>
  <c r="E646" i="103"/>
  <c r="O645" i="103"/>
  <c r="J645" i="103"/>
  <c r="E645" i="103"/>
  <c r="O644" i="103"/>
  <c r="J644" i="103"/>
  <c r="E644" i="103"/>
  <c r="O643" i="103"/>
  <c r="J643" i="103"/>
  <c r="E643" i="103"/>
  <c r="O642" i="103"/>
  <c r="J642" i="103"/>
  <c r="E642" i="103"/>
  <c r="O641" i="103"/>
  <c r="J641" i="103"/>
  <c r="E641" i="103"/>
  <c r="O640" i="103"/>
  <c r="J640" i="103"/>
  <c r="E640" i="103"/>
  <c r="O639" i="103"/>
  <c r="J639" i="103"/>
  <c r="E639" i="103"/>
  <c r="O638" i="103"/>
  <c r="J638" i="103"/>
  <c r="E638" i="103"/>
  <c r="O636" i="103"/>
  <c r="J636" i="103"/>
  <c r="E636" i="103"/>
  <c r="L635" i="103"/>
  <c r="G635" i="103"/>
  <c r="B635" i="103"/>
  <c r="N631" i="103"/>
  <c r="M631" i="103"/>
  <c r="L631" i="103"/>
  <c r="I631" i="103"/>
  <c r="H631" i="103"/>
  <c r="G631" i="103"/>
  <c r="D631" i="103"/>
  <c r="C631" i="103"/>
  <c r="B631" i="103"/>
  <c r="O629" i="103"/>
  <c r="J629" i="103"/>
  <c r="E629" i="103"/>
  <c r="O628" i="103"/>
  <c r="J628" i="103"/>
  <c r="E628" i="103"/>
  <c r="O627" i="103"/>
  <c r="J627" i="103"/>
  <c r="E627" i="103"/>
  <c r="O626" i="103"/>
  <c r="J626" i="103"/>
  <c r="E626" i="103"/>
  <c r="O625" i="103"/>
  <c r="J625" i="103"/>
  <c r="E625" i="103"/>
  <c r="O624" i="103"/>
  <c r="J624" i="103"/>
  <c r="E624" i="103"/>
  <c r="O623" i="103"/>
  <c r="J623" i="103"/>
  <c r="E623" i="103"/>
  <c r="O622" i="103"/>
  <c r="J622" i="103"/>
  <c r="E622" i="103"/>
  <c r="O621" i="103"/>
  <c r="J621" i="103"/>
  <c r="E621" i="103"/>
  <c r="O619" i="103"/>
  <c r="J619" i="103"/>
  <c r="E619" i="103"/>
  <c r="L618" i="103"/>
  <c r="G618" i="103"/>
  <c r="B618" i="103"/>
  <c r="N614" i="103"/>
  <c r="M614" i="103"/>
  <c r="L614" i="103"/>
  <c r="I614" i="103"/>
  <c r="H614" i="103"/>
  <c r="G614" i="103"/>
  <c r="D614" i="103"/>
  <c r="C614" i="103"/>
  <c r="B614" i="103"/>
  <c r="O612" i="103"/>
  <c r="J612" i="103"/>
  <c r="E612" i="103"/>
  <c r="O611" i="103"/>
  <c r="J611" i="103"/>
  <c r="E611" i="103"/>
  <c r="O610" i="103"/>
  <c r="J610" i="103"/>
  <c r="E610" i="103"/>
  <c r="O609" i="103"/>
  <c r="J609" i="103"/>
  <c r="E609" i="103"/>
  <c r="O608" i="103"/>
  <c r="J608" i="103"/>
  <c r="E608" i="103"/>
  <c r="O607" i="103"/>
  <c r="J607" i="103"/>
  <c r="E607" i="103"/>
  <c r="O606" i="103"/>
  <c r="J606" i="103"/>
  <c r="E606" i="103"/>
  <c r="O605" i="103"/>
  <c r="J605" i="103"/>
  <c r="E605" i="103"/>
  <c r="O604" i="103"/>
  <c r="J604" i="103"/>
  <c r="E604" i="103"/>
  <c r="O602" i="103"/>
  <c r="J602" i="103"/>
  <c r="E602" i="103"/>
  <c r="L601" i="103"/>
  <c r="G601" i="103"/>
  <c r="B601" i="103"/>
  <c r="N597" i="103"/>
  <c r="M597" i="103"/>
  <c r="L597" i="103"/>
  <c r="I597" i="103"/>
  <c r="H597" i="103"/>
  <c r="G597" i="103"/>
  <c r="D597" i="103"/>
  <c r="C597" i="103"/>
  <c r="B597" i="103"/>
  <c r="O595" i="103"/>
  <c r="J595" i="103"/>
  <c r="E595" i="103"/>
  <c r="O594" i="103"/>
  <c r="J594" i="103"/>
  <c r="E594" i="103"/>
  <c r="O593" i="103"/>
  <c r="J593" i="103"/>
  <c r="E593" i="103"/>
  <c r="O592" i="103"/>
  <c r="J592" i="103"/>
  <c r="E592" i="103"/>
  <c r="O591" i="103"/>
  <c r="J591" i="103"/>
  <c r="E591" i="103"/>
  <c r="O590" i="103"/>
  <c r="J590" i="103"/>
  <c r="E590" i="103"/>
  <c r="O589" i="103"/>
  <c r="J589" i="103"/>
  <c r="E589" i="103"/>
  <c r="O588" i="103"/>
  <c r="J588" i="103"/>
  <c r="E588" i="103"/>
  <c r="O587" i="103"/>
  <c r="J587" i="103"/>
  <c r="E587" i="103"/>
  <c r="O585" i="103"/>
  <c r="J585" i="103"/>
  <c r="E585" i="103"/>
  <c r="L584" i="103"/>
  <c r="G584" i="103"/>
  <c r="B584" i="103"/>
  <c r="N580" i="103"/>
  <c r="M580" i="103"/>
  <c r="L580" i="103"/>
  <c r="I580" i="103"/>
  <c r="H580" i="103"/>
  <c r="G580" i="103"/>
  <c r="D580" i="103"/>
  <c r="C580" i="103"/>
  <c r="B580" i="103"/>
  <c r="O578" i="103"/>
  <c r="J578" i="103"/>
  <c r="E578" i="103"/>
  <c r="O577" i="103"/>
  <c r="J577" i="103"/>
  <c r="E577" i="103"/>
  <c r="O576" i="103"/>
  <c r="J576" i="103"/>
  <c r="E576" i="103"/>
  <c r="O575" i="103"/>
  <c r="J575" i="103"/>
  <c r="E575" i="103"/>
  <c r="O574" i="103"/>
  <c r="J574" i="103"/>
  <c r="E574" i="103"/>
  <c r="O573" i="103"/>
  <c r="J573" i="103"/>
  <c r="E573" i="103"/>
  <c r="O572" i="103"/>
  <c r="J572" i="103"/>
  <c r="E572" i="103"/>
  <c r="O571" i="103"/>
  <c r="J571" i="103"/>
  <c r="E571" i="103"/>
  <c r="O570" i="103"/>
  <c r="J570" i="103"/>
  <c r="E570" i="103"/>
  <c r="O568" i="103"/>
  <c r="J568" i="103"/>
  <c r="E568" i="103"/>
  <c r="L567" i="103"/>
  <c r="G567" i="103"/>
  <c r="B567" i="103"/>
  <c r="N563" i="103"/>
  <c r="M563" i="103"/>
  <c r="L563" i="103"/>
  <c r="I563" i="103"/>
  <c r="H563" i="103"/>
  <c r="G563" i="103"/>
  <c r="D563" i="103"/>
  <c r="C563" i="103"/>
  <c r="B563" i="103"/>
  <c r="O561" i="103"/>
  <c r="J561" i="103"/>
  <c r="E561" i="103"/>
  <c r="O560" i="103"/>
  <c r="J560" i="103"/>
  <c r="E560" i="103"/>
  <c r="O559" i="103"/>
  <c r="J559" i="103"/>
  <c r="E559" i="103"/>
  <c r="O558" i="103"/>
  <c r="J558" i="103"/>
  <c r="E558" i="103"/>
  <c r="O557" i="103"/>
  <c r="J557" i="103"/>
  <c r="E557" i="103"/>
  <c r="O556" i="103"/>
  <c r="J556" i="103"/>
  <c r="E556" i="103"/>
  <c r="O555" i="103"/>
  <c r="J555" i="103"/>
  <c r="E555" i="103"/>
  <c r="O554" i="103"/>
  <c r="J554" i="103"/>
  <c r="E554" i="103"/>
  <c r="O553" i="103"/>
  <c r="J553" i="103"/>
  <c r="E553" i="103"/>
  <c r="O551" i="103"/>
  <c r="J551" i="103"/>
  <c r="E551" i="103"/>
  <c r="L550" i="103"/>
  <c r="G550" i="103"/>
  <c r="B550" i="103"/>
  <c r="N546" i="103"/>
  <c r="M546" i="103"/>
  <c r="L546" i="103"/>
  <c r="I546" i="103"/>
  <c r="H546" i="103"/>
  <c r="G546" i="103"/>
  <c r="D546" i="103"/>
  <c r="C546" i="103"/>
  <c r="B546" i="103"/>
  <c r="O544" i="103"/>
  <c r="J544" i="103"/>
  <c r="E544" i="103"/>
  <c r="O543" i="103"/>
  <c r="J543" i="103"/>
  <c r="E543" i="103"/>
  <c r="O542" i="103"/>
  <c r="J542" i="103"/>
  <c r="E542" i="103"/>
  <c r="O541" i="103"/>
  <c r="J541" i="103"/>
  <c r="E541" i="103"/>
  <c r="O540" i="103"/>
  <c r="J540" i="103"/>
  <c r="E540" i="103"/>
  <c r="O539" i="103"/>
  <c r="J539" i="103"/>
  <c r="E539" i="103"/>
  <c r="O538" i="103"/>
  <c r="J538" i="103"/>
  <c r="E538" i="103"/>
  <c r="O537" i="103"/>
  <c r="J537" i="103"/>
  <c r="E537" i="103"/>
  <c r="O536" i="103"/>
  <c r="J536" i="103"/>
  <c r="E536" i="103"/>
  <c r="O534" i="103"/>
  <c r="J534" i="103"/>
  <c r="E534" i="103"/>
  <c r="L533" i="103"/>
  <c r="G533" i="103"/>
  <c r="B533" i="103"/>
  <c r="N529" i="103"/>
  <c r="M529" i="103"/>
  <c r="L529" i="103"/>
  <c r="I529" i="103"/>
  <c r="H529" i="103"/>
  <c r="G529" i="103"/>
  <c r="D529" i="103"/>
  <c r="C529" i="103"/>
  <c r="B529" i="103"/>
  <c r="O527" i="103"/>
  <c r="J527" i="103"/>
  <c r="E527" i="103"/>
  <c r="O526" i="103"/>
  <c r="J526" i="103"/>
  <c r="E526" i="103"/>
  <c r="O525" i="103"/>
  <c r="J525" i="103"/>
  <c r="E525" i="103"/>
  <c r="O524" i="103"/>
  <c r="J524" i="103"/>
  <c r="E524" i="103"/>
  <c r="O523" i="103"/>
  <c r="J523" i="103"/>
  <c r="E523" i="103"/>
  <c r="O522" i="103"/>
  <c r="J522" i="103"/>
  <c r="E522" i="103"/>
  <c r="O521" i="103"/>
  <c r="J521" i="103"/>
  <c r="E521" i="103"/>
  <c r="O520" i="103"/>
  <c r="J520" i="103"/>
  <c r="E520" i="103"/>
  <c r="O519" i="103"/>
  <c r="J519" i="103"/>
  <c r="E519" i="103"/>
  <c r="O517" i="103"/>
  <c r="J517" i="103"/>
  <c r="E517" i="103"/>
  <c r="L516" i="103"/>
  <c r="G516" i="103"/>
  <c r="B516" i="103"/>
  <c r="N512" i="103"/>
  <c r="M512" i="103"/>
  <c r="L512" i="103"/>
  <c r="I512" i="103"/>
  <c r="H512" i="103"/>
  <c r="G512" i="103"/>
  <c r="D512" i="103"/>
  <c r="C512" i="103"/>
  <c r="B512" i="103"/>
  <c r="O510" i="103"/>
  <c r="J510" i="103"/>
  <c r="E510" i="103"/>
  <c r="O509" i="103"/>
  <c r="J509" i="103"/>
  <c r="E509" i="103"/>
  <c r="O508" i="103"/>
  <c r="J508" i="103"/>
  <c r="E508" i="103"/>
  <c r="O507" i="103"/>
  <c r="J507" i="103"/>
  <c r="E507" i="103"/>
  <c r="O506" i="103"/>
  <c r="J506" i="103"/>
  <c r="E506" i="103"/>
  <c r="O505" i="103"/>
  <c r="J505" i="103"/>
  <c r="E505" i="103"/>
  <c r="O504" i="103"/>
  <c r="J504" i="103"/>
  <c r="E504" i="103"/>
  <c r="O503" i="103"/>
  <c r="J503" i="103"/>
  <c r="E503" i="103"/>
  <c r="O502" i="103"/>
  <c r="J502" i="103"/>
  <c r="E502" i="103"/>
  <c r="O500" i="103"/>
  <c r="J500" i="103"/>
  <c r="E500" i="103"/>
  <c r="L499" i="103"/>
  <c r="G499" i="103"/>
  <c r="B499" i="103"/>
  <c r="N495" i="103"/>
  <c r="M495" i="103"/>
  <c r="L495" i="103"/>
  <c r="I495" i="103"/>
  <c r="H495" i="103"/>
  <c r="G495" i="103"/>
  <c r="D495" i="103"/>
  <c r="C495" i="103"/>
  <c r="B495" i="103"/>
  <c r="O493" i="103"/>
  <c r="J493" i="103"/>
  <c r="E493" i="103"/>
  <c r="O492" i="103"/>
  <c r="J492" i="103"/>
  <c r="E492" i="103"/>
  <c r="O491" i="103"/>
  <c r="J491" i="103"/>
  <c r="E491" i="103"/>
  <c r="O490" i="103"/>
  <c r="J490" i="103"/>
  <c r="E490" i="103"/>
  <c r="O489" i="103"/>
  <c r="J489" i="103"/>
  <c r="E489" i="103"/>
  <c r="O488" i="103"/>
  <c r="J488" i="103"/>
  <c r="E488" i="103"/>
  <c r="O487" i="103"/>
  <c r="J487" i="103"/>
  <c r="E487" i="103"/>
  <c r="O486" i="103"/>
  <c r="J486" i="103"/>
  <c r="E486" i="103"/>
  <c r="O485" i="103"/>
  <c r="J485" i="103"/>
  <c r="E485" i="103"/>
  <c r="O483" i="103"/>
  <c r="J483" i="103"/>
  <c r="E483" i="103"/>
  <c r="L482" i="103"/>
  <c r="G482" i="103"/>
  <c r="B482" i="103"/>
  <c r="N478" i="103"/>
  <c r="M478" i="103"/>
  <c r="L478" i="103"/>
  <c r="I478" i="103"/>
  <c r="H478" i="103"/>
  <c r="G478" i="103"/>
  <c r="D478" i="103"/>
  <c r="C478" i="103"/>
  <c r="B478" i="103"/>
  <c r="O476" i="103"/>
  <c r="J476" i="103"/>
  <c r="E476" i="103"/>
  <c r="O475" i="103"/>
  <c r="J475" i="103"/>
  <c r="E475" i="103"/>
  <c r="O474" i="103"/>
  <c r="J474" i="103"/>
  <c r="E474" i="103"/>
  <c r="O473" i="103"/>
  <c r="J473" i="103"/>
  <c r="E473" i="103"/>
  <c r="O472" i="103"/>
  <c r="J472" i="103"/>
  <c r="E472" i="103"/>
  <c r="O471" i="103"/>
  <c r="J471" i="103"/>
  <c r="E471" i="103"/>
  <c r="O470" i="103"/>
  <c r="J470" i="103"/>
  <c r="E470" i="103"/>
  <c r="O469" i="103"/>
  <c r="J469" i="103"/>
  <c r="E469" i="103"/>
  <c r="O468" i="103"/>
  <c r="J468" i="103"/>
  <c r="E468" i="103"/>
  <c r="O466" i="103"/>
  <c r="J466" i="103"/>
  <c r="E466" i="103"/>
  <c r="L465" i="103"/>
  <c r="G465" i="103"/>
  <c r="B465" i="103"/>
  <c r="N461" i="103"/>
  <c r="M461" i="103"/>
  <c r="L461" i="103"/>
  <c r="I461" i="103"/>
  <c r="H461" i="103"/>
  <c r="G461" i="103"/>
  <c r="D461" i="103"/>
  <c r="C461" i="103"/>
  <c r="B461" i="103"/>
  <c r="O459" i="103"/>
  <c r="J459" i="103"/>
  <c r="E459" i="103"/>
  <c r="O458" i="103"/>
  <c r="J458" i="103"/>
  <c r="E458" i="103"/>
  <c r="O457" i="103"/>
  <c r="J457" i="103"/>
  <c r="E457" i="103"/>
  <c r="O456" i="103"/>
  <c r="J456" i="103"/>
  <c r="E456" i="103"/>
  <c r="O455" i="103"/>
  <c r="J455" i="103"/>
  <c r="E455" i="103"/>
  <c r="O454" i="103"/>
  <c r="J454" i="103"/>
  <c r="E454" i="103"/>
  <c r="O453" i="103"/>
  <c r="J453" i="103"/>
  <c r="E453" i="103"/>
  <c r="O452" i="103"/>
  <c r="J452" i="103"/>
  <c r="E452" i="103"/>
  <c r="O451" i="103"/>
  <c r="J451" i="103"/>
  <c r="E451" i="103"/>
  <c r="O449" i="103"/>
  <c r="J449" i="103"/>
  <c r="E449" i="103"/>
  <c r="L448" i="103"/>
  <c r="G448" i="103"/>
  <c r="B448" i="103"/>
  <c r="N444" i="103"/>
  <c r="M444" i="103"/>
  <c r="L444" i="103"/>
  <c r="I444" i="103"/>
  <c r="H444" i="103"/>
  <c r="G444" i="103"/>
  <c r="D444" i="103"/>
  <c r="C444" i="103"/>
  <c r="B444" i="103"/>
  <c r="O442" i="103"/>
  <c r="J442" i="103"/>
  <c r="E442" i="103"/>
  <c r="O441" i="103"/>
  <c r="J441" i="103"/>
  <c r="E441" i="103"/>
  <c r="O440" i="103"/>
  <c r="J440" i="103"/>
  <c r="E440" i="103"/>
  <c r="O439" i="103"/>
  <c r="J439" i="103"/>
  <c r="E439" i="103"/>
  <c r="O438" i="103"/>
  <c r="J438" i="103"/>
  <c r="E438" i="103"/>
  <c r="O437" i="103"/>
  <c r="J437" i="103"/>
  <c r="E437" i="103"/>
  <c r="O436" i="103"/>
  <c r="J436" i="103"/>
  <c r="E436" i="103"/>
  <c r="O435" i="103"/>
  <c r="J435" i="103"/>
  <c r="E435" i="103"/>
  <c r="O434" i="103"/>
  <c r="J434" i="103"/>
  <c r="E434" i="103"/>
  <c r="O432" i="103"/>
  <c r="J432" i="103"/>
  <c r="E432" i="103"/>
  <c r="L431" i="103"/>
  <c r="G431" i="103"/>
  <c r="B431" i="103"/>
  <c r="N427" i="103"/>
  <c r="M427" i="103"/>
  <c r="L427" i="103"/>
  <c r="I427" i="103"/>
  <c r="H427" i="103"/>
  <c r="G427" i="103"/>
  <c r="D427" i="103"/>
  <c r="C427" i="103"/>
  <c r="B427" i="103"/>
  <c r="O425" i="103"/>
  <c r="J425" i="103"/>
  <c r="E425" i="103"/>
  <c r="O424" i="103"/>
  <c r="J424" i="103"/>
  <c r="E424" i="103"/>
  <c r="O423" i="103"/>
  <c r="J423" i="103"/>
  <c r="E423" i="103"/>
  <c r="O422" i="103"/>
  <c r="J422" i="103"/>
  <c r="E422" i="103"/>
  <c r="O421" i="103"/>
  <c r="J421" i="103"/>
  <c r="E421" i="103"/>
  <c r="O420" i="103"/>
  <c r="J420" i="103"/>
  <c r="E420" i="103"/>
  <c r="O419" i="103"/>
  <c r="J419" i="103"/>
  <c r="E419" i="103"/>
  <c r="O418" i="103"/>
  <c r="J418" i="103"/>
  <c r="E418" i="103"/>
  <c r="O417" i="103"/>
  <c r="J417" i="103"/>
  <c r="E417" i="103"/>
  <c r="O415" i="103"/>
  <c r="J415" i="103"/>
  <c r="E415" i="103"/>
  <c r="L414" i="103"/>
  <c r="G414" i="103"/>
  <c r="B414" i="103"/>
  <c r="N410" i="103"/>
  <c r="M410" i="103"/>
  <c r="L410" i="103"/>
  <c r="I410" i="103"/>
  <c r="H410" i="103"/>
  <c r="G410" i="103"/>
  <c r="D410" i="103"/>
  <c r="C410" i="103"/>
  <c r="B410" i="103"/>
  <c r="O408" i="103"/>
  <c r="J408" i="103"/>
  <c r="E408" i="103"/>
  <c r="O407" i="103"/>
  <c r="J407" i="103"/>
  <c r="E407" i="103"/>
  <c r="O406" i="103"/>
  <c r="J406" i="103"/>
  <c r="E406" i="103"/>
  <c r="O405" i="103"/>
  <c r="J405" i="103"/>
  <c r="E405" i="103"/>
  <c r="O404" i="103"/>
  <c r="J404" i="103"/>
  <c r="E404" i="103"/>
  <c r="O403" i="103"/>
  <c r="J403" i="103"/>
  <c r="E403" i="103"/>
  <c r="O402" i="103"/>
  <c r="J402" i="103"/>
  <c r="E402" i="103"/>
  <c r="O401" i="103"/>
  <c r="J401" i="103"/>
  <c r="E401" i="103"/>
  <c r="O400" i="103"/>
  <c r="J400" i="103"/>
  <c r="E400" i="103"/>
  <c r="O398" i="103"/>
  <c r="J398" i="103"/>
  <c r="E398" i="103"/>
  <c r="L397" i="103"/>
  <c r="G397" i="103"/>
  <c r="B397" i="103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566" i="102" l="1"/>
  <c r="E276" i="102"/>
  <c r="Y156" i="102"/>
  <c r="E41" i="102"/>
  <c r="E321" i="102"/>
  <c r="E241" i="102"/>
  <c r="J466" i="102"/>
  <c r="T156" i="102"/>
  <c r="J321" i="102"/>
  <c r="E296" i="102"/>
  <c r="Y41" i="102"/>
  <c r="E156" i="102"/>
  <c r="T216" i="102"/>
  <c r="O541" i="102"/>
  <c r="J66" i="102"/>
  <c r="E426" i="102"/>
  <c r="T321" i="102"/>
  <c r="J426" i="102"/>
  <c r="J276" i="102"/>
  <c r="E511" i="102"/>
  <c r="T371" i="102"/>
  <c r="J511" i="102"/>
  <c r="T41" i="102"/>
  <c r="O276" i="102"/>
  <c r="J156" i="102"/>
  <c r="J41" i="102"/>
  <c r="J216" i="102"/>
  <c r="O511" i="102"/>
  <c r="T296" i="102"/>
  <c r="O156" i="102"/>
  <c r="J541" i="102"/>
  <c r="Y191" i="102"/>
  <c r="Y276" i="102"/>
  <c r="O566" i="102"/>
  <c r="J296" i="102"/>
  <c r="O296" i="102"/>
  <c r="E346" i="102"/>
  <c r="E371" i="102"/>
  <c r="O191" i="102"/>
  <c r="O41" i="102"/>
  <c r="O426" i="102"/>
  <c r="J241" i="102"/>
  <c r="O371" i="102"/>
  <c r="Y371" i="102"/>
  <c r="T241" i="102"/>
  <c r="Y296" i="102"/>
  <c r="O321" i="102"/>
  <c r="T346" i="102"/>
  <c r="T511" i="102"/>
  <c r="E566" i="102"/>
  <c r="E466" i="102"/>
  <c r="Y66" i="102"/>
  <c r="E191" i="102"/>
  <c r="Y241" i="102"/>
  <c r="T426" i="102"/>
  <c r="Y346" i="102"/>
  <c r="E66" i="102"/>
  <c r="O346" i="102"/>
  <c r="Y426" i="102"/>
  <c r="T466" i="102"/>
  <c r="T541" i="102"/>
  <c r="J346" i="102"/>
  <c r="O66" i="102"/>
  <c r="Y216" i="102"/>
  <c r="Y566" i="102"/>
  <c r="T276" i="102"/>
  <c r="J371" i="102"/>
  <c r="T66" i="102"/>
  <c r="T191" i="102"/>
  <c r="Y321" i="102"/>
  <c r="O241" i="102"/>
  <c r="Y511" i="102"/>
  <c r="Y466" i="102"/>
  <c r="O216" i="102"/>
  <c r="O466" i="102"/>
  <c r="Y541" i="102"/>
  <c r="T566" i="102"/>
  <c r="J191" i="102"/>
  <c r="E216" i="102"/>
  <c r="E541" i="102"/>
  <c r="E546" i="103"/>
  <c r="O580" i="103"/>
  <c r="J631" i="103"/>
  <c r="E682" i="103"/>
  <c r="O682" i="103"/>
  <c r="O716" i="103"/>
  <c r="J767" i="103"/>
  <c r="E818" i="103"/>
  <c r="O818" i="103"/>
  <c r="O852" i="103"/>
  <c r="J903" i="103"/>
  <c r="E954" i="103"/>
  <c r="O988" i="103"/>
  <c r="E1090" i="103"/>
  <c r="J1175" i="103"/>
  <c r="E1226" i="103"/>
  <c r="O1260" i="103"/>
  <c r="E53" i="103"/>
  <c r="O70" i="103"/>
  <c r="J410" i="103"/>
  <c r="O359" i="103"/>
  <c r="E529" i="103"/>
  <c r="O87" i="103"/>
  <c r="E461" i="103"/>
  <c r="J138" i="103"/>
  <c r="E189" i="103"/>
  <c r="E325" i="103"/>
  <c r="E240" i="103"/>
  <c r="E376" i="103"/>
  <c r="J546" i="103"/>
  <c r="J818" i="103"/>
  <c r="J1090" i="103"/>
  <c r="O1243" i="103"/>
  <c r="E1277" i="103"/>
  <c r="O53" i="103"/>
  <c r="J376" i="103"/>
  <c r="O461" i="103"/>
  <c r="O886" i="103"/>
  <c r="E1192" i="103"/>
  <c r="O1226" i="103"/>
  <c r="J240" i="103"/>
  <c r="J291" i="103"/>
  <c r="J427" i="103"/>
  <c r="J648" i="103"/>
  <c r="O733" i="103"/>
  <c r="O869" i="103"/>
  <c r="E1107" i="103"/>
  <c r="O1277" i="103"/>
  <c r="J70" i="103"/>
  <c r="E121" i="103"/>
  <c r="J206" i="103"/>
  <c r="E257" i="103"/>
  <c r="O291" i="103"/>
  <c r="J342" i="103"/>
  <c r="E393" i="103"/>
  <c r="O427" i="103"/>
  <c r="J478" i="103"/>
  <c r="J563" i="103"/>
  <c r="E614" i="103"/>
  <c r="O648" i="103"/>
  <c r="J699" i="103"/>
  <c r="E750" i="103"/>
  <c r="O784" i="103"/>
  <c r="J835" i="103"/>
  <c r="O920" i="103"/>
  <c r="J971" i="103"/>
  <c r="E1022" i="103"/>
  <c r="O1056" i="103"/>
  <c r="J1107" i="103"/>
  <c r="E1124" i="103"/>
  <c r="O1124" i="103"/>
  <c r="E1158" i="103"/>
  <c r="O1192" i="103"/>
  <c r="J1243" i="103"/>
  <c r="E1294" i="103"/>
  <c r="J53" i="103"/>
  <c r="E70" i="103"/>
  <c r="J325" i="103"/>
  <c r="E869" i="103"/>
  <c r="O1022" i="103"/>
  <c r="E1243" i="103"/>
  <c r="E155" i="103"/>
  <c r="E291" i="103"/>
  <c r="J512" i="103"/>
  <c r="E648" i="103"/>
  <c r="J733" i="103"/>
  <c r="E886" i="103"/>
  <c r="E1056" i="103"/>
  <c r="E206" i="103"/>
  <c r="O240" i="103"/>
  <c r="O376" i="103"/>
  <c r="E478" i="103"/>
  <c r="O495" i="103"/>
  <c r="J614" i="103"/>
  <c r="J920" i="103"/>
  <c r="E971" i="103"/>
  <c r="O1141" i="103"/>
  <c r="J121" i="103"/>
  <c r="E172" i="103"/>
  <c r="O206" i="103"/>
  <c r="J257" i="103"/>
  <c r="E308" i="103"/>
  <c r="O342" i="103"/>
  <c r="J393" i="103"/>
  <c r="E444" i="103"/>
  <c r="O478" i="103"/>
  <c r="J529" i="103"/>
  <c r="O563" i="103"/>
  <c r="E665" i="103"/>
  <c r="O699" i="103"/>
  <c r="J750" i="103"/>
  <c r="E801" i="103"/>
  <c r="O835" i="103"/>
  <c r="J869" i="103"/>
  <c r="J886" i="103"/>
  <c r="E937" i="103"/>
  <c r="O971" i="103"/>
  <c r="J1022" i="103"/>
  <c r="E1073" i="103"/>
  <c r="O1107" i="103"/>
  <c r="E1209" i="103"/>
  <c r="J1294" i="103"/>
  <c r="O138" i="103"/>
  <c r="O274" i="103"/>
  <c r="J461" i="103"/>
  <c r="E512" i="103"/>
  <c r="E733" i="103"/>
  <c r="J1039" i="103"/>
  <c r="J1226" i="103"/>
  <c r="E427" i="103"/>
  <c r="O1090" i="103"/>
  <c r="J1277" i="103"/>
  <c r="E563" i="103"/>
  <c r="J1005" i="103"/>
  <c r="J1192" i="103"/>
  <c r="O121" i="103"/>
  <c r="J172" i="103"/>
  <c r="E223" i="103"/>
  <c r="O223" i="103"/>
  <c r="J274" i="103"/>
  <c r="J308" i="103"/>
  <c r="E359" i="103"/>
  <c r="J444" i="103"/>
  <c r="E495" i="103"/>
  <c r="O512" i="103"/>
  <c r="E580" i="103"/>
  <c r="O597" i="103"/>
  <c r="O614" i="103"/>
  <c r="J665" i="103"/>
  <c r="E716" i="103"/>
  <c r="O750" i="103"/>
  <c r="J801" i="103"/>
  <c r="E852" i="103"/>
  <c r="J937" i="103"/>
  <c r="E988" i="103"/>
  <c r="J1073" i="103"/>
  <c r="O1158" i="103"/>
  <c r="J1158" i="103"/>
  <c r="J1209" i="103"/>
  <c r="E1260" i="103"/>
  <c r="O1294" i="103"/>
  <c r="J189" i="103"/>
  <c r="O257" i="103"/>
  <c r="O393" i="103"/>
  <c r="O410" i="103"/>
  <c r="E597" i="103"/>
  <c r="O631" i="103"/>
  <c r="J682" i="103"/>
  <c r="O767" i="103"/>
  <c r="O903" i="103"/>
  <c r="J954" i="103"/>
  <c r="E1005" i="103"/>
  <c r="O1039" i="103"/>
  <c r="E1141" i="103"/>
  <c r="O1175" i="103"/>
  <c r="J104" i="103"/>
  <c r="O189" i="103"/>
  <c r="O325" i="103"/>
  <c r="O529" i="103"/>
  <c r="O546" i="103"/>
  <c r="J597" i="103"/>
  <c r="E784" i="103"/>
  <c r="E920" i="103"/>
  <c r="O954" i="103"/>
  <c r="J1141" i="103"/>
  <c r="J155" i="103"/>
  <c r="E342" i="103"/>
  <c r="E699" i="103"/>
  <c r="J784" i="103"/>
  <c r="E835" i="103"/>
  <c r="O1005" i="103"/>
  <c r="J1056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E410" i="103"/>
  <c r="O444" i="103"/>
  <c r="J495" i="103"/>
  <c r="J580" i="103"/>
  <c r="E631" i="103"/>
  <c r="O665" i="103"/>
  <c r="J716" i="103"/>
  <c r="E767" i="103"/>
  <c r="O801" i="103"/>
  <c r="J852" i="103"/>
  <c r="E903" i="103"/>
  <c r="O937" i="103"/>
  <c r="J988" i="103"/>
  <c r="E1039" i="103"/>
  <c r="O1073" i="103"/>
  <c r="J1124" i="103"/>
  <c r="E1175" i="103"/>
  <c r="O1209" i="103"/>
  <c r="J1260" i="103"/>
  <c r="D134" i="101"/>
  <c r="H47" i="101" l="1"/>
  <c r="L706" i="101"/>
  <c r="B716" i="101"/>
  <c r="K699" i="101"/>
  <c r="J699" i="101"/>
  <c r="G699" i="101"/>
  <c r="F699" i="101"/>
  <c r="C699" i="101"/>
  <c r="B699" i="101"/>
  <c r="L697" i="101"/>
  <c r="H697" i="101"/>
  <c r="D697" i="101"/>
  <c r="L696" i="101"/>
  <c r="H696" i="101"/>
  <c r="D696" i="101"/>
  <c r="L695" i="101"/>
  <c r="H695" i="101"/>
  <c r="D695" i="101"/>
  <c r="L694" i="101"/>
  <c r="H694" i="101"/>
  <c r="D694" i="101"/>
  <c r="L693" i="101"/>
  <c r="H693" i="101"/>
  <c r="D693" i="101"/>
  <c r="L692" i="101"/>
  <c r="H692" i="101"/>
  <c r="D692" i="101"/>
  <c r="L691" i="101"/>
  <c r="H691" i="101"/>
  <c r="D691" i="101"/>
  <c r="L690" i="101"/>
  <c r="H690" i="101"/>
  <c r="D690" i="101"/>
  <c r="L689" i="101"/>
  <c r="H689" i="101"/>
  <c r="D689" i="101"/>
  <c r="K682" i="101"/>
  <c r="J682" i="101"/>
  <c r="G682" i="101"/>
  <c r="F682" i="101"/>
  <c r="C682" i="101"/>
  <c r="B682" i="101"/>
  <c r="L680" i="101"/>
  <c r="H680" i="101"/>
  <c r="D680" i="101"/>
  <c r="L679" i="101"/>
  <c r="H679" i="101"/>
  <c r="D679" i="101"/>
  <c r="L678" i="101"/>
  <c r="H678" i="101"/>
  <c r="D678" i="101"/>
  <c r="L677" i="101"/>
  <c r="H677" i="101"/>
  <c r="D677" i="101"/>
  <c r="L676" i="101"/>
  <c r="H676" i="101"/>
  <c r="D676" i="101"/>
  <c r="L675" i="101"/>
  <c r="H675" i="101"/>
  <c r="D675" i="101"/>
  <c r="L674" i="101"/>
  <c r="H674" i="101"/>
  <c r="D674" i="101"/>
  <c r="L673" i="101"/>
  <c r="H673" i="101"/>
  <c r="D673" i="101"/>
  <c r="L672" i="101"/>
  <c r="H672" i="101"/>
  <c r="D672" i="101"/>
  <c r="K665" i="101"/>
  <c r="J665" i="101"/>
  <c r="G665" i="101"/>
  <c r="F665" i="101"/>
  <c r="C665" i="101"/>
  <c r="B665" i="101"/>
  <c r="L663" i="101"/>
  <c r="H663" i="101"/>
  <c r="D663" i="101"/>
  <c r="L662" i="101"/>
  <c r="H662" i="101"/>
  <c r="D662" i="101"/>
  <c r="L661" i="101"/>
  <c r="H661" i="101"/>
  <c r="D661" i="101"/>
  <c r="L660" i="101"/>
  <c r="H660" i="101"/>
  <c r="D660" i="101"/>
  <c r="L659" i="101"/>
  <c r="H659" i="101"/>
  <c r="D659" i="101"/>
  <c r="L658" i="101"/>
  <c r="H658" i="101"/>
  <c r="D658" i="101"/>
  <c r="L657" i="101"/>
  <c r="H657" i="101"/>
  <c r="D657" i="101"/>
  <c r="L656" i="101"/>
  <c r="H656" i="101"/>
  <c r="D656" i="101"/>
  <c r="L655" i="101"/>
  <c r="H655" i="101"/>
  <c r="D655" i="101"/>
  <c r="K648" i="101"/>
  <c r="J648" i="101"/>
  <c r="G648" i="101"/>
  <c r="F648" i="101"/>
  <c r="C648" i="101"/>
  <c r="B648" i="101"/>
  <c r="L646" i="101"/>
  <c r="H646" i="101"/>
  <c r="D646" i="101"/>
  <c r="L645" i="101"/>
  <c r="H645" i="101"/>
  <c r="D645" i="101"/>
  <c r="L644" i="101"/>
  <c r="H644" i="101"/>
  <c r="D644" i="101"/>
  <c r="L643" i="101"/>
  <c r="H643" i="101"/>
  <c r="D643" i="101"/>
  <c r="L642" i="101"/>
  <c r="H642" i="101"/>
  <c r="D642" i="101"/>
  <c r="L641" i="101"/>
  <c r="H641" i="101"/>
  <c r="D641" i="101"/>
  <c r="L640" i="101"/>
  <c r="H640" i="101"/>
  <c r="D640" i="101"/>
  <c r="L639" i="101"/>
  <c r="H639" i="101"/>
  <c r="D639" i="101"/>
  <c r="L638" i="101"/>
  <c r="H638" i="101"/>
  <c r="D638" i="101"/>
  <c r="K631" i="101"/>
  <c r="J631" i="101"/>
  <c r="G631" i="101"/>
  <c r="F631" i="101"/>
  <c r="C631" i="101"/>
  <c r="B631" i="101"/>
  <c r="L629" i="101"/>
  <c r="H629" i="101"/>
  <c r="D629" i="101"/>
  <c r="L628" i="101"/>
  <c r="H628" i="101"/>
  <c r="D628" i="101"/>
  <c r="L627" i="101"/>
  <c r="H627" i="101"/>
  <c r="D627" i="101"/>
  <c r="L626" i="101"/>
  <c r="H626" i="101"/>
  <c r="D626" i="101"/>
  <c r="L625" i="101"/>
  <c r="H625" i="101"/>
  <c r="D625" i="101"/>
  <c r="L624" i="101"/>
  <c r="H624" i="101"/>
  <c r="D624" i="101"/>
  <c r="L623" i="101"/>
  <c r="H623" i="101"/>
  <c r="D623" i="101"/>
  <c r="L622" i="101"/>
  <c r="H622" i="101"/>
  <c r="D622" i="101"/>
  <c r="L621" i="101"/>
  <c r="H621" i="101"/>
  <c r="D621" i="101"/>
  <c r="K614" i="101"/>
  <c r="J614" i="101"/>
  <c r="G614" i="101"/>
  <c r="F614" i="101"/>
  <c r="C614" i="101"/>
  <c r="B614" i="101"/>
  <c r="L612" i="101"/>
  <c r="H612" i="101"/>
  <c r="D612" i="101"/>
  <c r="L611" i="101"/>
  <c r="H611" i="101"/>
  <c r="D611" i="101"/>
  <c r="L610" i="101"/>
  <c r="H610" i="101"/>
  <c r="D610" i="101"/>
  <c r="L609" i="101"/>
  <c r="H609" i="101"/>
  <c r="D609" i="101"/>
  <c r="L608" i="101"/>
  <c r="H608" i="101"/>
  <c r="D608" i="101"/>
  <c r="L607" i="101"/>
  <c r="H607" i="101"/>
  <c r="D607" i="101"/>
  <c r="L606" i="101"/>
  <c r="H606" i="101"/>
  <c r="D606" i="101"/>
  <c r="L605" i="101"/>
  <c r="H605" i="101"/>
  <c r="D605" i="101"/>
  <c r="L604" i="101"/>
  <c r="H604" i="101"/>
  <c r="D604" i="101"/>
  <c r="K597" i="101"/>
  <c r="J597" i="101"/>
  <c r="G597" i="101"/>
  <c r="F597" i="101"/>
  <c r="C597" i="101"/>
  <c r="B597" i="101"/>
  <c r="L595" i="101"/>
  <c r="H595" i="101"/>
  <c r="D595" i="101"/>
  <c r="L594" i="101"/>
  <c r="H594" i="101"/>
  <c r="D594" i="101"/>
  <c r="L593" i="101"/>
  <c r="H593" i="101"/>
  <c r="D593" i="101"/>
  <c r="L592" i="101"/>
  <c r="H592" i="101"/>
  <c r="D592" i="101"/>
  <c r="L591" i="101"/>
  <c r="H591" i="101"/>
  <c r="D591" i="101"/>
  <c r="L590" i="101"/>
  <c r="H590" i="101"/>
  <c r="D590" i="101"/>
  <c r="L589" i="101"/>
  <c r="H589" i="101"/>
  <c r="D589" i="101"/>
  <c r="L588" i="101"/>
  <c r="H588" i="101"/>
  <c r="D588" i="101"/>
  <c r="L587" i="101"/>
  <c r="H587" i="101"/>
  <c r="D587" i="101"/>
  <c r="K580" i="101"/>
  <c r="J580" i="101"/>
  <c r="G580" i="101"/>
  <c r="F580" i="101"/>
  <c r="C580" i="101"/>
  <c r="B580" i="101"/>
  <c r="L578" i="101"/>
  <c r="H578" i="101"/>
  <c r="D578" i="101"/>
  <c r="L577" i="101"/>
  <c r="H577" i="101"/>
  <c r="D577" i="101"/>
  <c r="L576" i="101"/>
  <c r="H576" i="101"/>
  <c r="D576" i="101"/>
  <c r="L575" i="101"/>
  <c r="H575" i="101"/>
  <c r="D575" i="101"/>
  <c r="L574" i="101"/>
  <c r="H574" i="101"/>
  <c r="D574" i="101"/>
  <c r="L573" i="101"/>
  <c r="H573" i="101"/>
  <c r="D573" i="101"/>
  <c r="L572" i="101"/>
  <c r="H572" i="101"/>
  <c r="D572" i="101"/>
  <c r="L571" i="101"/>
  <c r="H571" i="101"/>
  <c r="D571" i="101"/>
  <c r="L570" i="101"/>
  <c r="H570" i="101"/>
  <c r="D570" i="101"/>
  <c r="K563" i="101"/>
  <c r="J563" i="101"/>
  <c r="G563" i="101"/>
  <c r="F563" i="101"/>
  <c r="C563" i="101"/>
  <c r="B563" i="101"/>
  <c r="L561" i="101"/>
  <c r="H561" i="101"/>
  <c r="D561" i="101"/>
  <c r="L560" i="101"/>
  <c r="H560" i="101"/>
  <c r="D560" i="101"/>
  <c r="L559" i="101"/>
  <c r="H559" i="101"/>
  <c r="D559" i="101"/>
  <c r="L558" i="101"/>
  <c r="H558" i="101"/>
  <c r="D558" i="101"/>
  <c r="L557" i="101"/>
  <c r="H557" i="101"/>
  <c r="D557" i="101"/>
  <c r="L556" i="101"/>
  <c r="H556" i="101"/>
  <c r="D556" i="101"/>
  <c r="L555" i="101"/>
  <c r="H555" i="101"/>
  <c r="D555" i="101"/>
  <c r="L554" i="101"/>
  <c r="H554" i="101"/>
  <c r="D554" i="101"/>
  <c r="L553" i="101"/>
  <c r="H553" i="101"/>
  <c r="D553" i="101"/>
  <c r="K546" i="101"/>
  <c r="J546" i="101"/>
  <c r="G546" i="101"/>
  <c r="F546" i="101"/>
  <c r="C546" i="101"/>
  <c r="B546" i="101"/>
  <c r="L544" i="101"/>
  <c r="H544" i="101"/>
  <c r="D544" i="101"/>
  <c r="L543" i="101"/>
  <c r="H543" i="101"/>
  <c r="D543" i="101"/>
  <c r="L542" i="101"/>
  <c r="H542" i="101"/>
  <c r="D542" i="101"/>
  <c r="L541" i="101"/>
  <c r="H541" i="101"/>
  <c r="D541" i="101"/>
  <c r="L540" i="101"/>
  <c r="H540" i="101"/>
  <c r="D540" i="101"/>
  <c r="L539" i="101"/>
  <c r="H539" i="101"/>
  <c r="D539" i="101"/>
  <c r="L538" i="101"/>
  <c r="H538" i="101"/>
  <c r="D538" i="101"/>
  <c r="L537" i="101"/>
  <c r="H537" i="101"/>
  <c r="D537" i="101"/>
  <c r="L536" i="101"/>
  <c r="H536" i="101"/>
  <c r="D536" i="101"/>
  <c r="K529" i="101"/>
  <c r="J529" i="101"/>
  <c r="G529" i="101"/>
  <c r="F529" i="101"/>
  <c r="C529" i="101"/>
  <c r="B529" i="101"/>
  <c r="L527" i="101"/>
  <c r="H527" i="101"/>
  <c r="D527" i="101"/>
  <c r="L526" i="101"/>
  <c r="H526" i="101"/>
  <c r="D526" i="101"/>
  <c r="L525" i="101"/>
  <c r="H525" i="101"/>
  <c r="D525" i="101"/>
  <c r="L524" i="101"/>
  <c r="H524" i="101"/>
  <c r="D524" i="101"/>
  <c r="L523" i="101"/>
  <c r="H523" i="101"/>
  <c r="D523" i="101"/>
  <c r="L522" i="101"/>
  <c r="H522" i="101"/>
  <c r="D522" i="101"/>
  <c r="L521" i="101"/>
  <c r="H521" i="101"/>
  <c r="D521" i="101"/>
  <c r="L520" i="101"/>
  <c r="H520" i="101"/>
  <c r="D520" i="101"/>
  <c r="L519" i="101"/>
  <c r="H519" i="101"/>
  <c r="D519" i="101"/>
  <c r="K512" i="101"/>
  <c r="J512" i="101"/>
  <c r="G512" i="101"/>
  <c r="F512" i="101"/>
  <c r="C512" i="101"/>
  <c r="B512" i="101"/>
  <c r="L510" i="101"/>
  <c r="H510" i="101"/>
  <c r="D510" i="101"/>
  <c r="L509" i="101"/>
  <c r="H509" i="101"/>
  <c r="D509" i="101"/>
  <c r="L508" i="101"/>
  <c r="H508" i="101"/>
  <c r="D508" i="101"/>
  <c r="L507" i="101"/>
  <c r="H507" i="101"/>
  <c r="D507" i="101"/>
  <c r="L506" i="101"/>
  <c r="H506" i="101"/>
  <c r="D506" i="101"/>
  <c r="L505" i="101"/>
  <c r="H505" i="101"/>
  <c r="D505" i="101"/>
  <c r="L504" i="101"/>
  <c r="H504" i="101"/>
  <c r="D504" i="101"/>
  <c r="L503" i="101"/>
  <c r="H503" i="101"/>
  <c r="D503" i="101"/>
  <c r="L502" i="101"/>
  <c r="H502" i="101"/>
  <c r="D502" i="101"/>
  <c r="K495" i="101"/>
  <c r="J495" i="101"/>
  <c r="G495" i="101"/>
  <c r="F495" i="101"/>
  <c r="C495" i="101"/>
  <c r="B495" i="101"/>
  <c r="L493" i="101"/>
  <c r="H493" i="101"/>
  <c r="D493" i="101"/>
  <c r="L492" i="101"/>
  <c r="H492" i="101"/>
  <c r="D492" i="101"/>
  <c r="L491" i="101"/>
  <c r="H491" i="101"/>
  <c r="D491" i="101"/>
  <c r="L490" i="101"/>
  <c r="H490" i="101"/>
  <c r="D490" i="101"/>
  <c r="L489" i="101"/>
  <c r="H489" i="101"/>
  <c r="D489" i="101"/>
  <c r="L488" i="101"/>
  <c r="H488" i="101"/>
  <c r="D488" i="101"/>
  <c r="L487" i="101"/>
  <c r="H487" i="101"/>
  <c r="D487" i="101"/>
  <c r="L486" i="101"/>
  <c r="H486" i="101"/>
  <c r="D486" i="101"/>
  <c r="L485" i="101"/>
  <c r="H485" i="101"/>
  <c r="D485" i="101"/>
  <c r="K478" i="101"/>
  <c r="J478" i="101"/>
  <c r="G478" i="101"/>
  <c r="F478" i="101"/>
  <c r="C478" i="101"/>
  <c r="B478" i="101"/>
  <c r="L476" i="101"/>
  <c r="H476" i="101"/>
  <c r="D476" i="101"/>
  <c r="L475" i="101"/>
  <c r="H475" i="101"/>
  <c r="D475" i="101"/>
  <c r="L474" i="101"/>
  <c r="H474" i="101"/>
  <c r="D474" i="101"/>
  <c r="L473" i="101"/>
  <c r="H473" i="101"/>
  <c r="D473" i="101"/>
  <c r="L472" i="101"/>
  <c r="H472" i="101"/>
  <c r="D472" i="101"/>
  <c r="L471" i="101"/>
  <c r="H471" i="101"/>
  <c r="D471" i="101"/>
  <c r="L470" i="101"/>
  <c r="H470" i="101"/>
  <c r="D470" i="101"/>
  <c r="L469" i="101"/>
  <c r="H469" i="101"/>
  <c r="D469" i="101"/>
  <c r="L468" i="101"/>
  <c r="H468" i="101"/>
  <c r="D468" i="101"/>
  <c r="K461" i="101"/>
  <c r="J461" i="101"/>
  <c r="G461" i="101"/>
  <c r="F461" i="101"/>
  <c r="C461" i="101"/>
  <c r="B461" i="101"/>
  <c r="L459" i="101"/>
  <c r="H459" i="101"/>
  <c r="D459" i="101"/>
  <c r="L458" i="101"/>
  <c r="H458" i="101"/>
  <c r="D458" i="101"/>
  <c r="L457" i="101"/>
  <c r="H457" i="101"/>
  <c r="D457" i="101"/>
  <c r="L456" i="101"/>
  <c r="H456" i="101"/>
  <c r="D456" i="101"/>
  <c r="L455" i="101"/>
  <c r="H455" i="101"/>
  <c r="D455" i="101"/>
  <c r="L454" i="101"/>
  <c r="H454" i="101"/>
  <c r="D454" i="101"/>
  <c r="L453" i="101"/>
  <c r="H453" i="101"/>
  <c r="D453" i="101"/>
  <c r="L452" i="101"/>
  <c r="H452" i="101"/>
  <c r="D452" i="101"/>
  <c r="L451" i="101"/>
  <c r="H451" i="101"/>
  <c r="D451" i="101"/>
  <c r="K444" i="101"/>
  <c r="J444" i="101"/>
  <c r="G444" i="101"/>
  <c r="F444" i="101"/>
  <c r="C444" i="101"/>
  <c r="B444" i="101"/>
  <c r="L442" i="101"/>
  <c r="H442" i="101"/>
  <c r="D442" i="101"/>
  <c r="L441" i="101"/>
  <c r="H441" i="101"/>
  <c r="D441" i="101"/>
  <c r="L440" i="101"/>
  <c r="H440" i="101"/>
  <c r="D440" i="101"/>
  <c r="L439" i="101"/>
  <c r="H439" i="101"/>
  <c r="D439" i="101"/>
  <c r="L438" i="101"/>
  <c r="H438" i="101"/>
  <c r="D438" i="101"/>
  <c r="L437" i="101"/>
  <c r="H437" i="101"/>
  <c r="D437" i="101"/>
  <c r="L436" i="101"/>
  <c r="H436" i="101"/>
  <c r="D436" i="101"/>
  <c r="L435" i="101"/>
  <c r="H435" i="101"/>
  <c r="D435" i="101"/>
  <c r="L434" i="101"/>
  <c r="H434" i="101"/>
  <c r="D434" i="101"/>
  <c r="K427" i="101"/>
  <c r="J427" i="101"/>
  <c r="G427" i="101"/>
  <c r="F427" i="101"/>
  <c r="C427" i="101"/>
  <c r="B427" i="101"/>
  <c r="L425" i="101"/>
  <c r="H425" i="101"/>
  <c r="D425" i="101"/>
  <c r="L424" i="101"/>
  <c r="H424" i="101"/>
  <c r="D424" i="101"/>
  <c r="L423" i="101"/>
  <c r="H423" i="101"/>
  <c r="D423" i="101"/>
  <c r="L422" i="101"/>
  <c r="H422" i="101"/>
  <c r="D422" i="101"/>
  <c r="L421" i="101"/>
  <c r="H421" i="101"/>
  <c r="D421" i="101"/>
  <c r="L420" i="101"/>
  <c r="H420" i="101"/>
  <c r="D420" i="101"/>
  <c r="L419" i="101"/>
  <c r="H419" i="101"/>
  <c r="D419" i="101"/>
  <c r="L418" i="101"/>
  <c r="H418" i="101"/>
  <c r="D418" i="101"/>
  <c r="L417" i="101"/>
  <c r="H417" i="101"/>
  <c r="D417" i="101"/>
  <c r="K410" i="101"/>
  <c r="J410" i="101"/>
  <c r="G410" i="101"/>
  <c r="F410" i="101"/>
  <c r="C410" i="101"/>
  <c r="B410" i="101"/>
  <c r="L408" i="101"/>
  <c r="H408" i="101"/>
  <c r="D408" i="101"/>
  <c r="L407" i="101"/>
  <c r="H407" i="101"/>
  <c r="D407" i="101"/>
  <c r="L406" i="101"/>
  <c r="H406" i="101"/>
  <c r="D406" i="101"/>
  <c r="L405" i="101"/>
  <c r="H405" i="101"/>
  <c r="D405" i="101"/>
  <c r="L404" i="101"/>
  <c r="H404" i="101"/>
  <c r="D404" i="101"/>
  <c r="L403" i="101"/>
  <c r="H403" i="101"/>
  <c r="D403" i="101"/>
  <c r="L402" i="101"/>
  <c r="H402" i="101"/>
  <c r="D402" i="101"/>
  <c r="L401" i="101"/>
  <c r="H401" i="101"/>
  <c r="D401" i="101"/>
  <c r="L400" i="101"/>
  <c r="H400" i="101"/>
  <c r="D400" i="10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754" i="101"/>
  <c r="B737" i="101"/>
  <c r="B720" i="101"/>
  <c r="B703" i="101"/>
  <c r="B686" i="101"/>
  <c r="B669" i="101"/>
  <c r="B652" i="101"/>
  <c r="B635" i="101"/>
  <c r="B618" i="101"/>
  <c r="B601" i="101"/>
  <c r="B584" i="101"/>
  <c r="B567" i="101"/>
  <c r="B550" i="101"/>
  <c r="B533" i="101"/>
  <c r="B516" i="101"/>
  <c r="B499" i="101"/>
  <c r="B482" i="101"/>
  <c r="B465" i="101"/>
  <c r="B448" i="101"/>
  <c r="B431" i="101"/>
  <c r="B414" i="101"/>
  <c r="B397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M15" i="76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AD18" i="21"/>
  <c r="AD11" i="21"/>
  <c r="N5" i="21"/>
  <c r="O5" i="21"/>
  <c r="P5" i="21"/>
  <c r="Q5" i="2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H563" i="101" l="1"/>
  <c r="L597" i="101"/>
  <c r="H614" i="101"/>
  <c r="H699" i="101"/>
  <c r="D699" i="101"/>
  <c r="D138" i="101"/>
  <c r="D444" i="101"/>
  <c r="D410" i="101"/>
  <c r="L342" i="101"/>
  <c r="L308" i="101"/>
  <c r="H240" i="101"/>
  <c r="L223" i="101"/>
  <c r="D189" i="101"/>
  <c r="H189" i="101"/>
  <c r="D172" i="101"/>
  <c r="L87" i="101"/>
  <c r="L104" i="101"/>
  <c r="H257" i="101"/>
  <c r="L478" i="101"/>
  <c r="L121" i="101"/>
  <c r="H172" i="101"/>
  <c r="H223" i="101"/>
  <c r="D223" i="101"/>
  <c r="L257" i="101"/>
  <c r="D291" i="101"/>
  <c r="H342" i="101"/>
  <c r="D342" i="101"/>
  <c r="L376" i="101"/>
  <c r="H461" i="101"/>
  <c r="L495" i="101"/>
  <c r="D580" i="101"/>
  <c r="H597" i="101"/>
  <c r="D597" i="101"/>
  <c r="L631" i="101"/>
  <c r="H104" i="101"/>
  <c r="D104" i="101"/>
  <c r="L138" i="101"/>
  <c r="L274" i="101"/>
  <c r="H359" i="101"/>
  <c r="D359" i="101"/>
  <c r="L393" i="101"/>
  <c r="D427" i="101"/>
  <c r="H444" i="101"/>
  <c r="L461" i="101"/>
  <c r="H478" i="101"/>
  <c r="L512" i="101"/>
  <c r="H529" i="101"/>
  <c r="D614" i="101"/>
  <c r="L648" i="101"/>
  <c r="D682" i="101"/>
  <c r="D206" i="101"/>
  <c r="D274" i="101"/>
  <c r="H410" i="101"/>
  <c r="L614" i="101"/>
  <c r="H665" i="101"/>
  <c r="D121" i="101"/>
  <c r="L155" i="101"/>
  <c r="D240" i="101"/>
  <c r="D376" i="101"/>
  <c r="H495" i="101"/>
  <c r="D563" i="101"/>
  <c r="L665" i="101"/>
  <c r="L172" i="101"/>
  <c r="H393" i="101"/>
  <c r="L427" i="101"/>
  <c r="H512" i="101"/>
  <c r="D512" i="101"/>
  <c r="L546" i="101"/>
  <c r="H648" i="101"/>
  <c r="D648" i="101"/>
  <c r="L682" i="101"/>
  <c r="H206" i="101"/>
  <c r="H274" i="101"/>
  <c r="D325" i="101"/>
  <c r="L359" i="101"/>
  <c r="D257" i="101"/>
  <c r="H376" i="101"/>
  <c r="D495" i="101"/>
  <c r="L529" i="101"/>
  <c r="H631" i="101"/>
  <c r="D87" i="101"/>
  <c r="H87" i="101"/>
  <c r="H155" i="101"/>
  <c r="D155" i="101"/>
  <c r="L189" i="101"/>
  <c r="H291" i="101"/>
  <c r="D308" i="101"/>
  <c r="D461" i="101"/>
  <c r="D529" i="101"/>
  <c r="L563" i="101"/>
  <c r="L699" i="101"/>
  <c r="H138" i="101"/>
  <c r="H325" i="101"/>
  <c r="D393" i="101"/>
  <c r="L444" i="101"/>
  <c r="H121" i="101"/>
  <c r="L240" i="101"/>
  <c r="L291" i="101"/>
  <c r="L410" i="101"/>
  <c r="H580" i="101"/>
  <c r="D631" i="101"/>
  <c r="L206" i="101"/>
  <c r="H308" i="101"/>
  <c r="L325" i="101"/>
  <c r="H427" i="101"/>
  <c r="D478" i="101"/>
  <c r="H546" i="101"/>
  <c r="D546" i="101"/>
  <c r="L580" i="101"/>
  <c r="D665" i="101"/>
  <c r="H682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K9" i="79"/>
  <c r="B119" i="78"/>
  <c r="B21" i="52" l="1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B10" i="103"/>
  <c r="C10" i="103"/>
  <c r="D10" i="103"/>
  <c r="B11" i="103"/>
  <c r="C11" i="103"/>
  <c r="D11" i="103"/>
  <c r="B12" i="103"/>
  <c r="C12" i="103"/>
  <c r="D12" i="103"/>
  <c r="B13" i="103"/>
  <c r="C13" i="103"/>
  <c r="D13" i="103"/>
  <c r="B14" i="103"/>
  <c r="C14" i="103"/>
  <c r="D14" i="103"/>
  <c r="B15" i="103"/>
  <c r="C15" i="103"/>
  <c r="D15" i="103"/>
  <c r="B16" i="103"/>
  <c r="C16" i="103"/>
  <c r="D16" i="103"/>
  <c r="B17" i="103"/>
  <c r="C17" i="103"/>
  <c r="D17" i="103"/>
  <c r="C9" i="103"/>
  <c r="D9" i="103"/>
  <c r="B9" i="101"/>
  <c r="K1294" i="101"/>
  <c r="J1294" i="101"/>
  <c r="G1294" i="101"/>
  <c r="F1294" i="101"/>
  <c r="C1294" i="101"/>
  <c r="B1294" i="101"/>
  <c r="L1292" i="101"/>
  <c r="H1292" i="101"/>
  <c r="D1292" i="101"/>
  <c r="L1291" i="101"/>
  <c r="H1291" i="101"/>
  <c r="D1291" i="101"/>
  <c r="L1290" i="101"/>
  <c r="H1290" i="101"/>
  <c r="D1290" i="101"/>
  <c r="L1289" i="101"/>
  <c r="H1289" i="101"/>
  <c r="D1289" i="101"/>
  <c r="L1288" i="101"/>
  <c r="H1288" i="101"/>
  <c r="D1288" i="101"/>
  <c r="L1287" i="101"/>
  <c r="H1287" i="101"/>
  <c r="D1287" i="101"/>
  <c r="L1286" i="101"/>
  <c r="H1286" i="101"/>
  <c r="D1286" i="101"/>
  <c r="L1285" i="101"/>
  <c r="H1285" i="101"/>
  <c r="D1285" i="101"/>
  <c r="L1284" i="101"/>
  <c r="H1284" i="101"/>
  <c r="D1284" i="101"/>
  <c r="K1277" i="101"/>
  <c r="J1277" i="101"/>
  <c r="G1277" i="101"/>
  <c r="F1277" i="101"/>
  <c r="C1277" i="101"/>
  <c r="B1277" i="101"/>
  <c r="L1275" i="101"/>
  <c r="H1275" i="101"/>
  <c r="D1275" i="101"/>
  <c r="L1274" i="101"/>
  <c r="H1274" i="101"/>
  <c r="D1274" i="101"/>
  <c r="L1273" i="101"/>
  <c r="H1273" i="101"/>
  <c r="D1273" i="101"/>
  <c r="L1272" i="101"/>
  <c r="H1272" i="101"/>
  <c r="D1272" i="101"/>
  <c r="L1271" i="101"/>
  <c r="H1271" i="101"/>
  <c r="D1271" i="101"/>
  <c r="L1270" i="101"/>
  <c r="H1270" i="101"/>
  <c r="D1270" i="101"/>
  <c r="L1269" i="101"/>
  <c r="H1269" i="101"/>
  <c r="D1269" i="101"/>
  <c r="L1268" i="101"/>
  <c r="H1268" i="101"/>
  <c r="D1268" i="101"/>
  <c r="L1267" i="101"/>
  <c r="H1267" i="101"/>
  <c r="D1267" i="101"/>
  <c r="K1260" i="101"/>
  <c r="J1260" i="101"/>
  <c r="G1260" i="101"/>
  <c r="F1260" i="101"/>
  <c r="C1260" i="101"/>
  <c r="B1260" i="101"/>
  <c r="L1258" i="101"/>
  <c r="H1258" i="101"/>
  <c r="D1258" i="101"/>
  <c r="L1257" i="101"/>
  <c r="H1257" i="101"/>
  <c r="D1257" i="101"/>
  <c r="L1256" i="101"/>
  <c r="H1256" i="101"/>
  <c r="D1256" i="101"/>
  <c r="L1255" i="101"/>
  <c r="H1255" i="101"/>
  <c r="D1255" i="101"/>
  <c r="L1254" i="101"/>
  <c r="H1254" i="101"/>
  <c r="D1254" i="101"/>
  <c r="L1253" i="101"/>
  <c r="H1253" i="101"/>
  <c r="D1253" i="101"/>
  <c r="L1252" i="101"/>
  <c r="H1252" i="101"/>
  <c r="D1252" i="101"/>
  <c r="L1251" i="101"/>
  <c r="H1251" i="101"/>
  <c r="D1251" i="101"/>
  <c r="L1250" i="101"/>
  <c r="H1250" i="101"/>
  <c r="D1250" i="101"/>
  <c r="K1243" i="101"/>
  <c r="J1243" i="101"/>
  <c r="G1243" i="101"/>
  <c r="F1243" i="101"/>
  <c r="C1243" i="101"/>
  <c r="B1243" i="101"/>
  <c r="L1241" i="101"/>
  <c r="H1241" i="101"/>
  <c r="D1241" i="101"/>
  <c r="L1240" i="101"/>
  <c r="H1240" i="101"/>
  <c r="D1240" i="101"/>
  <c r="L1239" i="101"/>
  <c r="H1239" i="101"/>
  <c r="D1239" i="101"/>
  <c r="L1238" i="101"/>
  <c r="H1238" i="101"/>
  <c r="D1238" i="101"/>
  <c r="L1237" i="101"/>
  <c r="H1237" i="101"/>
  <c r="D1237" i="101"/>
  <c r="L1236" i="101"/>
  <c r="H1236" i="101"/>
  <c r="D1236" i="101"/>
  <c r="L1235" i="101"/>
  <c r="H1235" i="101"/>
  <c r="D1235" i="101"/>
  <c r="L1234" i="101"/>
  <c r="H1234" i="101"/>
  <c r="D1234" i="101"/>
  <c r="L1233" i="101"/>
  <c r="H1233" i="101"/>
  <c r="D1233" i="101"/>
  <c r="K1226" i="101"/>
  <c r="J1226" i="101"/>
  <c r="G1226" i="101"/>
  <c r="F1226" i="101"/>
  <c r="C1226" i="101"/>
  <c r="B1226" i="101"/>
  <c r="L1224" i="101"/>
  <c r="H1224" i="101"/>
  <c r="D1224" i="101"/>
  <c r="L1223" i="101"/>
  <c r="H1223" i="101"/>
  <c r="D1223" i="101"/>
  <c r="L1222" i="101"/>
  <c r="H1222" i="101"/>
  <c r="D1222" i="101"/>
  <c r="L1221" i="101"/>
  <c r="H1221" i="101"/>
  <c r="D1221" i="101"/>
  <c r="L1220" i="101"/>
  <c r="H1220" i="101"/>
  <c r="D1220" i="101"/>
  <c r="L1219" i="101"/>
  <c r="H1219" i="101"/>
  <c r="D1219" i="101"/>
  <c r="L1218" i="101"/>
  <c r="H1218" i="101"/>
  <c r="D1218" i="101"/>
  <c r="L1217" i="101"/>
  <c r="H1217" i="101"/>
  <c r="D1217" i="101"/>
  <c r="L1216" i="101"/>
  <c r="H1216" i="101"/>
  <c r="D1216" i="101"/>
  <c r="K1209" i="101"/>
  <c r="J1209" i="101"/>
  <c r="G1209" i="101"/>
  <c r="F1209" i="101"/>
  <c r="C1209" i="101"/>
  <c r="B1209" i="101"/>
  <c r="L1207" i="101"/>
  <c r="H1207" i="101"/>
  <c r="D1207" i="101"/>
  <c r="L1206" i="101"/>
  <c r="H1206" i="101"/>
  <c r="D1206" i="101"/>
  <c r="L1205" i="101"/>
  <c r="H1205" i="101"/>
  <c r="D1205" i="101"/>
  <c r="L1204" i="101"/>
  <c r="H1204" i="101"/>
  <c r="D1204" i="101"/>
  <c r="L1203" i="101"/>
  <c r="H1203" i="101"/>
  <c r="D1203" i="101"/>
  <c r="L1202" i="101"/>
  <c r="H1202" i="101"/>
  <c r="D1202" i="101"/>
  <c r="L1201" i="101"/>
  <c r="H1201" i="101"/>
  <c r="D1201" i="101"/>
  <c r="L1200" i="101"/>
  <c r="H1200" i="101"/>
  <c r="D1200" i="101"/>
  <c r="L1199" i="101"/>
  <c r="H1199" i="101"/>
  <c r="D1199" i="101"/>
  <c r="K1192" i="101"/>
  <c r="J1192" i="101"/>
  <c r="G1192" i="101"/>
  <c r="F1192" i="101"/>
  <c r="C1192" i="101"/>
  <c r="B1192" i="101"/>
  <c r="L1190" i="101"/>
  <c r="H1190" i="101"/>
  <c r="D1190" i="101"/>
  <c r="L1189" i="101"/>
  <c r="H1189" i="101"/>
  <c r="D1189" i="101"/>
  <c r="L1188" i="101"/>
  <c r="H1188" i="101"/>
  <c r="D1188" i="101"/>
  <c r="L1187" i="101"/>
  <c r="H1187" i="101"/>
  <c r="D1187" i="101"/>
  <c r="L1186" i="101"/>
  <c r="H1186" i="101"/>
  <c r="D1186" i="101"/>
  <c r="L1185" i="101"/>
  <c r="H1185" i="101"/>
  <c r="D1185" i="101"/>
  <c r="L1184" i="101"/>
  <c r="H1184" i="101"/>
  <c r="D1184" i="101"/>
  <c r="L1183" i="101"/>
  <c r="H1183" i="101"/>
  <c r="D1183" i="101"/>
  <c r="L1182" i="101"/>
  <c r="H1182" i="101"/>
  <c r="D1182" i="101"/>
  <c r="K1175" i="101"/>
  <c r="J1175" i="101"/>
  <c r="G1175" i="101"/>
  <c r="F1175" i="101"/>
  <c r="C1175" i="101"/>
  <c r="B1175" i="101"/>
  <c r="L1173" i="101"/>
  <c r="H1173" i="101"/>
  <c r="D1173" i="101"/>
  <c r="L1172" i="101"/>
  <c r="H1172" i="101"/>
  <c r="D1172" i="101"/>
  <c r="L1171" i="101"/>
  <c r="H1171" i="101"/>
  <c r="D1171" i="101"/>
  <c r="L1170" i="101"/>
  <c r="H1170" i="101"/>
  <c r="D1170" i="101"/>
  <c r="L1169" i="101"/>
  <c r="H1169" i="101"/>
  <c r="D1169" i="101"/>
  <c r="L1168" i="101"/>
  <c r="H1168" i="101"/>
  <c r="D1168" i="101"/>
  <c r="L1167" i="101"/>
  <c r="H1167" i="101"/>
  <c r="D1167" i="101"/>
  <c r="L1166" i="101"/>
  <c r="H1166" i="101"/>
  <c r="D1166" i="101"/>
  <c r="L1165" i="101"/>
  <c r="H1165" i="101"/>
  <c r="D1165" i="101"/>
  <c r="K1158" i="101"/>
  <c r="J1158" i="101"/>
  <c r="G1158" i="101"/>
  <c r="F1158" i="101"/>
  <c r="C1158" i="101"/>
  <c r="B1158" i="101"/>
  <c r="L1156" i="101"/>
  <c r="H1156" i="101"/>
  <c r="D1156" i="101"/>
  <c r="L1155" i="101"/>
  <c r="H1155" i="101"/>
  <c r="D1155" i="101"/>
  <c r="L1154" i="101"/>
  <c r="H1154" i="101"/>
  <c r="D1154" i="101"/>
  <c r="L1153" i="101"/>
  <c r="H1153" i="101"/>
  <c r="D1153" i="101"/>
  <c r="L1152" i="101"/>
  <c r="H1152" i="101"/>
  <c r="D1152" i="101"/>
  <c r="L1151" i="101"/>
  <c r="H1151" i="101"/>
  <c r="D1151" i="101"/>
  <c r="L1150" i="101"/>
  <c r="H1150" i="101"/>
  <c r="D1150" i="101"/>
  <c r="L1149" i="101"/>
  <c r="H1149" i="101"/>
  <c r="D1149" i="101"/>
  <c r="L1148" i="101"/>
  <c r="H1148" i="101"/>
  <c r="D1148" i="101"/>
  <c r="K1141" i="101"/>
  <c r="J1141" i="101"/>
  <c r="G1141" i="101"/>
  <c r="F1141" i="101"/>
  <c r="C1141" i="101"/>
  <c r="B1141" i="101"/>
  <c r="L1139" i="101"/>
  <c r="H1139" i="101"/>
  <c r="D1139" i="101"/>
  <c r="L1138" i="101"/>
  <c r="H1138" i="101"/>
  <c r="D1138" i="101"/>
  <c r="L1137" i="101"/>
  <c r="H1137" i="101"/>
  <c r="D1137" i="101"/>
  <c r="L1136" i="101"/>
  <c r="H1136" i="101"/>
  <c r="D1136" i="101"/>
  <c r="L1135" i="101"/>
  <c r="H1135" i="101"/>
  <c r="D1135" i="101"/>
  <c r="L1134" i="101"/>
  <c r="H1134" i="101"/>
  <c r="D1134" i="101"/>
  <c r="L1133" i="101"/>
  <c r="H1133" i="101"/>
  <c r="D1133" i="101"/>
  <c r="L1132" i="101"/>
  <c r="H1132" i="101"/>
  <c r="D1132" i="101"/>
  <c r="L1131" i="101"/>
  <c r="H1131" i="101"/>
  <c r="D1131" i="101"/>
  <c r="K1124" i="101"/>
  <c r="J1124" i="101"/>
  <c r="G1124" i="101"/>
  <c r="F1124" i="101"/>
  <c r="C1124" i="101"/>
  <c r="B1124" i="101"/>
  <c r="L1122" i="101"/>
  <c r="H1122" i="101"/>
  <c r="D1122" i="101"/>
  <c r="L1121" i="101"/>
  <c r="H1121" i="101"/>
  <c r="D1121" i="101"/>
  <c r="L1120" i="101"/>
  <c r="H1120" i="101"/>
  <c r="D1120" i="101"/>
  <c r="L1119" i="101"/>
  <c r="H1119" i="101"/>
  <c r="D1119" i="101"/>
  <c r="L1118" i="101"/>
  <c r="H1118" i="101"/>
  <c r="D1118" i="101"/>
  <c r="L1117" i="101"/>
  <c r="H1117" i="101"/>
  <c r="D1117" i="101"/>
  <c r="L1116" i="101"/>
  <c r="H1116" i="101"/>
  <c r="D1116" i="101"/>
  <c r="L1115" i="101"/>
  <c r="H1115" i="101"/>
  <c r="D1115" i="101"/>
  <c r="L1114" i="101"/>
  <c r="H1114" i="101"/>
  <c r="D1114" i="101"/>
  <c r="K1107" i="101"/>
  <c r="J1107" i="101"/>
  <c r="G1107" i="101"/>
  <c r="F1107" i="101"/>
  <c r="C1107" i="101"/>
  <c r="B1107" i="101"/>
  <c r="L1105" i="101"/>
  <c r="H1105" i="101"/>
  <c r="D1105" i="101"/>
  <c r="L1104" i="101"/>
  <c r="H1104" i="101"/>
  <c r="D1104" i="101"/>
  <c r="L1103" i="101"/>
  <c r="H1103" i="101"/>
  <c r="D1103" i="101"/>
  <c r="L1102" i="101"/>
  <c r="H1102" i="101"/>
  <c r="D1102" i="101"/>
  <c r="L1101" i="101"/>
  <c r="H1101" i="101"/>
  <c r="D1101" i="101"/>
  <c r="L1100" i="101"/>
  <c r="H1100" i="101"/>
  <c r="D1100" i="101"/>
  <c r="L1099" i="101"/>
  <c r="H1099" i="101"/>
  <c r="D1099" i="101"/>
  <c r="L1098" i="101"/>
  <c r="H1098" i="101"/>
  <c r="D1098" i="101"/>
  <c r="L1097" i="101"/>
  <c r="H1097" i="101"/>
  <c r="D1097" i="101"/>
  <c r="K1090" i="101"/>
  <c r="J1090" i="101"/>
  <c r="G1090" i="101"/>
  <c r="F1090" i="101"/>
  <c r="C1090" i="101"/>
  <c r="B1090" i="101"/>
  <c r="L1088" i="101"/>
  <c r="H1088" i="101"/>
  <c r="D1088" i="101"/>
  <c r="L1087" i="101"/>
  <c r="H1087" i="101"/>
  <c r="D1087" i="101"/>
  <c r="L1086" i="101"/>
  <c r="H1086" i="101"/>
  <c r="D1086" i="101"/>
  <c r="L1085" i="101"/>
  <c r="H1085" i="101"/>
  <c r="D1085" i="101"/>
  <c r="L1084" i="101"/>
  <c r="H1084" i="101"/>
  <c r="D1084" i="101"/>
  <c r="L1083" i="101"/>
  <c r="H1083" i="101"/>
  <c r="D1083" i="101"/>
  <c r="L1082" i="101"/>
  <c r="H1082" i="101"/>
  <c r="D1082" i="101"/>
  <c r="L1081" i="101"/>
  <c r="H1081" i="101"/>
  <c r="D1081" i="101"/>
  <c r="L1080" i="101"/>
  <c r="H1080" i="101"/>
  <c r="D1080" i="101"/>
  <c r="K1073" i="101"/>
  <c r="J1073" i="101"/>
  <c r="G1073" i="101"/>
  <c r="F1073" i="101"/>
  <c r="C1073" i="101"/>
  <c r="B1073" i="101"/>
  <c r="L1071" i="101"/>
  <c r="H1071" i="101"/>
  <c r="D1071" i="101"/>
  <c r="L1070" i="101"/>
  <c r="H1070" i="101"/>
  <c r="D1070" i="101"/>
  <c r="L1069" i="101"/>
  <c r="H1069" i="101"/>
  <c r="D1069" i="101"/>
  <c r="L1068" i="101"/>
  <c r="H1068" i="101"/>
  <c r="D1068" i="101"/>
  <c r="L1067" i="101"/>
  <c r="H1067" i="101"/>
  <c r="D1067" i="101"/>
  <c r="L1066" i="101"/>
  <c r="H1066" i="101"/>
  <c r="D1066" i="101"/>
  <c r="L1065" i="101"/>
  <c r="H1065" i="101"/>
  <c r="D1065" i="101"/>
  <c r="L1064" i="101"/>
  <c r="H1064" i="101"/>
  <c r="D1064" i="101"/>
  <c r="L1063" i="101"/>
  <c r="H1063" i="101"/>
  <c r="D1063" i="101"/>
  <c r="K1056" i="101"/>
  <c r="J1056" i="101"/>
  <c r="G1056" i="101"/>
  <c r="F1056" i="101"/>
  <c r="C1056" i="101"/>
  <c r="B1056" i="101"/>
  <c r="L1054" i="101"/>
  <c r="H1054" i="101"/>
  <c r="D1054" i="101"/>
  <c r="L1053" i="101"/>
  <c r="H1053" i="101"/>
  <c r="D1053" i="101"/>
  <c r="L1052" i="101"/>
  <c r="H1052" i="101"/>
  <c r="D1052" i="101"/>
  <c r="L1051" i="101"/>
  <c r="H1051" i="101"/>
  <c r="D1051" i="101"/>
  <c r="L1050" i="101"/>
  <c r="H1050" i="101"/>
  <c r="D1050" i="101"/>
  <c r="L1049" i="101"/>
  <c r="H1049" i="101"/>
  <c r="D1049" i="101"/>
  <c r="L1048" i="101"/>
  <c r="H1048" i="101"/>
  <c r="D1048" i="101"/>
  <c r="L1047" i="101"/>
  <c r="H1047" i="101"/>
  <c r="D1047" i="101"/>
  <c r="L1046" i="101"/>
  <c r="H1046" i="101"/>
  <c r="D1046" i="101"/>
  <c r="K1039" i="101"/>
  <c r="J1039" i="101"/>
  <c r="G1039" i="101"/>
  <c r="F1039" i="101"/>
  <c r="C1039" i="101"/>
  <c r="B1039" i="101"/>
  <c r="L1037" i="101"/>
  <c r="H1037" i="101"/>
  <c r="D1037" i="101"/>
  <c r="L1036" i="101"/>
  <c r="H1036" i="101"/>
  <c r="D1036" i="101"/>
  <c r="L1035" i="101"/>
  <c r="H1035" i="101"/>
  <c r="D1035" i="101"/>
  <c r="L1034" i="101"/>
  <c r="H1034" i="101"/>
  <c r="D1034" i="101"/>
  <c r="L1033" i="101"/>
  <c r="H1033" i="101"/>
  <c r="D1033" i="101"/>
  <c r="L1032" i="101"/>
  <c r="H1032" i="101"/>
  <c r="D1032" i="101"/>
  <c r="L1031" i="101"/>
  <c r="H1031" i="101"/>
  <c r="D1031" i="101"/>
  <c r="L1030" i="101"/>
  <c r="H1030" i="101"/>
  <c r="D1030" i="101"/>
  <c r="L1029" i="101"/>
  <c r="H1029" i="101"/>
  <c r="D1029" i="101"/>
  <c r="K1022" i="101"/>
  <c r="J1022" i="101"/>
  <c r="G1022" i="101"/>
  <c r="F1022" i="101"/>
  <c r="C1022" i="101"/>
  <c r="B1022" i="101"/>
  <c r="L1020" i="101"/>
  <c r="H1020" i="101"/>
  <c r="D1020" i="101"/>
  <c r="L1019" i="101"/>
  <c r="H1019" i="101"/>
  <c r="D1019" i="101"/>
  <c r="L1018" i="101"/>
  <c r="H1018" i="101"/>
  <c r="D1018" i="101"/>
  <c r="L1017" i="101"/>
  <c r="H1017" i="101"/>
  <c r="D1017" i="101"/>
  <c r="L1016" i="101"/>
  <c r="H1016" i="101"/>
  <c r="D1016" i="101"/>
  <c r="L1015" i="101"/>
  <c r="H1015" i="101"/>
  <c r="D1015" i="101"/>
  <c r="L1014" i="101"/>
  <c r="H1014" i="101"/>
  <c r="D1014" i="101"/>
  <c r="L1013" i="101"/>
  <c r="H1013" i="101"/>
  <c r="D1013" i="101"/>
  <c r="L1012" i="101"/>
  <c r="H1012" i="101"/>
  <c r="D1012" i="101"/>
  <c r="K1005" i="101"/>
  <c r="J1005" i="101"/>
  <c r="G1005" i="101"/>
  <c r="F1005" i="101"/>
  <c r="C1005" i="101"/>
  <c r="B1005" i="101"/>
  <c r="L1003" i="101"/>
  <c r="H1003" i="101"/>
  <c r="D1003" i="101"/>
  <c r="L1002" i="101"/>
  <c r="H1002" i="101"/>
  <c r="D1002" i="101"/>
  <c r="L1001" i="101"/>
  <c r="H1001" i="101"/>
  <c r="D1001" i="101"/>
  <c r="L1000" i="101"/>
  <c r="H1000" i="101"/>
  <c r="D1000" i="101"/>
  <c r="L999" i="101"/>
  <c r="H999" i="101"/>
  <c r="D999" i="101"/>
  <c r="L998" i="101"/>
  <c r="H998" i="101"/>
  <c r="D998" i="101"/>
  <c r="L997" i="101"/>
  <c r="H997" i="101"/>
  <c r="D997" i="101"/>
  <c r="L996" i="101"/>
  <c r="H996" i="101"/>
  <c r="D996" i="101"/>
  <c r="L995" i="101"/>
  <c r="H995" i="101"/>
  <c r="D995" i="101"/>
  <c r="K988" i="101"/>
  <c r="J988" i="101"/>
  <c r="G988" i="101"/>
  <c r="F988" i="101"/>
  <c r="C988" i="101"/>
  <c r="B988" i="101"/>
  <c r="L986" i="101"/>
  <c r="H986" i="101"/>
  <c r="D986" i="101"/>
  <c r="L985" i="101"/>
  <c r="H985" i="101"/>
  <c r="D985" i="101"/>
  <c r="L984" i="101"/>
  <c r="H984" i="101"/>
  <c r="D984" i="101"/>
  <c r="L983" i="101"/>
  <c r="H983" i="101"/>
  <c r="D983" i="101"/>
  <c r="L982" i="101"/>
  <c r="H982" i="101"/>
  <c r="D982" i="101"/>
  <c r="L981" i="101"/>
  <c r="H981" i="101"/>
  <c r="D981" i="101"/>
  <c r="L980" i="101"/>
  <c r="H980" i="101"/>
  <c r="D980" i="101"/>
  <c r="L979" i="101"/>
  <c r="H979" i="101"/>
  <c r="D979" i="101"/>
  <c r="L978" i="101"/>
  <c r="H978" i="101"/>
  <c r="D978" i="101"/>
  <c r="K971" i="101"/>
  <c r="J971" i="101"/>
  <c r="G971" i="101"/>
  <c r="F971" i="101"/>
  <c r="C971" i="101"/>
  <c r="B971" i="101"/>
  <c r="L969" i="101"/>
  <c r="H969" i="101"/>
  <c r="D969" i="101"/>
  <c r="L968" i="101"/>
  <c r="H968" i="101"/>
  <c r="D968" i="101"/>
  <c r="L967" i="101"/>
  <c r="H967" i="101"/>
  <c r="D967" i="101"/>
  <c r="L966" i="101"/>
  <c r="H966" i="101"/>
  <c r="D966" i="101"/>
  <c r="L965" i="101"/>
  <c r="H965" i="101"/>
  <c r="D965" i="101"/>
  <c r="L964" i="101"/>
  <c r="H964" i="101"/>
  <c r="D964" i="101"/>
  <c r="L963" i="101"/>
  <c r="H963" i="101"/>
  <c r="D963" i="101"/>
  <c r="L962" i="101"/>
  <c r="H962" i="101"/>
  <c r="D962" i="101"/>
  <c r="L961" i="101"/>
  <c r="H961" i="101"/>
  <c r="D961" i="101"/>
  <c r="K954" i="101"/>
  <c r="J954" i="101"/>
  <c r="G954" i="101"/>
  <c r="F954" i="101"/>
  <c r="C954" i="101"/>
  <c r="B954" i="101"/>
  <c r="L952" i="101"/>
  <c r="H952" i="101"/>
  <c r="D952" i="101"/>
  <c r="L951" i="101"/>
  <c r="H951" i="101"/>
  <c r="D951" i="101"/>
  <c r="L950" i="101"/>
  <c r="H950" i="101"/>
  <c r="D950" i="101"/>
  <c r="L949" i="101"/>
  <c r="H949" i="101"/>
  <c r="D949" i="101"/>
  <c r="L948" i="101"/>
  <c r="H948" i="101"/>
  <c r="D948" i="101"/>
  <c r="L947" i="101"/>
  <c r="H947" i="101"/>
  <c r="D947" i="101"/>
  <c r="L946" i="101"/>
  <c r="H946" i="101"/>
  <c r="D946" i="101"/>
  <c r="L945" i="101"/>
  <c r="H945" i="101"/>
  <c r="D945" i="101"/>
  <c r="L944" i="101"/>
  <c r="H944" i="101"/>
  <c r="D944" i="101"/>
  <c r="K937" i="101"/>
  <c r="J937" i="101"/>
  <c r="G937" i="101"/>
  <c r="F937" i="101"/>
  <c r="C937" i="101"/>
  <c r="B937" i="101"/>
  <c r="L935" i="101"/>
  <c r="H935" i="101"/>
  <c r="D935" i="101"/>
  <c r="L934" i="101"/>
  <c r="H934" i="101"/>
  <c r="D934" i="101"/>
  <c r="L933" i="101"/>
  <c r="H933" i="101"/>
  <c r="D933" i="101"/>
  <c r="L932" i="101"/>
  <c r="H932" i="101"/>
  <c r="D932" i="101"/>
  <c r="L931" i="101"/>
  <c r="H931" i="101"/>
  <c r="D931" i="101"/>
  <c r="L930" i="101"/>
  <c r="H930" i="101"/>
  <c r="D930" i="101"/>
  <c r="L929" i="101"/>
  <c r="H929" i="101"/>
  <c r="D929" i="101"/>
  <c r="L928" i="101"/>
  <c r="H928" i="101"/>
  <c r="D928" i="101"/>
  <c r="L927" i="101"/>
  <c r="H927" i="101"/>
  <c r="D927" i="101"/>
  <c r="K920" i="101"/>
  <c r="J920" i="101"/>
  <c r="G920" i="101"/>
  <c r="F920" i="101"/>
  <c r="C920" i="101"/>
  <c r="B920" i="101"/>
  <c r="L918" i="101"/>
  <c r="H918" i="101"/>
  <c r="D918" i="101"/>
  <c r="L917" i="101"/>
  <c r="H917" i="101"/>
  <c r="D917" i="101"/>
  <c r="L916" i="101"/>
  <c r="H916" i="101"/>
  <c r="D916" i="101"/>
  <c r="L915" i="101"/>
  <c r="H915" i="101"/>
  <c r="D915" i="101"/>
  <c r="L914" i="101"/>
  <c r="H914" i="101"/>
  <c r="D914" i="101"/>
  <c r="L913" i="101"/>
  <c r="H913" i="101"/>
  <c r="D913" i="101"/>
  <c r="L912" i="101"/>
  <c r="H912" i="101"/>
  <c r="D912" i="101"/>
  <c r="L911" i="101"/>
  <c r="H911" i="101"/>
  <c r="D911" i="101"/>
  <c r="L910" i="101"/>
  <c r="H910" i="101"/>
  <c r="D910" i="101"/>
  <c r="K903" i="101"/>
  <c r="J903" i="101"/>
  <c r="G903" i="101"/>
  <c r="F903" i="101"/>
  <c r="C903" i="101"/>
  <c r="B903" i="101"/>
  <c r="L901" i="101"/>
  <c r="H901" i="101"/>
  <c r="D901" i="101"/>
  <c r="L900" i="101"/>
  <c r="H900" i="101"/>
  <c r="D900" i="101"/>
  <c r="L899" i="101"/>
  <c r="H899" i="101"/>
  <c r="D899" i="101"/>
  <c r="L898" i="101"/>
  <c r="H898" i="101"/>
  <c r="D898" i="101"/>
  <c r="L897" i="101"/>
  <c r="H897" i="101"/>
  <c r="D897" i="101"/>
  <c r="L896" i="101"/>
  <c r="H896" i="101"/>
  <c r="D896" i="101"/>
  <c r="L895" i="101"/>
  <c r="H895" i="101"/>
  <c r="D895" i="101"/>
  <c r="L894" i="101"/>
  <c r="H894" i="101"/>
  <c r="D894" i="101"/>
  <c r="L893" i="101"/>
  <c r="H893" i="101"/>
  <c r="D893" i="101"/>
  <c r="K886" i="101"/>
  <c r="J886" i="101"/>
  <c r="G886" i="101"/>
  <c r="F886" i="101"/>
  <c r="C886" i="101"/>
  <c r="B886" i="101"/>
  <c r="L884" i="101"/>
  <c r="H884" i="101"/>
  <c r="D884" i="101"/>
  <c r="L883" i="101"/>
  <c r="H883" i="101"/>
  <c r="D883" i="101"/>
  <c r="L882" i="101"/>
  <c r="H882" i="101"/>
  <c r="D882" i="101"/>
  <c r="L881" i="101"/>
  <c r="H881" i="101"/>
  <c r="D881" i="101"/>
  <c r="L880" i="101"/>
  <c r="H880" i="101"/>
  <c r="D880" i="101"/>
  <c r="L879" i="101"/>
  <c r="H879" i="101"/>
  <c r="D879" i="101"/>
  <c r="L878" i="101"/>
  <c r="H878" i="101"/>
  <c r="D878" i="101"/>
  <c r="L877" i="101"/>
  <c r="H877" i="101"/>
  <c r="D877" i="101"/>
  <c r="L876" i="101"/>
  <c r="H876" i="101"/>
  <c r="D876" i="101"/>
  <c r="K869" i="101"/>
  <c r="J869" i="101"/>
  <c r="G869" i="101"/>
  <c r="F869" i="101"/>
  <c r="C869" i="101"/>
  <c r="B869" i="101"/>
  <c r="L867" i="101"/>
  <c r="H867" i="101"/>
  <c r="D867" i="101"/>
  <c r="L866" i="101"/>
  <c r="H866" i="101"/>
  <c r="D866" i="101"/>
  <c r="L865" i="101"/>
  <c r="H865" i="101"/>
  <c r="D865" i="101"/>
  <c r="L864" i="101"/>
  <c r="H864" i="101"/>
  <c r="D864" i="101"/>
  <c r="L863" i="101"/>
  <c r="H863" i="101"/>
  <c r="D863" i="101"/>
  <c r="L862" i="101"/>
  <c r="H862" i="101"/>
  <c r="D862" i="101"/>
  <c r="L861" i="101"/>
  <c r="H861" i="101"/>
  <c r="D861" i="101"/>
  <c r="L860" i="101"/>
  <c r="H860" i="101"/>
  <c r="D860" i="101"/>
  <c r="L859" i="101"/>
  <c r="H859" i="101"/>
  <c r="D859" i="101"/>
  <c r="K852" i="101"/>
  <c r="J852" i="101"/>
  <c r="G852" i="101"/>
  <c r="F852" i="101"/>
  <c r="C852" i="101"/>
  <c r="B852" i="101"/>
  <c r="L850" i="101"/>
  <c r="H850" i="101"/>
  <c r="D850" i="101"/>
  <c r="L849" i="101"/>
  <c r="H849" i="101"/>
  <c r="D849" i="101"/>
  <c r="L848" i="101"/>
  <c r="H848" i="101"/>
  <c r="D848" i="101"/>
  <c r="L847" i="101"/>
  <c r="H847" i="101"/>
  <c r="D847" i="101"/>
  <c r="L846" i="101"/>
  <c r="H846" i="101"/>
  <c r="D846" i="101"/>
  <c r="L845" i="101"/>
  <c r="H845" i="101"/>
  <c r="D845" i="101"/>
  <c r="L844" i="101"/>
  <c r="H844" i="101"/>
  <c r="D844" i="101"/>
  <c r="L843" i="101"/>
  <c r="H843" i="101"/>
  <c r="D843" i="101"/>
  <c r="L842" i="101"/>
  <c r="H842" i="101"/>
  <c r="D842" i="101"/>
  <c r="K835" i="101"/>
  <c r="J835" i="101"/>
  <c r="G835" i="101"/>
  <c r="F835" i="101"/>
  <c r="C835" i="101"/>
  <c r="B835" i="101"/>
  <c r="L833" i="101"/>
  <c r="H833" i="101"/>
  <c r="D833" i="101"/>
  <c r="L832" i="101"/>
  <c r="H832" i="101"/>
  <c r="D832" i="101"/>
  <c r="L831" i="101"/>
  <c r="H831" i="101"/>
  <c r="D831" i="101"/>
  <c r="L830" i="101"/>
  <c r="H830" i="101"/>
  <c r="D830" i="101"/>
  <c r="L829" i="101"/>
  <c r="H829" i="101"/>
  <c r="D829" i="101"/>
  <c r="L828" i="101"/>
  <c r="H828" i="101"/>
  <c r="D828" i="101"/>
  <c r="L827" i="101"/>
  <c r="H827" i="101"/>
  <c r="D827" i="101"/>
  <c r="L826" i="101"/>
  <c r="H826" i="101"/>
  <c r="D826" i="101"/>
  <c r="L825" i="101"/>
  <c r="H825" i="101"/>
  <c r="D825" i="101"/>
  <c r="K818" i="101"/>
  <c r="J818" i="101"/>
  <c r="G818" i="101"/>
  <c r="F818" i="101"/>
  <c r="C818" i="101"/>
  <c r="B818" i="101"/>
  <c r="L816" i="101"/>
  <c r="H816" i="101"/>
  <c r="D816" i="101"/>
  <c r="L815" i="101"/>
  <c r="H815" i="101"/>
  <c r="D815" i="101"/>
  <c r="L814" i="101"/>
  <c r="H814" i="101"/>
  <c r="D814" i="101"/>
  <c r="L813" i="101"/>
  <c r="H813" i="101"/>
  <c r="D813" i="101"/>
  <c r="L812" i="101"/>
  <c r="H812" i="101"/>
  <c r="D812" i="101"/>
  <c r="L811" i="101"/>
  <c r="H811" i="101"/>
  <c r="D811" i="101"/>
  <c r="L810" i="101"/>
  <c r="H810" i="101"/>
  <c r="D810" i="101"/>
  <c r="L809" i="101"/>
  <c r="H809" i="101"/>
  <c r="D809" i="101"/>
  <c r="L808" i="101"/>
  <c r="H808" i="101"/>
  <c r="D808" i="101"/>
  <c r="K801" i="101"/>
  <c r="J801" i="101"/>
  <c r="G801" i="101"/>
  <c r="F801" i="101"/>
  <c r="C801" i="101"/>
  <c r="B801" i="101"/>
  <c r="L799" i="101"/>
  <c r="H799" i="101"/>
  <c r="D799" i="101"/>
  <c r="L798" i="101"/>
  <c r="H798" i="101"/>
  <c r="D798" i="101"/>
  <c r="L797" i="101"/>
  <c r="H797" i="101"/>
  <c r="D797" i="101"/>
  <c r="L796" i="101"/>
  <c r="H796" i="101"/>
  <c r="D796" i="101"/>
  <c r="L795" i="101"/>
  <c r="H795" i="101"/>
  <c r="D795" i="101"/>
  <c r="L794" i="101"/>
  <c r="H794" i="101"/>
  <c r="D794" i="101"/>
  <c r="L793" i="101"/>
  <c r="H793" i="101"/>
  <c r="D793" i="101"/>
  <c r="L792" i="101"/>
  <c r="H792" i="101"/>
  <c r="D792" i="101"/>
  <c r="L791" i="101"/>
  <c r="H791" i="101"/>
  <c r="D791" i="101"/>
  <c r="K784" i="101"/>
  <c r="J784" i="101"/>
  <c r="G784" i="101"/>
  <c r="F784" i="101"/>
  <c r="C784" i="101"/>
  <c r="B784" i="101"/>
  <c r="L782" i="101"/>
  <c r="H782" i="101"/>
  <c r="D782" i="101"/>
  <c r="L781" i="101"/>
  <c r="H781" i="101"/>
  <c r="D781" i="101"/>
  <c r="L780" i="101"/>
  <c r="H780" i="101"/>
  <c r="D780" i="101"/>
  <c r="L779" i="101"/>
  <c r="H779" i="101"/>
  <c r="D779" i="101"/>
  <c r="L778" i="101"/>
  <c r="H778" i="101"/>
  <c r="D778" i="101"/>
  <c r="L777" i="101"/>
  <c r="H777" i="101"/>
  <c r="D777" i="101"/>
  <c r="L776" i="101"/>
  <c r="H776" i="101"/>
  <c r="D776" i="101"/>
  <c r="L775" i="101"/>
  <c r="H775" i="101"/>
  <c r="D775" i="101"/>
  <c r="L774" i="101"/>
  <c r="H774" i="101"/>
  <c r="D774" i="101"/>
  <c r="K767" i="101"/>
  <c r="J767" i="101"/>
  <c r="G767" i="101"/>
  <c r="F767" i="101"/>
  <c r="C767" i="101"/>
  <c r="B767" i="101"/>
  <c r="L765" i="101"/>
  <c r="H765" i="101"/>
  <c r="D765" i="101"/>
  <c r="L764" i="101"/>
  <c r="H764" i="101"/>
  <c r="D764" i="101"/>
  <c r="L763" i="101"/>
  <c r="H763" i="101"/>
  <c r="D763" i="101"/>
  <c r="L762" i="101"/>
  <c r="H762" i="101"/>
  <c r="D762" i="101"/>
  <c r="L761" i="101"/>
  <c r="H761" i="101"/>
  <c r="D761" i="101"/>
  <c r="L760" i="101"/>
  <c r="H760" i="101"/>
  <c r="D760" i="101"/>
  <c r="L759" i="101"/>
  <c r="H759" i="101"/>
  <c r="D759" i="101"/>
  <c r="L758" i="101"/>
  <c r="H758" i="101"/>
  <c r="D758" i="101"/>
  <c r="L757" i="101"/>
  <c r="H757" i="101"/>
  <c r="D757" i="101"/>
  <c r="K750" i="101"/>
  <c r="J750" i="101"/>
  <c r="G750" i="101"/>
  <c r="F750" i="101"/>
  <c r="C750" i="101"/>
  <c r="B750" i="101"/>
  <c r="L748" i="101"/>
  <c r="H748" i="101"/>
  <c r="D748" i="101"/>
  <c r="L747" i="101"/>
  <c r="H747" i="101"/>
  <c r="D747" i="101"/>
  <c r="L746" i="101"/>
  <c r="H746" i="101"/>
  <c r="D746" i="101"/>
  <c r="L745" i="101"/>
  <c r="H745" i="101"/>
  <c r="D745" i="101"/>
  <c r="L744" i="101"/>
  <c r="H744" i="101"/>
  <c r="D744" i="101"/>
  <c r="L743" i="101"/>
  <c r="H743" i="101"/>
  <c r="D743" i="101"/>
  <c r="L742" i="101"/>
  <c r="H742" i="101"/>
  <c r="D742" i="101"/>
  <c r="L741" i="101"/>
  <c r="H741" i="101"/>
  <c r="D741" i="101"/>
  <c r="L740" i="101"/>
  <c r="H740" i="101"/>
  <c r="D740" i="101"/>
  <c r="K733" i="101"/>
  <c r="J733" i="101"/>
  <c r="G733" i="101"/>
  <c r="F733" i="101"/>
  <c r="C733" i="101"/>
  <c r="B733" i="101"/>
  <c r="L731" i="101"/>
  <c r="H731" i="101"/>
  <c r="D731" i="101"/>
  <c r="L730" i="101"/>
  <c r="H730" i="101"/>
  <c r="D730" i="101"/>
  <c r="L729" i="101"/>
  <c r="H729" i="101"/>
  <c r="D729" i="101"/>
  <c r="L728" i="101"/>
  <c r="H728" i="101"/>
  <c r="D728" i="101"/>
  <c r="L727" i="101"/>
  <c r="H727" i="101"/>
  <c r="D727" i="101"/>
  <c r="L726" i="101"/>
  <c r="H726" i="101"/>
  <c r="D726" i="101"/>
  <c r="L725" i="101"/>
  <c r="H725" i="101"/>
  <c r="D725" i="101"/>
  <c r="L724" i="101"/>
  <c r="H724" i="101"/>
  <c r="D724" i="101"/>
  <c r="L723" i="101"/>
  <c r="H723" i="101"/>
  <c r="D723" i="101"/>
  <c r="K716" i="101"/>
  <c r="J716" i="101"/>
  <c r="G716" i="101"/>
  <c r="F716" i="101"/>
  <c r="C716" i="101"/>
  <c r="L714" i="101"/>
  <c r="H714" i="101"/>
  <c r="D714" i="101"/>
  <c r="L713" i="101"/>
  <c r="H713" i="101"/>
  <c r="D713" i="101"/>
  <c r="L712" i="101"/>
  <c r="H712" i="101"/>
  <c r="D712" i="101"/>
  <c r="L711" i="101"/>
  <c r="H711" i="101"/>
  <c r="D711" i="101"/>
  <c r="L710" i="101"/>
  <c r="H710" i="101"/>
  <c r="D710" i="101"/>
  <c r="L709" i="101"/>
  <c r="H709" i="101"/>
  <c r="D709" i="101"/>
  <c r="L708" i="101"/>
  <c r="H708" i="101"/>
  <c r="D708" i="101"/>
  <c r="L707" i="101"/>
  <c r="H707" i="101"/>
  <c r="D707" i="101"/>
  <c r="H706" i="101"/>
  <c r="D706" i="101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K17" i="101"/>
  <c r="J17" i="101"/>
  <c r="K16" i="101"/>
  <c r="J16" i="101"/>
  <c r="K15" i="101"/>
  <c r="J15" i="101"/>
  <c r="K14" i="101"/>
  <c r="J14" i="101"/>
  <c r="K13" i="101"/>
  <c r="J13" i="101"/>
  <c r="K12" i="101"/>
  <c r="J12" i="101"/>
  <c r="K11" i="101"/>
  <c r="J11" i="101"/>
  <c r="K10" i="101"/>
  <c r="J10" i="101"/>
  <c r="K9" i="101"/>
  <c r="J9" i="101"/>
  <c r="G17" i="101"/>
  <c r="F17" i="101"/>
  <c r="G16" i="101"/>
  <c r="F16" i="101"/>
  <c r="G15" i="101"/>
  <c r="F15" i="101"/>
  <c r="G14" i="101"/>
  <c r="F14" i="101"/>
  <c r="G13" i="101"/>
  <c r="F13" i="101"/>
  <c r="G12" i="101"/>
  <c r="F12" i="101"/>
  <c r="G11" i="101"/>
  <c r="F11" i="101"/>
  <c r="G10" i="101"/>
  <c r="F10" i="101"/>
  <c r="G9" i="101"/>
  <c r="F9" i="101"/>
  <c r="B10" i="101"/>
  <c r="C10" i="101"/>
  <c r="B11" i="101"/>
  <c r="C11" i="101"/>
  <c r="B12" i="101"/>
  <c r="C12" i="101"/>
  <c r="B13" i="101"/>
  <c r="C13" i="101"/>
  <c r="B14" i="101"/>
  <c r="C14" i="101"/>
  <c r="B15" i="101"/>
  <c r="C15" i="101"/>
  <c r="B16" i="101"/>
  <c r="C16" i="101"/>
  <c r="B17" i="101"/>
  <c r="C17" i="101"/>
  <c r="C9" i="101"/>
  <c r="B19" i="103" l="1"/>
  <c r="E36" i="103"/>
  <c r="J36" i="103"/>
  <c r="O36" i="103"/>
  <c r="L36" i="101"/>
  <c r="D801" i="101"/>
  <c r="D818" i="101"/>
  <c r="L818" i="101"/>
  <c r="D1073" i="101"/>
  <c r="L1107" i="101"/>
  <c r="H1209" i="101"/>
  <c r="D1209" i="101"/>
  <c r="D36" i="101"/>
  <c r="L1243" i="101"/>
  <c r="L971" i="101"/>
  <c r="H937" i="101"/>
  <c r="D937" i="101"/>
  <c r="L716" i="101"/>
  <c r="L852" i="101"/>
  <c r="H1090" i="101"/>
  <c r="L1124" i="101"/>
  <c r="H1226" i="101"/>
  <c r="L733" i="101"/>
  <c r="H835" i="101"/>
  <c r="L869" i="101"/>
  <c r="H971" i="101"/>
  <c r="D971" i="101"/>
  <c r="L1005" i="101"/>
  <c r="H1107" i="101"/>
  <c r="D1107" i="101"/>
  <c r="L1141" i="101"/>
  <c r="H1158" i="101"/>
  <c r="H1243" i="101"/>
  <c r="D1243" i="101"/>
  <c r="L1277" i="101"/>
  <c r="H1294" i="101"/>
  <c r="D53" i="101"/>
  <c r="L750" i="101"/>
  <c r="H767" i="101"/>
  <c r="H852" i="101"/>
  <c r="D852" i="101"/>
  <c r="L886" i="101"/>
  <c r="H988" i="101"/>
  <c r="D988" i="101"/>
  <c r="L1022" i="101"/>
  <c r="H1124" i="101"/>
  <c r="D1124" i="101"/>
  <c r="L1158" i="101"/>
  <c r="H1260" i="101"/>
  <c r="D1260" i="101"/>
  <c r="L1294" i="101"/>
  <c r="H818" i="101"/>
  <c r="L835" i="101"/>
  <c r="H954" i="101"/>
  <c r="D1090" i="101"/>
  <c r="H36" i="101"/>
  <c r="D716" i="101"/>
  <c r="H869" i="101"/>
  <c r="H1005" i="101"/>
  <c r="H1056" i="101"/>
  <c r="D1141" i="101"/>
  <c r="H1277" i="101"/>
  <c r="L53" i="101"/>
  <c r="D70" i="101"/>
  <c r="H750" i="101"/>
  <c r="D750" i="101"/>
  <c r="L784" i="101"/>
  <c r="H801" i="101"/>
  <c r="H886" i="101"/>
  <c r="D886" i="101"/>
  <c r="D954" i="101"/>
  <c r="H1022" i="101"/>
  <c r="D1022" i="101"/>
  <c r="L1056" i="101"/>
  <c r="H1073" i="101"/>
  <c r="D1158" i="101"/>
  <c r="L1192" i="101"/>
  <c r="D1226" i="101"/>
  <c r="D1294" i="101"/>
  <c r="D835" i="101"/>
  <c r="L988" i="101"/>
  <c r="H53" i="101"/>
  <c r="D733" i="101"/>
  <c r="D869" i="101"/>
  <c r="H1141" i="101"/>
  <c r="L1175" i="101"/>
  <c r="H70" i="101"/>
  <c r="D767" i="101"/>
  <c r="L801" i="101"/>
  <c r="H903" i="101"/>
  <c r="D903" i="101"/>
  <c r="D920" i="101"/>
  <c r="L920" i="101"/>
  <c r="L937" i="101"/>
  <c r="H1039" i="101"/>
  <c r="D1039" i="101"/>
  <c r="L1073" i="101"/>
  <c r="H1175" i="101"/>
  <c r="D1175" i="101"/>
  <c r="L1209" i="101"/>
  <c r="L1260" i="101"/>
  <c r="H716" i="101"/>
  <c r="H733" i="101"/>
  <c r="L903" i="101"/>
  <c r="D1005" i="101"/>
  <c r="D1277" i="101"/>
  <c r="L70" i="101"/>
  <c r="L767" i="101"/>
  <c r="H784" i="101"/>
  <c r="D784" i="101"/>
  <c r="H920" i="101"/>
  <c r="L954" i="101"/>
  <c r="L1039" i="101"/>
  <c r="D1056" i="101"/>
  <c r="L1090" i="101"/>
  <c r="H1192" i="101"/>
  <c r="D1192" i="101"/>
  <c r="L1226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546" i="102"/>
  <c r="T546" i="102"/>
  <c r="O546" i="102"/>
  <c r="J546" i="102"/>
  <c r="E546" i="102"/>
  <c r="V545" i="102"/>
  <c r="Q545" i="102"/>
  <c r="L545" i="102"/>
  <c r="G545" i="102"/>
  <c r="B545" i="102"/>
  <c r="Y516" i="102"/>
  <c r="T516" i="102"/>
  <c r="O516" i="102"/>
  <c r="J516" i="102"/>
  <c r="E516" i="102"/>
  <c r="V515" i="102"/>
  <c r="Q515" i="102"/>
  <c r="L515" i="102"/>
  <c r="G515" i="102"/>
  <c r="B515" i="102"/>
  <c r="Y491" i="102"/>
  <c r="T491" i="102"/>
  <c r="O491" i="102"/>
  <c r="J491" i="102"/>
  <c r="E491" i="102"/>
  <c r="V490" i="102"/>
  <c r="Q490" i="102"/>
  <c r="L490" i="102"/>
  <c r="G490" i="102"/>
  <c r="B490" i="102"/>
  <c r="Y481" i="102"/>
  <c r="T481" i="102"/>
  <c r="O481" i="102"/>
  <c r="J481" i="102"/>
  <c r="E481" i="102"/>
  <c r="V480" i="102"/>
  <c r="Q480" i="102"/>
  <c r="L480" i="102"/>
  <c r="G480" i="102"/>
  <c r="B480" i="102"/>
  <c r="Y471" i="102"/>
  <c r="T471" i="102"/>
  <c r="O471" i="102"/>
  <c r="J471" i="102"/>
  <c r="E471" i="102"/>
  <c r="V470" i="102"/>
  <c r="Q470" i="102"/>
  <c r="L470" i="102"/>
  <c r="G470" i="102"/>
  <c r="B470" i="102"/>
  <c r="Y431" i="102"/>
  <c r="T431" i="102"/>
  <c r="O431" i="102"/>
  <c r="J431" i="102"/>
  <c r="E431" i="102"/>
  <c r="V430" i="102"/>
  <c r="Q430" i="102"/>
  <c r="L430" i="102"/>
  <c r="G430" i="102"/>
  <c r="B430" i="102"/>
  <c r="Y386" i="102"/>
  <c r="T386" i="102"/>
  <c r="O386" i="102"/>
  <c r="J386" i="102"/>
  <c r="E386" i="102"/>
  <c r="V385" i="102"/>
  <c r="Q385" i="102"/>
  <c r="L385" i="102"/>
  <c r="G385" i="102"/>
  <c r="B385" i="102"/>
  <c r="Y376" i="102"/>
  <c r="T376" i="102"/>
  <c r="O376" i="102"/>
  <c r="J376" i="102"/>
  <c r="E376" i="102"/>
  <c r="V375" i="102"/>
  <c r="Q375" i="102"/>
  <c r="L375" i="102"/>
  <c r="G375" i="102"/>
  <c r="B375" i="102"/>
  <c r="Y351" i="102"/>
  <c r="T351" i="102"/>
  <c r="O351" i="102"/>
  <c r="J351" i="102"/>
  <c r="E351" i="102"/>
  <c r="V350" i="102"/>
  <c r="Q350" i="102"/>
  <c r="L350" i="102"/>
  <c r="G350" i="102"/>
  <c r="B350" i="102"/>
  <c r="Y326" i="102"/>
  <c r="T326" i="102"/>
  <c r="O326" i="102"/>
  <c r="J326" i="102"/>
  <c r="E326" i="102"/>
  <c r="V325" i="102"/>
  <c r="Q325" i="102"/>
  <c r="L325" i="102"/>
  <c r="G325" i="102"/>
  <c r="B325" i="102"/>
  <c r="Y301" i="102"/>
  <c r="T301" i="102"/>
  <c r="O301" i="102"/>
  <c r="J301" i="102"/>
  <c r="E301" i="102"/>
  <c r="V300" i="102"/>
  <c r="Q300" i="102"/>
  <c r="L300" i="102"/>
  <c r="G300" i="102"/>
  <c r="B300" i="102"/>
  <c r="Y281" i="102"/>
  <c r="T281" i="102"/>
  <c r="O281" i="102"/>
  <c r="J281" i="102"/>
  <c r="E281" i="102"/>
  <c r="V280" i="102"/>
  <c r="Q280" i="102"/>
  <c r="L280" i="102"/>
  <c r="G280" i="102"/>
  <c r="B280" i="102"/>
  <c r="Y246" i="102"/>
  <c r="T246" i="102"/>
  <c r="O246" i="102"/>
  <c r="J246" i="102"/>
  <c r="E246" i="102"/>
  <c r="V245" i="102"/>
  <c r="Q245" i="102"/>
  <c r="L245" i="102"/>
  <c r="G245" i="102"/>
  <c r="B245" i="102"/>
  <c r="Y221" i="102"/>
  <c r="T221" i="102"/>
  <c r="O221" i="102"/>
  <c r="J221" i="102"/>
  <c r="E221" i="102"/>
  <c r="V220" i="102"/>
  <c r="Q220" i="102"/>
  <c r="L220" i="102"/>
  <c r="G220" i="102"/>
  <c r="B220" i="102"/>
  <c r="Y196" i="102"/>
  <c r="T196" i="102"/>
  <c r="O196" i="102"/>
  <c r="J196" i="102"/>
  <c r="E196" i="102"/>
  <c r="V195" i="102"/>
  <c r="Q195" i="102"/>
  <c r="L195" i="102"/>
  <c r="G195" i="102"/>
  <c r="B195" i="102"/>
  <c r="Y171" i="102"/>
  <c r="T171" i="102"/>
  <c r="O171" i="102"/>
  <c r="J171" i="102"/>
  <c r="E171" i="102"/>
  <c r="V170" i="102"/>
  <c r="Q170" i="102"/>
  <c r="L170" i="102"/>
  <c r="G170" i="102"/>
  <c r="B170" i="102"/>
  <c r="Y161" i="102"/>
  <c r="T161" i="102"/>
  <c r="O161" i="102"/>
  <c r="J161" i="102"/>
  <c r="E161" i="102"/>
  <c r="V160" i="102"/>
  <c r="Q160" i="102"/>
  <c r="L160" i="102"/>
  <c r="G160" i="102"/>
  <c r="B160" i="102"/>
  <c r="Y71" i="102"/>
  <c r="T71" i="102"/>
  <c r="O71" i="102"/>
  <c r="J71" i="102"/>
  <c r="E71" i="102"/>
  <c r="V70" i="102"/>
  <c r="Q70" i="102"/>
  <c r="L70" i="102"/>
  <c r="G70" i="102"/>
  <c r="B70" i="102"/>
  <c r="Y46" i="102"/>
  <c r="T46" i="102"/>
  <c r="O46" i="102"/>
  <c r="J46" i="102"/>
  <c r="E46" i="102"/>
  <c r="V45" i="102"/>
  <c r="Q45" i="102"/>
  <c r="L45" i="102"/>
  <c r="G45" i="102"/>
  <c r="B45" i="102"/>
  <c r="Y26" i="102"/>
  <c r="T26" i="102"/>
  <c r="O26" i="102"/>
  <c r="J26" i="102"/>
  <c r="E26" i="102"/>
  <c r="V25" i="102"/>
  <c r="Q25" i="102"/>
  <c r="L25" i="102"/>
  <c r="G25" i="102"/>
  <c r="B25" i="102"/>
  <c r="Q15" i="102"/>
  <c r="T16" i="102"/>
  <c r="S6" i="102"/>
  <c r="R6" i="102"/>
  <c r="Q6" i="102"/>
  <c r="G15" i="102"/>
  <c r="J16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K99" i="104" l="1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B9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K19" i="104" l="1"/>
  <c r="K14" i="104"/>
  <c r="K9" i="104"/>
  <c r="E119" i="104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N73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E83" i="104" l="1"/>
  <c r="I84" i="104"/>
  <c r="C83" i="104"/>
  <c r="E82" i="104"/>
  <c r="G82" i="104"/>
  <c r="G83" i="104"/>
  <c r="C82" i="104"/>
  <c r="G79" i="104"/>
  <c r="C104" i="104"/>
  <c r="E79" i="104"/>
  <c r="C37" i="104"/>
  <c r="E105" i="104"/>
  <c r="G103" i="104"/>
  <c r="C105" i="104"/>
  <c r="G104" i="104"/>
  <c r="E103" i="104"/>
  <c r="G105" i="104"/>
  <c r="C103" i="104"/>
  <c r="I103" i="104"/>
  <c r="G99" i="104"/>
  <c r="E104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1292" i="103" l="1"/>
  <c r="A1291" i="103"/>
  <c r="A1290" i="103"/>
  <c r="A1289" i="103"/>
  <c r="A1288" i="103"/>
  <c r="A1287" i="103"/>
  <c r="A1286" i="103"/>
  <c r="A1285" i="103"/>
  <c r="A1284" i="103"/>
  <c r="A1281" i="103"/>
  <c r="A1275" i="103"/>
  <c r="A1274" i="103"/>
  <c r="A1273" i="103"/>
  <c r="A1272" i="103"/>
  <c r="A1271" i="103"/>
  <c r="A1270" i="103"/>
  <c r="A1269" i="103"/>
  <c r="A1268" i="103"/>
  <c r="A1267" i="103"/>
  <c r="A1264" i="103"/>
  <c r="A1258" i="103"/>
  <c r="A1257" i="103"/>
  <c r="A1256" i="103"/>
  <c r="A1255" i="103"/>
  <c r="A1254" i="103"/>
  <c r="A1253" i="103"/>
  <c r="A1252" i="103"/>
  <c r="A1251" i="103"/>
  <c r="A1250" i="103"/>
  <c r="A1247" i="103"/>
  <c r="A1241" i="103"/>
  <c r="A1240" i="103"/>
  <c r="A1239" i="103"/>
  <c r="A1238" i="103"/>
  <c r="A1237" i="103"/>
  <c r="A1236" i="103"/>
  <c r="A1235" i="103"/>
  <c r="A1234" i="103"/>
  <c r="A1233" i="103"/>
  <c r="A1230" i="103"/>
  <c r="A1224" i="103"/>
  <c r="A1223" i="103"/>
  <c r="A1222" i="103"/>
  <c r="A1221" i="103"/>
  <c r="A1220" i="103"/>
  <c r="A1219" i="103"/>
  <c r="A1218" i="103"/>
  <c r="A1217" i="103"/>
  <c r="A1216" i="103"/>
  <c r="A1213" i="103"/>
  <c r="A1207" i="103"/>
  <c r="A1206" i="103"/>
  <c r="A1205" i="103"/>
  <c r="A1204" i="103"/>
  <c r="A1203" i="103"/>
  <c r="A1202" i="103"/>
  <c r="A1201" i="103"/>
  <c r="A1200" i="103"/>
  <c r="A1199" i="103"/>
  <c r="A1196" i="103"/>
  <c r="A1190" i="103"/>
  <c r="A1189" i="103"/>
  <c r="A1188" i="103"/>
  <c r="A1187" i="103"/>
  <c r="A1186" i="103"/>
  <c r="A1185" i="103"/>
  <c r="A1184" i="103"/>
  <c r="A1183" i="103"/>
  <c r="A1182" i="103"/>
  <c r="A1179" i="103"/>
  <c r="A1173" i="103"/>
  <c r="A1172" i="103"/>
  <c r="A1171" i="103"/>
  <c r="A1170" i="103"/>
  <c r="A1169" i="103"/>
  <c r="A1168" i="103"/>
  <c r="A1167" i="103"/>
  <c r="A1166" i="103"/>
  <c r="A1165" i="103"/>
  <c r="A1162" i="103"/>
  <c r="A1156" i="103"/>
  <c r="A1155" i="103"/>
  <c r="A1154" i="103"/>
  <c r="A1153" i="103"/>
  <c r="A1152" i="103"/>
  <c r="A1151" i="103"/>
  <c r="A1150" i="103"/>
  <c r="A1149" i="103"/>
  <c r="A1148" i="103"/>
  <c r="A1145" i="103"/>
  <c r="A1139" i="103"/>
  <c r="A1138" i="103"/>
  <c r="A1137" i="103"/>
  <c r="A1136" i="103"/>
  <c r="A1135" i="103"/>
  <c r="A1134" i="103"/>
  <c r="A1133" i="103"/>
  <c r="A1132" i="103"/>
  <c r="A1131" i="103"/>
  <c r="A1128" i="103"/>
  <c r="A1122" i="103"/>
  <c r="A1121" i="103"/>
  <c r="A1120" i="103"/>
  <c r="A1119" i="103"/>
  <c r="A1118" i="103"/>
  <c r="A1117" i="103"/>
  <c r="A1116" i="103"/>
  <c r="A1115" i="103"/>
  <c r="A1114" i="103"/>
  <c r="A1111" i="103"/>
  <c r="A1105" i="103"/>
  <c r="A1104" i="103"/>
  <c r="A1103" i="103"/>
  <c r="A1102" i="103"/>
  <c r="A1101" i="103"/>
  <c r="A1100" i="103"/>
  <c r="A1099" i="103"/>
  <c r="A1098" i="103"/>
  <c r="A1097" i="103"/>
  <c r="A1094" i="103"/>
  <c r="A1088" i="103"/>
  <c r="A1087" i="103"/>
  <c r="A1086" i="103"/>
  <c r="A1085" i="103"/>
  <c r="A1084" i="103"/>
  <c r="A1083" i="103"/>
  <c r="A1082" i="103"/>
  <c r="A1081" i="103"/>
  <c r="A1080" i="103"/>
  <c r="A1077" i="103"/>
  <c r="A1071" i="103"/>
  <c r="A1070" i="103"/>
  <c r="A1069" i="103"/>
  <c r="A1068" i="103"/>
  <c r="A1067" i="103"/>
  <c r="A1066" i="103"/>
  <c r="A1065" i="103"/>
  <c r="A1064" i="103"/>
  <c r="A1063" i="103"/>
  <c r="A1060" i="103"/>
  <c r="A1054" i="103"/>
  <c r="A1053" i="103"/>
  <c r="A1052" i="103"/>
  <c r="A1051" i="103"/>
  <c r="A1050" i="103"/>
  <c r="A1049" i="103"/>
  <c r="A1048" i="103"/>
  <c r="A1047" i="103"/>
  <c r="A1046" i="103"/>
  <c r="A1043" i="103"/>
  <c r="A1037" i="103"/>
  <c r="A1036" i="103"/>
  <c r="A1035" i="103"/>
  <c r="A1034" i="103"/>
  <c r="A1033" i="103"/>
  <c r="A1032" i="103"/>
  <c r="A1031" i="103"/>
  <c r="A1030" i="103"/>
  <c r="A1029" i="103"/>
  <c r="A1026" i="103"/>
  <c r="A1020" i="103"/>
  <c r="A1019" i="103"/>
  <c r="A1018" i="103"/>
  <c r="A1017" i="103"/>
  <c r="A1016" i="103"/>
  <c r="A1015" i="103"/>
  <c r="A1014" i="103"/>
  <c r="A1013" i="103"/>
  <c r="A1012" i="103"/>
  <c r="A1009" i="103"/>
  <c r="A1003" i="103"/>
  <c r="A1002" i="103"/>
  <c r="A1001" i="103"/>
  <c r="A1000" i="103"/>
  <c r="A999" i="103"/>
  <c r="A998" i="103"/>
  <c r="A997" i="103"/>
  <c r="A996" i="103"/>
  <c r="A995" i="103"/>
  <c r="A992" i="103"/>
  <c r="A986" i="103"/>
  <c r="A985" i="103"/>
  <c r="A984" i="103"/>
  <c r="A983" i="103"/>
  <c r="A982" i="103"/>
  <c r="A981" i="103"/>
  <c r="A980" i="103"/>
  <c r="A979" i="103"/>
  <c r="A978" i="103"/>
  <c r="A975" i="103"/>
  <c r="A969" i="103"/>
  <c r="A968" i="103"/>
  <c r="A967" i="103"/>
  <c r="A966" i="103"/>
  <c r="A965" i="103"/>
  <c r="A964" i="103"/>
  <c r="A963" i="103"/>
  <c r="A962" i="103"/>
  <c r="A961" i="103"/>
  <c r="A958" i="103"/>
  <c r="A952" i="103"/>
  <c r="A951" i="103"/>
  <c r="A950" i="103"/>
  <c r="A949" i="103"/>
  <c r="A948" i="103"/>
  <c r="A947" i="103"/>
  <c r="A946" i="103"/>
  <c r="A945" i="103"/>
  <c r="A944" i="103"/>
  <c r="A941" i="103"/>
  <c r="A935" i="103"/>
  <c r="A934" i="103"/>
  <c r="A933" i="103"/>
  <c r="A932" i="103"/>
  <c r="A931" i="103"/>
  <c r="A930" i="103"/>
  <c r="A929" i="103"/>
  <c r="A928" i="103"/>
  <c r="A927" i="103"/>
  <c r="A924" i="103"/>
  <c r="A918" i="103"/>
  <c r="A917" i="103"/>
  <c r="A916" i="103"/>
  <c r="A915" i="103"/>
  <c r="A914" i="103"/>
  <c r="A913" i="103"/>
  <c r="A912" i="103"/>
  <c r="A911" i="103"/>
  <c r="A910" i="103"/>
  <c r="A907" i="103"/>
  <c r="A901" i="103"/>
  <c r="A900" i="103"/>
  <c r="A899" i="103"/>
  <c r="A898" i="103"/>
  <c r="A897" i="103"/>
  <c r="A896" i="103"/>
  <c r="A895" i="103"/>
  <c r="A894" i="103"/>
  <c r="A893" i="103"/>
  <c r="A890" i="103"/>
  <c r="A884" i="103"/>
  <c r="A883" i="103"/>
  <c r="A882" i="103"/>
  <c r="A881" i="103"/>
  <c r="A880" i="103"/>
  <c r="A879" i="103"/>
  <c r="A878" i="103"/>
  <c r="A877" i="103"/>
  <c r="A876" i="103"/>
  <c r="A873" i="103"/>
  <c r="A867" i="103"/>
  <c r="A866" i="103"/>
  <c r="A865" i="103"/>
  <c r="A864" i="103"/>
  <c r="A863" i="103"/>
  <c r="A862" i="103"/>
  <c r="A861" i="103"/>
  <c r="A860" i="103"/>
  <c r="A859" i="103"/>
  <c r="A856" i="103"/>
  <c r="A850" i="103"/>
  <c r="A849" i="103"/>
  <c r="A848" i="103"/>
  <c r="A847" i="103"/>
  <c r="A846" i="103"/>
  <c r="A845" i="103"/>
  <c r="A844" i="103"/>
  <c r="A843" i="103"/>
  <c r="A842" i="103"/>
  <c r="A839" i="103"/>
  <c r="A833" i="103"/>
  <c r="A832" i="103"/>
  <c r="A831" i="103"/>
  <c r="A830" i="103"/>
  <c r="A829" i="103"/>
  <c r="A828" i="103"/>
  <c r="A827" i="103"/>
  <c r="A826" i="103"/>
  <c r="A825" i="103"/>
  <c r="A822" i="103"/>
  <c r="A816" i="103"/>
  <c r="A815" i="103"/>
  <c r="A814" i="103"/>
  <c r="A813" i="103"/>
  <c r="A812" i="103"/>
  <c r="A811" i="103"/>
  <c r="A810" i="103"/>
  <c r="A809" i="103"/>
  <c r="A808" i="103"/>
  <c r="A805" i="103"/>
  <c r="A799" i="103"/>
  <c r="A798" i="103"/>
  <c r="A797" i="103"/>
  <c r="A796" i="103"/>
  <c r="A795" i="103"/>
  <c r="A794" i="103"/>
  <c r="A793" i="103"/>
  <c r="A792" i="103"/>
  <c r="A791" i="103"/>
  <c r="A788" i="103"/>
  <c r="A782" i="103"/>
  <c r="A781" i="103"/>
  <c r="A780" i="103"/>
  <c r="A779" i="103"/>
  <c r="A778" i="103"/>
  <c r="A777" i="103"/>
  <c r="A776" i="103"/>
  <c r="A775" i="103"/>
  <c r="A774" i="103"/>
  <c r="A771" i="103"/>
  <c r="A765" i="103"/>
  <c r="A764" i="103"/>
  <c r="A763" i="103"/>
  <c r="A762" i="103"/>
  <c r="A761" i="103"/>
  <c r="A760" i="103"/>
  <c r="A759" i="103"/>
  <c r="A758" i="103"/>
  <c r="A757" i="103"/>
  <c r="A754" i="103"/>
  <c r="A748" i="103"/>
  <c r="A747" i="103"/>
  <c r="A746" i="103"/>
  <c r="A745" i="103"/>
  <c r="A744" i="103"/>
  <c r="A743" i="103"/>
  <c r="A742" i="103"/>
  <c r="A741" i="103"/>
  <c r="A740" i="103"/>
  <c r="A737" i="103"/>
  <c r="A731" i="103"/>
  <c r="A730" i="103"/>
  <c r="A729" i="103"/>
  <c r="A728" i="103"/>
  <c r="A727" i="103"/>
  <c r="A726" i="103"/>
  <c r="A725" i="103"/>
  <c r="A724" i="103"/>
  <c r="A723" i="103"/>
  <c r="A720" i="103"/>
  <c r="A714" i="103"/>
  <c r="A713" i="103"/>
  <c r="A712" i="103"/>
  <c r="A711" i="103"/>
  <c r="A710" i="103"/>
  <c r="A709" i="103"/>
  <c r="A708" i="103"/>
  <c r="A707" i="103"/>
  <c r="A706" i="103"/>
  <c r="A703" i="103"/>
  <c r="A697" i="103"/>
  <c r="A696" i="103"/>
  <c r="A695" i="103"/>
  <c r="A694" i="103"/>
  <c r="A693" i="103"/>
  <c r="A692" i="103"/>
  <c r="A691" i="103"/>
  <c r="A690" i="103"/>
  <c r="A689" i="103"/>
  <c r="A686" i="103"/>
  <c r="A680" i="103"/>
  <c r="A679" i="103"/>
  <c r="A678" i="103"/>
  <c r="A677" i="103"/>
  <c r="A676" i="103"/>
  <c r="A675" i="103"/>
  <c r="A674" i="103"/>
  <c r="A673" i="103"/>
  <c r="A672" i="103"/>
  <c r="A669" i="103"/>
  <c r="A663" i="103"/>
  <c r="A662" i="103"/>
  <c r="A661" i="103"/>
  <c r="A660" i="103"/>
  <c r="A659" i="103"/>
  <c r="A658" i="103"/>
  <c r="A657" i="103"/>
  <c r="A656" i="103"/>
  <c r="A655" i="103"/>
  <c r="A652" i="103"/>
  <c r="A646" i="103"/>
  <c r="A645" i="103"/>
  <c r="A644" i="103"/>
  <c r="A643" i="103"/>
  <c r="A642" i="103"/>
  <c r="A641" i="103"/>
  <c r="A640" i="103"/>
  <c r="A639" i="103"/>
  <c r="A638" i="103"/>
  <c r="A635" i="103"/>
  <c r="A629" i="103"/>
  <c r="A628" i="103"/>
  <c r="A627" i="103"/>
  <c r="A626" i="103"/>
  <c r="A625" i="103"/>
  <c r="A624" i="103"/>
  <c r="A623" i="103"/>
  <c r="A622" i="103"/>
  <c r="A621" i="103"/>
  <c r="A618" i="103"/>
  <c r="A612" i="103"/>
  <c r="A611" i="103"/>
  <c r="A610" i="103"/>
  <c r="A609" i="103"/>
  <c r="A608" i="103"/>
  <c r="A607" i="103"/>
  <c r="A606" i="103"/>
  <c r="A605" i="103"/>
  <c r="A604" i="103"/>
  <c r="A601" i="103"/>
  <c r="A595" i="103"/>
  <c r="A594" i="103"/>
  <c r="A593" i="103"/>
  <c r="A592" i="103"/>
  <c r="A591" i="103"/>
  <c r="A590" i="103"/>
  <c r="A589" i="103"/>
  <c r="A588" i="103"/>
  <c r="A587" i="103"/>
  <c r="A584" i="103"/>
  <c r="A578" i="103"/>
  <c r="A577" i="103"/>
  <c r="A576" i="103"/>
  <c r="A575" i="103"/>
  <c r="A574" i="103"/>
  <c r="A573" i="103"/>
  <c r="A572" i="103"/>
  <c r="A571" i="103"/>
  <c r="A570" i="103"/>
  <c r="A567" i="103"/>
  <c r="A561" i="103"/>
  <c r="A560" i="103"/>
  <c r="A559" i="103"/>
  <c r="A558" i="103"/>
  <c r="A557" i="103"/>
  <c r="A556" i="103"/>
  <c r="A555" i="103"/>
  <c r="A554" i="103"/>
  <c r="A553" i="103"/>
  <c r="A550" i="103"/>
  <c r="A544" i="103"/>
  <c r="A543" i="103"/>
  <c r="A542" i="103"/>
  <c r="A541" i="103"/>
  <c r="A540" i="103"/>
  <c r="A539" i="103"/>
  <c r="A538" i="103"/>
  <c r="A537" i="103"/>
  <c r="A536" i="103"/>
  <c r="A533" i="103"/>
  <c r="A527" i="103"/>
  <c r="A526" i="103"/>
  <c r="A525" i="103"/>
  <c r="A524" i="103"/>
  <c r="A523" i="103"/>
  <c r="A522" i="103"/>
  <c r="A521" i="103"/>
  <c r="A520" i="103"/>
  <c r="A519" i="103"/>
  <c r="A516" i="103"/>
  <c r="A510" i="103"/>
  <c r="A509" i="103"/>
  <c r="A508" i="103"/>
  <c r="A507" i="103"/>
  <c r="A506" i="103"/>
  <c r="A505" i="103"/>
  <c r="A504" i="103"/>
  <c r="A503" i="103"/>
  <c r="A502" i="103"/>
  <c r="A499" i="103"/>
  <c r="A493" i="103"/>
  <c r="A492" i="103"/>
  <c r="A491" i="103"/>
  <c r="A490" i="103"/>
  <c r="A489" i="103"/>
  <c r="A488" i="103"/>
  <c r="A487" i="103"/>
  <c r="A486" i="103"/>
  <c r="A485" i="103"/>
  <c r="A482" i="103"/>
  <c r="A476" i="103"/>
  <c r="A475" i="103"/>
  <c r="A474" i="103"/>
  <c r="A473" i="103"/>
  <c r="A472" i="103"/>
  <c r="A471" i="103"/>
  <c r="A470" i="103"/>
  <c r="A469" i="103"/>
  <c r="A468" i="103"/>
  <c r="A465" i="103"/>
  <c r="A459" i="103"/>
  <c r="A458" i="103"/>
  <c r="A457" i="103"/>
  <c r="A456" i="103"/>
  <c r="A455" i="103"/>
  <c r="A454" i="103"/>
  <c r="A453" i="103"/>
  <c r="A452" i="103"/>
  <c r="A451" i="103"/>
  <c r="A448" i="103"/>
  <c r="A442" i="103"/>
  <c r="A441" i="103"/>
  <c r="A440" i="103"/>
  <c r="A439" i="103"/>
  <c r="A438" i="103"/>
  <c r="A437" i="103"/>
  <c r="A436" i="103"/>
  <c r="A435" i="103"/>
  <c r="A434" i="103"/>
  <c r="A431" i="103"/>
  <c r="A425" i="103"/>
  <c r="A424" i="103"/>
  <c r="A423" i="103"/>
  <c r="A422" i="103"/>
  <c r="A421" i="103"/>
  <c r="A420" i="103"/>
  <c r="A419" i="103"/>
  <c r="A418" i="103"/>
  <c r="A417" i="103"/>
  <c r="A414" i="103"/>
  <c r="A408" i="103"/>
  <c r="A407" i="103"/>
  <c r="A406" i="103"/>
  <c r="A405" i="103"/>
  <c r="A404" i="103"/>
  <c r="A403" i="103"/>
  <c r="A402" i="103"/>
  <c r="A401" i="103"/>
  <c r="A400" i="103"/>
  <c r="A397" i="103"/>
  <c r="A391" i="103"/>
  <c r="A390" i="103"/>
  <c r="A389" i="103"/>
  <c r="A388" i="103"/>
  <c r="A387" i="103"/>
  <c r="A386" i="103"/>
  <c r="A385" i="103"/>
  <c r="A384" i="103"/>
  <c r="A383" i="103"/>
  <c r="A380" i="103"/>
  <c r="A374" i="103"/>
  <c r="A373" i="103"/>
  <c r="A372" i="103"/>
  <c r="A371" i="103"/>
  <c r="A370" i="103"/>
  <c r="A369" i="103"/>
  <c r="A368" i="103"/>
  <c r="A367" i="103"/>
  <c r="A366" i="103"/>
  <c r="A363" i="103"/>
  <c r="A357" i="103"/>
  <c r="A356" i="103"/>
  <c r="A355" i="103"/>
  <c r="A354" i="103"/>
  <c r="A353" i="103"/>
  <c r="A352" i="103"/>
  <c r="A351" i="103"/>
  <c r="A350" i="103"/>
  <c r="A349" i="103"/>
  <c r="A346" i="103"/>
  <c r="A340" i="103"/>
  <c r="A339" i="103"/>
  <c r="A338" i="103"/>
  <c r="A337" i="103"/>
  <c r="A336" i="103"/>
  <c r="A335" i="103"/>
  <c r="A334" i="103"/>
  <c r="A333" i="103"/>
  <c r="A332" i="103"/>
  <c r="A329" i="103"/>
  <c r="A323" i="103"/>
  <c r="A322" i="103"/>
  <c r="A321" i="103"/>
  <c r="A320" i="103"/>
  <c r="A319" i="103"/>
  <c r="A318" i="103"/>
  <c r="A317" i="103"/>
  <c r="A316" i="103"/>
  <c r="A315" i="103"/>
  <c r="A312" i="103"/>
  <c r="A306" i="103"/>
  <c r="A305" i="103"/>
  <c r="A304" i="103"/>
  <c r="A303" i="103"/>
  <c r="A302" i="103"/>
  <c r="A301" i="103"/>
  <c r="A300" i="103"/>
  <c r="A299" i="103"/>
  <c r="A298" i="103"/>
  <c r="A295" i="103"/>
  <c r="A289" i="103"/>
  <c r="A288" i="103"/>
  <c r="A287" i="103"/>
  <c r="A286" i="103"/>
  <c r="A285" i="103"/>
  <c r="A284" i="103"/>
  <c r="A283" i="103"/>
  <c r="A282" i="103"/>
  <c r="A281" i="103"/>
  <c r="A278" i="103"/>
  <c r="A272" i="103"/>
  <c r="A271" i="103"/>
  <c r="A270" i="103"/>
  <c r="A269" i="103"/>
  <c r="A268" i="103"/>
  <c r="A267" i="103"/>
  <c r="A266" i="103"/>
  <c r="A265" i="103"/>
  <c r="A264" i="103"/>
  <c r="A261" i="103"/>
  <c r="A255" i="103"/>
  <c r="A254" i="103"/>
  <c r="A253" i="103"/>
  <c r="A252" i="103"/>
  <c r="A251" i="103"/>
  <c r="A250" i="103"/>
  <c r="A249" i="103"/>
  <c r="A248" i="103"/>
  <c r="A247" i="103"/>
  <c r="A244" i="103"/>
  <c r="A238" i="103"/>
  <c r="A237" i="103"/>
  <c r="A236" i="103"/>
  <c r="A235" i="103"/>
  <c r="A234" i="103"/>
  <c r="A233" i="103"/>
  <c r="A232" i="103"/>
  <c r="A231" i="103"/>
  <c r="A230" i="103"/>
  <c r="A227" i="103"/>
  <c r="A221" i="103"/>
  <c r="A220" i="103"/>
  <c r="A219" i="103"/>
  <c r="A218" i="103"/>
  <c r="A217" i="103"/>
  <c r="A216" i="103"/>
  <c r="A215" i="103"/>
  <c r="A214" i="103"/>
  <c r="A213" i="103"/>
  <c r="A210" i="103"/>
  <c r="A204" i="103"/>
  <c r="A203" i="103"/>
  <c r="A202" i="103"/>
  <c r="A201" i="103"/>
  <c r="A200" i="103"/>
  <c r="A199" i="103"/>
  <c r="A198" i="103"/>
  <c r="A197" i="103"/>
  <c r="A196" i="103"/>
  <c r="A193" i="103"/>
  <c r="A187" i="103"/>
  <c r="A186" i="103"/>
  <c r="A185" i="103"/>
  <c r="A184" i="103"/>
  <c r="A183" i="103"/>
  <c r="A182" i="103"/>
  <c r="A181" i="103"/>
  <c r="A180" i="103"/>
  <c r="A179" i="103"/>
  <c r="A176" i="103"/>
  <c r="A170" i="103"/>
  <c r="A169" i="103"/>
  <c r="A168" i="103"/>
  <c r="A167" i="103"/>
  <c r="A166" i="103"/>
  <c r="A165" i="103"/>
  <c r="A164" i="103"/>
  <c r="A163" i="103"/>
  <c r="A162" i="103"/>
  <c r="A159" i="103"/>
  <c r="A153" i="103"/>
  <c r="A152" i="103"/>
  <c r="A151" i="103"/>
  <c r="A150" i="103"/>
  <c r="A149" i="103"/>
  <c r="A148" i="103"/>
  <c r="A147" i="103"/>
  <c r="A146" i="103"/>
  <c r="A145" i="103"/>
  <c r="A142" i="103"/>
  <c r="A136" i="103"/>
  <c r="A135" i="103"/>
  <c r="A134" i="103"/>
  <c r="A133" i="103"/>
  <c r="A132" i="103"/>
  <c r="A131" i="103"/>
  <c r="A130" i="103"/>
  <c r="A129" i="103"/>
  <c r="A128" i="103"/>
  <c r="A125" i="103"/>
  <c r="A119" i="103"/>
  <c r="A118" i="103"/>
  <c r="A117" i="103"/>
  <c r="A116" i="103"/>
  <c r="A115" i="103"/>
  <c r="A114" i="103"/>
  <c r="A113" i="103"/>
  <c r="A112" i="103"/>
  <c r="A111" i="103"/>
  <c r="A108" i="103"/>
  <c r="A102" i="103"/>
  <c r="A101" i="103"/>
  <c r="A100" i="103"/>
  <c r="A99" i="103"/>
  <c r="A98" i="103"/>
  <c r="A97" i="103"/>
  <c r="A96" i="103"/>
  <c r="A95" i="103"/>
  <c r="A94" i="103"/>
  <c r="A91" i="103"/>
  <c r="A85" i="103"/>
  <c r="A84" i="103"/>
  <c r="A83" i="103"/>
  <c r="A82" i="103"/>
  <c r="A81" i="103"/>
  <c r="A80" i="103"/>
  <c r="A79" i="103"/>
  <c r="A78" i="103"/>
  <c r="A77" i="103"/>
  <c r="A74" i="103"/>
  <c r="A68" i="103"/>
  <c r="A67" i="103"/>
  <c r="A66" i="103"/>
  <c r="A65" i="103"/>
  <c r="A64" i="103"/>
  <c r="A63" i="103"/>
  <c r="A62" i="103"/>
  <c r="A61" i="103"/>
  <c r="A60" i="103"/>
  <c r="A57" i="103"/>
  <c r="A51" i="103"/>
  <c r="A50" i="103"/>
  <c r="A49" i="103"/>
  <c r="A48" i="103"/>
  <c r="A47" i="103"/>
  <c r="A46" i="103"/>
  <c r="A45" i="103"/>
  <c r="A44" i="103"/>
  <c r="A43" i="103"/>
  <c r="A40" i="103"/>
  <c r="A34" i="103"/>
  <c r="A33" i="103"/>
  <c r="A32" i="103"/>
  <c r="A31" i="103"/>
  <c r="A30" i="103"/>
  <c r="A29" i="103"/>
  <c r="A28" i="103"/>
  <c r="A27" i="103"/>
  <c r="A26" i="103"/>
  <c r="A23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1231" i="103" l="1"/>
  <c r="C1163" i="103"/>
  <c r="C1095" i="103"/>
  <c r="C1027" i="103"/>
  <c r="C959" i="103"/>
  <c r="C891" i="103"/>
  <c r="C823" i="103"/>
  <c r="C755" i="103"/>
  <c r="C687" i="103"/>
  <c r="C619" i="103"/>
  <c r="C551" i="103"/>
  <c r="C483" i="103"/>
  <c r="C415" i="103"/>
  <c r="C347" i="103"/>
  <c r="C279" i="103"/>
  <c r="C211" i="103"/>
  <c r="C143" i="103"/>
  <c r="C75" i="103"/>
  <c r="C1282" i="103"/>
  <c r="C1214" i="103"/>
  <c r="C1146" i="103"/>
  <c r="C1078" i="103"/>
  <c r="C1010" i="103"/>
  <c r="C942" i="103"/>
  <c r="C874" i="103"/>
  <c r="C806" i="103"/>
  <c r="C738" i="103"/>
  <c r="C670" i="103"/>
  <c r="C602" i="103"/>
  <c r="C534" i="103"/>
  <c r="C466" i="103"/>
  <c r="C398" i="103"/>
  <c r="C330" i="103"/>
  <c r="C262" i="103"/>
  <c r="C194" i="103"/>
  <c r="C126" i="103"/>
  <c r="C58" i="103"/>
  <c r="C1265" i="103"/>
  <c r="C1197" i="103"/>
  <c r="C1129" i="103"/>
  <c r="C1061" i="103"/>
  <c r="C993" i="103"/>
  <c r="C925" i="103"/>
  <c r="C857" i="103"/>
  <c r="C789" i="103"/>
  <c r="C721" i="103"/>
  <c r="C653" i="103"/>
  <c r="C585" i="103"/>
  <c r="C517" i="103"/>
  <c r="C449" i="103"/>
  <c r="C381" i="103"/>
  <c r="C313" i="103"/>
  <c r="C245" i="103"/>
  <c r="C177" i="103"/>
  <c r="C109" i="103"/>
  <c r="C41" i="103"/>
  <c r="C1248" i="103"/>
  <c r="C1180" i="103"/>
  <c r="C1112" i="103"/>
  <c r="C1044" i="103"/>
  <c r="C976" i="103"/>
  <c r="C908" i="103"/>
  <c r="C840" i="103"/>
  <c r="C772" i="103"/>
  <c r="C704" i="103"/>
  <c r="C636" i="103"/>
  <c r="C568" i="103"/>
  <c r="C500" i="103"/>
  <c r="C432" i="103"/>
  <c r="C364" i="103"/>
  <c r="C296" i="103"/>
  <c r="C228" i="103"/>
  <c r="C160" i="103"/>
  <c r="C92" i="103"/>
  <c r="L1265" i="103"/>
  <c r="L1197" i="103"/>
  <c r="L1129" i="103"/>
  <c r="L1061" i="103"/>
  <c r="L993" i="103"/>
  <c r="L925" i="103"/>
  <c r="L857" i="103"/>
  <c r="L789" i="103"/>
  <c r="L721" i="103"/>
  <c r="L653" i="103"/>
  <c r="L585" i="103"/>
  <c r="L517" i="103"/>
  <c r="L449" i="103"/>
  <c r="L381" i="103"/>
  <c r="L313" i="103"/>
  <c r="L245" i="103"/>
  <c r="L177" i="103"/>
  <c r="L109" i="103"/>
  <c r="L41" i="103"/>
  <c r="L58" i="103"/>
  <c r="L1146" i="103"/>
  <c r="L874" i="103"/>
  <c r="L738" i="103"/>
  <c r="L602" i="103"/>
  <c r="L1282" i="103"/>
  <c r="L1214" i="103"/>
  <c r="L466" i="103"/>
  <c r="L194" i="103"/>
  <c r="L1248" i="103"/>
  <c r="L1180" i="103"/>
  <c r="L1112" i="103"/>
  <c r="L1044" i="103"/>
  <c r="L976" i="103"/>
  <c r="L908" i="103"/>
  <c r="L840" i="103"/>
  <c r="L772" i="103"/>
  <c r="L704" i="103"/>
  <c r="L636" i="103"/>
  <c r="L568" i="103"/>
  <c r="L500" i="103"/>
  <c r="L432" i="103"/>
  <c r="L364" i="103"/>
  <c r="L296" i="103"/>
  <c r="L228" i="103"/>
  <c r="L160" i="103"/>
  <c r="L92" i="103"/>
  <c r="L534" i="103"/>
  <c r="L398" i="103"/>
  <c r="L330" i="103"/>
  <c r="L126" i="103"/>
  <c r="L1078" i="103"/>
  <c r="L670" i="103"/>
  <c r="L1010" i="103"/>
  <c r="L806" i="103"/>
  <c r="L1231" i="103"/>
  <c r="L1163" i="103"/>
  <c r="L1095" i="103"/>
  <c r="L1027" i="103"/>
  <c r="L959" i="103"/>
  <c r="L891" i="103"/>
  <c r="L823" i="103"/>
  <c r="L755" i="103"/>
  <c r="L687" i="103"/>
  <c r="L619" i="103"/>
  <c r="L551" i="103"/>
  <c r="L483" i="103"/>
  <c r="L415" i="103"/>
  <c r="L347" i="103"/>
  <c r="L279" i="103"/>
  <c r="L211" i="103"/>
  <c r="L143" i="103"/>
  <c r="L75" i="103"/>
  <c r="L262" i="103"/>
  <c r="L942" i="103"/>
  <c r="M721" i="103"/>
  <c r="M1248" i="103"/>
  <c r="M1180" i="103"/>
  <c r="M1112" i="103"/>
  <c r="M1044" i="103"/>
  <c r="M976" i="103"/>
  <c r="M908" i="103"/>
  <c r="M840" i="103"/>
  <c r="M772" i="103"/>
  <c r="M704" i="103"/>
  <c r="M636" i="103"/>
  <c r="M568" i="103"/>
  <c r="M500" i="103"/>
  <c r="M432" i="103"/>
  <c r="M364" i="103"/>
  <c r="M296" i="103"/>
  <c r="M228" i="103"/>
  <c r="M160" i="103"/>
  <c r="M92" i="103"/>
  <c r="M1061" i="103"/>
  <c r="M381" i="103"/>
  <c r="M517" i="103"/>
  <c r="M1231" i="103"/>
  <c r="M1163" i="103"/>
  <c r="M1095" i="103"/>
  <c r="M1027" i="103"/>
  <c r="M959" i="103"/>
  <c r="M891" i="103"/>
  <c r="M823" i="103"/>
  <c r="M755" i="103"/>
  <c r="M687" i="103"/>
  <c r="M619" i="103"/>
  <c r="M551" i="103"/>
  <c r="M483" i="103"/>
  <c r="M415" i="103"/>
  <c r="M347" i="103"/>
  <c r="M279" i="103"/>
  <c r="M211" i="103"/>
  <c r="M143" i="103"/>
  <c r="M75" i="103"/>
  <c r="M313" i="103"/>
  <c r="M245" i="103"/>
  <c r="M789" i="103"/>
  <c r="M857" i="103"/>
  <c r="M109" i="103"/>
  <c r="M1282" i="103"/>
  <c r="M1214" i="103"/>
  <c r="M1146" i="103"/>
  <c r="M1078" i="103"/>
  <c r="M1010" i="103"/>
  <c r="M942" i="103"/>
  <c r="M874" i="103"/>
  <c r="M806" i="103"/>
  <c r="M738" i="103"/>
  <c r="M670" i="103"/>
  <c r="M602" i="103"/>
  <c r="M534" i="103"/>
  <c r="M466" i="103"/>
  <c r="M398" i="103"/>
  <c r="M330" i="103"/>
  <c r="M262" i="103"/>
  <c r="M194" i="103"/>
  <c r="M126" i="103"/>
  <c r="M58" i="103"/>
  <c r="M653" i="103"/>
  <c r="M585" i="103"/>
  <c r="M449" i="103"/>
  <c r="M41" i="103"/>
  <c r="M1265" i="103"/>
  <c r="M1197" i="103"/>
  <c r="M1129" i="103"/>
  <c r="M993" i="103"/>
  <c r="M925" i="103"/>
  <c r="M177" i="103"/>
  <c r="N1248" i="103"/>
  <c r="N1180" i="103"/>
  <c r="N1112" i="103"/>
  <c r="N1044" i="103"/>
  <c r="N976" i="103"/>
  <c r="N908" i="103"/>
  <c r="N840" i="103"/>
  <c r="N772" i="103"/>
  <c r="N704" i="103"/>
  <c r="N636" i="103"/>
  <c r="N568" i="103"/>
  <c r="N500" i="103"/>
  <c r="N432" i="103"/>
  <c r="N364" i="103"/>
  <c r="N296" i="103"/>
  <c r="N228" i="103"/>
  <c r="N160" i="103"/>
  <c r="N92" i="103"/>
  <c r="N1231" i="103"/>
  <c r="N1163" i="103"/>
  <c r="N1095" i="103"/>
  <c r="N1027" i="103"/>
  <c r="N959" i="103"/>
  <c r="N891" i="103"/>
  <c r="N823" i="103"/>
  <c r="N755" i="103"/>
  <c r="N687" i="103"/>
  <c r="N619" i="103"/>
  <c r="N551" i="103"/>
  <c r="N483" i="103"/>
  <c r="N415" i="103"/>
  <c r="N347" i="103"/>
  <c r="N279" i="103"/>
  <c r="N211" i="103"/>
  <c r="N143" i="103"/>
  <c r="N75" i="103"/>
  <c r="N1282" i="103"/>
  <c r="N1214" i="103"/>
  <c r="N1146" i="103"/>
  <c r="N1078" i="103"/>
  <c r="N1010" i="103"/>
  <c r="N942" i="103"/>
  <c r="N874" i="103"/>
  <c r="N806" i="103"/>
  <c r="N738" i="103"/>
  <c r="N670" i="103"/>
  <c r="N602" i="103"/>
  <c r="N534" i="103"/>
  <c r="N466" i="103"/>
  <c r="N398" i="103"/>
  <c r="N330" i="103"/>
  <c r="N262" i="103"/>
  <c r="N194" i="103"/>
  <c r="N126" i="103"/>
  <c r="N58" i="103"/>
  <c r="N1265" i="103"/>
  <c r="N1197" i="103"/>
  <c r="N1129" i="103"/>
  <c r="N1061" i="103"/>
  <c r="N993" i="103"/>
  <c r="N925" i="103"/>
  <c r="N857" i="103"/>
  <c r="N789" i="103"/>
  <c r="N721" i="103"/>
  <c r="N653" i="103"/>
  <c r="N585" i="103"/>
  <c r="N517" i="103"/>
  <c r="N449" i="103"/>
  <c r="N381" i="103"/>
  <c r="N313" i="103"/>
  <c r="N245" i="103"/>
  <c r="N177" i="103"/>
  <c r="N109" i="103"/>
  <c r="N41" i="103"/>
  <c r="B364" i="103"/>
  <c r="B1231" i="103"/>
  <c r="B1163" i="103"/>
  <c r="B1095" i="103"/>
  <c r="B1027" i="103"/>
  <c r="B959" i="103"/>
  <c r="B891" i="103"/>
  <c r="B823" i="103"/>
  <c r="B755" i="103"/>
  <c r="B687" i="103"/>
  <c r="B619" i="103"/>
  <c r="B551" i="103"/>
  <c r="B483" i="103"/>
  <c r="B415" i="103"/>
  <c r="B347" i="103"/>
  <c r="B279" i="103"/>
  <c r="B211" i="103"/>
  <c r="B143" i="103"/>
  <c r="B75" i="103"/>
  <c r="B840" i="103"/>
  <c r="B772" i="103"/>
  <c r="B704" i="103"/>
  <c r="B568" i="103"/>
  <c r="B228" i="103"/>
  <c r="B160" i="103"/>
  <c r="B92" i="103"/>
  <c r="B1044" i="103"/>
  <c r="B296" i="103"/>
  <c r="B1282" i="103"/>
  <c r="B1214" i="103"/>
  <c r="B1146" i="103"/>
  <c r="B1078" i="103"/>
  <c r="B1010" i="103"/>
  <c r="B942" i="103"/>
  <c r="B874" i="103"/>
  <c r="B806" i="103"/>
  <c r="B738" i="103"/>
  <c r="B670" i="103"/>
  <c r="B602" i="103"/>
  <c r="B534" i="103"/>
  <c r="B466" i="103"/>
  <c r="B398" i="103"/>
  <c r="B330" i="103"/>
  <c r="B262" i="103"/>
  <c r="B194" i="103"/>
  <c r="B126" i="103"/>
  <c r="B58" i="103"/>
  <c r="B500" i="103"/>
  <c r="B1265" i="103"/>
  <c r="B1197" i="103"/>
  <c r="B1129" i="103"/>
  <c r="B1061" i="103"/>
  <c r="B993" i="103"/>
  <c r="B925" i="103"/>
  <c r="B857" i="103"/>
  <c r="B789" i="103"/>
  <c r="B721" i="103"/>
  <c r="B653" i="103"/>
  <c r="B585" i="103"/>
  <c r="B517" i="103"/>
  <c r="B449" i="103"/>
  <c r="B381" i="103"/>
  <c r="B313" i="103"/>
  <c r="B245" i="103"/>
  <c r="B177" i="103"/>
  <c r="B109" i="103"/>
  <c r="B41" i="103"/>
  <c r="B908" i="103"/>
  <c r="B1248" i="103"/>
  <c r="B1180" i="103"/>
  <c r="B1112" i="103"/>
  <c r="B976" i="103"/>
  <c r="B636" i="103"/>
  <c r="B432" i="103"/>
  <c r="D1231" i="103"/>
  <c r="D1163" i="103"/>
  <c r="D1095" i="103"/>
  <c r="D1027" i="103"/>
  <c r="D959" i="103"/>
  <c r="D891" i="103"/>
  <c r="D823" i="103"/>
  <c r="D755" i="103"/>
  <c r="D687" i="103"/>
  <c r="D619" i="103"/>
  <c r="D551" i="103"/>
  <c r="D483" i="103"/>
  <c r="D415" i="103"/>
  <c r="D347" i="103"/>
  <c r="D279" i="103"/>
  <c r="D211" i="103"/>
  <c r="D143" i="103"/>
  <c r="D75" i="103"/>
  <c r="D772" i="103"/>
  <c r="D41" i="103"/>
  <c r="D1112" i="103"/>
  <c r="D908" i="103"/>
  <c r="D704" i="103"/>
  <c r="D160" i="103"/>
  <c r="D92" i="103"/>
  <c r="D1282" i="103"/>
  <c r="D1214" i="103"/>
  <c r="D1146" i="103"/>
  <c r="D1078" i="103"/>
  <c r="D1010" i="103"/>
  <c r="D942" i="103"/>
  <c r="D874" i="103"/>
  <c r="D806" i="103"/>
  <c r="D738" i="103"/>
  <c r="D670" i="103"/>
  <c r="D602" i="103"/>
  <c r="D534" i="103"/>
  <c r="D466" i="103"/>
  <c r="D398" i="103"/>
  <c r="D330" i="103"/>
  <c r="D262" i="103"/>
  <c r="D194" i="103"/>
  <c r="D126" i="103"/>
  <c r="D58" i="103"/>
  <c r="D1180" i="103"/>
  <c r="D500" i="103"/>
  <c r="D432" i="103"/>
  <c r="D364" i="103"/>
  <c r="D568" i="103"/>
  <c r="D1265" i="103"/>
  <c r="D1197" i="103"/>
  <c r="D1129" i="103"/>
  <c r="D1061" i="103"/>
  <c r="D993" i="103"/>
  <c r="D925" i="103"/>
  <c r="D857" i="103"/>
  <c r="D789" i="103"/>
  <c r="D721" i="103"/>
  <c r="D653" i="103"/>
  <c r="D585" i="103"/>
  <c r="D517" i="103"/>
  <c r="D449" i="103"/>
  <c r="D381" i="103"/>
  <c r="D313" i="103"/>
  <c r="D245" i="103"/>
  <c r="D177" i="103"/>
  <c r="D109" i="103"/>
  <c r="D296" i="103"/>
  <c r="D1248" i="103"/>
  <c r="D1044" i="103"/>
  <c r="D976" i="103"/>
  <c r="D228" i="103"/>
  <c r="D840" i="103"/>
  <c r="D636" i="103"/>
  <c r="G1282" i="103"/>
  <c r="G1214" i="103"/>
  <c r="G1146" i="103"/>
  <c r="G1078" i="103"/>
  <c r="G1010" i="103"/>
  <c r="G942" i="103"/>
  <c r="G874" i="103"/>
  <c r="G806" i="103"/>
  <c r="G738" i="103"/>
  <c r="G670" i="103"/>
  <c r="G602" i="103"/>
  <c r="G534" i="103"/>
  <c r="G466" i="103"/>
  <c r="G398" i="103"/>
  <c r="G330" i="103"/>
  <c r="G262" i="103"/>
  <c r="G194" i="103"/>
  <c r="G126" i="103"/>
  <c r="G58" i="103"/>
  <c r="G1265" i="103"/>
  <c r="G1197" i="103"/>
  <c r="G1129" i="103"/>
  <c r="G1061" i="103"/>
  <c r="G993" i="103"/>
  <c r="G925" i="103"/>
  <c r="G857" i="103"/>
  <c r="G789" i="103"/>
  <c r="G721" i="103"/>
  <c r="G653" i="103"/>
  <c r="G585" i="103"/>
  <c r="G517" i="103"/>
  <c r="G449" i="103"/>
  <c r="G381" i="103"/>
  <c r="G313" i="103"/>
  <c r="G245" i="103"/>
  <c r="G177" i="103"/>
  <c r="G109" i="103"/>
  <c r="G41" i="103"/>
  <c r="G1248" i="103"/>
  <c r="G1180" i="103"/>
  <c r="G1112" i="103"/>
  <c r="G1044" i="103"/>
  <c r="G976" i="103"/>
  <c r="G908" i="103"/>
  <c r="G840" i="103"/>
  <c r="G772" i="103"/>
  <c r="G704" i="103"/>
  <c r="G636" i="103"/>
  <c r="G568" i="103"/>
  <c r="G500" i="103"/>
  <c r="G432" i="103"/>
  <c r="G364" i="103"/>
  <c r="G296" i="103"/>
  <c r="G228" i="103"/>
  <c r="G160" i="103"/>
  <c r="G92" i="103"/>
  <c r="G1231" i="103"/>
  <c r="G1163" i="103"/>
  <c r="G1095" i="103"/>
  <c r="G1027" i="103"/>
  <c r="G959" i="103"/>
  <c r="G891" i="103"/>
  <c r="G823" i="103"/>
  <c r="G755" i="103"/>
  <c r="G687" i="103"/>
  <c r="G619" i="103"/>
  <c r="G551" i="103"/>
  <c r="G483" i="103"/>
  <c r="G415" i="103"/>
  <c r="G347" i="103"/>
  <c r="G279" i="103"/>
  <c r="G211" i="103"/>
  <c r="G143" i="103"/>
  <c r="G75" i="103"/>
  <c r="H1282" i="103"/>
  <c r="H1214" i="103"/>
  <c r="H1146" i="103"/>
  <c r="H1078" i="103"/>
  <c r="H1010" i="103"/>
  <c r="H942" i="103"/>
  <c r="H874" i="103"/>
  <c r="H806" i="103"/>
  <c r="H738" i="103"/>
  <c r="H670" i="103"/>
  <c r="H602" i="103"/>
  <c r="H534" i="103"/>
  <c r="H466" i="103"/>
  <c r="H398" i="103"/>
  <c r="H330" i="103"/>
  <c r="H262" i="103"/>
  <c r="H194" i="103"/>
  <c r="H126" i="103"/>
  <c r="H58" i="103"/>
  <c r="H1231" i="103"/>
  <c r="H1163" i="103"/>
  <c r="H1095" i="103"/>
  <c r="H823" i="103"/>
  <c r="H755" i="103"/>
  <c r="H687" i="103"/>
  <c r="H483" i="103"/>
  <c r="H415" i="103"/>
  <c r="H347" i="103"/>
  <c r="H1265" i="103"/>
  <c r="H1197" i="103"/>
  <c r="H1129" i="103"/>
  <c r="H1061" i="103"/>
  <c r="H993" i="103"/>
  <c r="H925" i="103"/>
  <c r="H857" i="103"/>
  <c r="H789" i="103"/>
  <c r="H721" i="103"/>
  <c r="H653" i="103"/>
  <c r="H585" i="103"/>
  <c r="H517" i="103"/>
  <c r="H449" i="103"/>
  <c r="H381" i="103"/>
  <c r="H313" i="103"/>
  <c r="H245" i="103"/>
  <c r="H177" i="103"/>
  <c r="H109" i="103"/>
  <c r="H41" i="103"/>
  <c r="H619" i="103"/>
  <c r="H1248" i="103"/>
  <c r="H1180" i="103"/>
  <c r="H1112" i="103"/>
  <c r="H1044" i="103"/>
  <c r="H976" i="103"/>
  <c r="H908" i="103"/>
  <c r="H840" i="103"/>
  <c r="H772" i="103"/>
  <c r="H704" i="103"/>
  <c r="H636" i="103"/>
  <c r="H568" i="103"/>
  <c r="H500" i="103"/>
  <c r="H432" i="103"/>
  <c r="H364" i="103"/>
  <c r="H296" i="103"/>
  <c r="H228" i="103"/>
  <c r="H160" i="103"/>
  <c r="H92" i="103"/>
  <c r="H551" i="103"/>
  <c r="H211" i="103"/>
  <c r="H75" i="103"/>
  <c r="H959" i="103"/>
  <c r="H891" i="103"/>
  <c r="H143" i="103"/>
  <c r="H1027" i="103"/>
  <c r="H279" i="103"/>
  <c r="I398" i="103"/>
  <c r="I1265" i="103"/>
  <c r="I1197" i="103"/>
  <c r="I1129" i="103"/>
  <c r="I1061" i="103"/>
  <c r="I993" i="103"/>
  <c r="I925" i="103"/>
  <c r="I857" i="103"/>
  <c r="I789" i="103"/>
  <c r="I721" i="103"/>
  <c r="I653" i="103"/>
  <c r="I585" i="103"/>
  <c r="I517" i="103"/>
  <c r="I449" i="103"/>
  <c r="I381" i="103"/>
  <c r="I313" i="103"/>
  <c r="I245" i="103"/>
  <c r="I177" i="103"/>
  <c r="I109" i="103"/>
  <c r="I41" i="103"/>
  <c r="I126" i="103"/>
  <c r="I874" i="103"/>
  <c r="I738" i="103"/>
  <c r="I534" i="103"/>
  <c r="I58" i="103"/>
  <c r="I1248" i="103"/>
  <c r="I1180" i="103"/>
  <c r="I1112" i="103"/>
  <c r="I1044" i="103"/>
  <c r="I976" i="103"/>
  <c r="I908" i="103"/>
  <c r="I840" i="103"/>
  <c r="I772" i="103"/>
  <c r="I704" i="103"/>
  <c r="I636" i="103"/>
  <c r="I568" i="103"/>
  <c r="I500" i="103"/>
  <c r="I432" i="103"/>
  <c r="I364" i="103"/>
  <c r="I296" i="103"/>
  <c r="I228" i="103"/>
  <c r="I160" i="103"/>
  <c r="I92" i="103"/>
  <c r="I262" i="103"/>
  <c r="I1231" i="103"/>
  <c r="I1163" i="103"/>
  <c r="I1095" i="103"/>
  <c r="I1027" i="103"/>
  <c r="I959" i="103"/>
  <c r="I891" i="103"/>
  <c r="I823" i="103"/>
  <c r="I755" i="103"/>
  <c r="I687" i="103"/>
  <c r="I619" i="103"/>
  <c r="I551" i="103"/>
  <c r="I483" i="103"/>
  <c r="I415" i="103"/>
  <c r="I347" i="103"/>
  <c r="I279" i="103"/>
  <c r="I211" i="103"/>
  <c r="I143" i="103"/>
  <c r="I75" i="103"/>
  <c r="I806" i="103"/>
  <c r="I670" i="103"/>
  <c r="I466" i="103"/>
  <c r="I194" i="103"/>
  <c r="I1282" i="103"/>
  <c r="I1214" i="103"/>
  <c r="I1146" i="103"/>
  <c r="I1078" i="103"/>
  <c r="I1010" i="103"/>
  <c r="I942" i="103"/>
  <c r="I602" i="103"/>
  <c r="I330" i="103"/>
  <c r="B24" i="103"/>
  <c r="L24" i="103"/>
  <c r="I24" i="103"/>
  <c r="C24" i="103"/>
  <c r="D24" i="103"/>
  <c r="M24" i="103"/>
  <c r="N24" i="103"/>
  <c r="G24" i="103"/>
  <c r="H24" i="103"/>
  <c r="A558" i="102"/>
  <c r="A553" i="102"/>
  <c r="A548" i="102"/>
  <c r="A545" i="102"/>
  <c r="A533" i="102"/>
  <c r="A528" i="102"/>
  <c r="A523" i="102"/>
  <c r="A518" i="102"/>
  <c r="A515" i="102"/>
  <c r="A480" i="102"/>
  <c r="A470" i="102"/>
  <c r="A490" i="102"/>
  <c r="A503" i="102"/>
  <c r="A498" i="102"/>
  <c r="A493" i="102"/>
  <c r="A483" i="102"/>
  <c r="A473" i="102"/>
  <c r="A458" i="102"/>
  <c r="A453" i="102"/>
  <c r="A448" i="102"/>
  <c r="A443" i="102"/>
  <c r="A438" i="102"/>
  <c r="A433" i="102"/>
  <c r="A430" i="102"/>
  <c r="A418" i="102"/>
  <c r="A413" i="102"/>
  <c r="A408" i="102"/>
  <c r="A403" i="102"/>
  <c r="A398" i="102"/>
  <c r="A393" i="102"/>
  <c r="A388" i="102"/>
  <c r="A385" i="102"/>
  <c r="A378" i="102"/>
  <c r="A375" i="102"/>
  <c r="A363" i="102"/>
  <c r="A358" i="102"/>
  <c r="A353" i="102"/>
  <c r="A350" i="102"/>
  <c r="A338" i="102"/>
  <c r="A333" i="102"/>
  <c r="A328" i="102"/>
  <c r="A325" i="102"/>
  <c r="A313" i="102"/>
  <c r="A308" i="102"/>
  <c r="A303" i="102"/>
  <c r="A300" i="102"/>
  <c r="A288" i="102"/>
  <c r="A283" i="102"/>
  <c r="A280" i="102"/>
  <c r="A245" i="102"/>
  <c r="A268" i="102"/>
  <c r="A263" i="102"/>
  <c r="A258" i="102"/>
  <c r="A253" i="102"/>
  <c r="A248" i="102"/>
  <c r="A233" i="102"/>
  <c r="A228" i="102"/>
  <c r="A223" i="102"/>
  <c r="A220" i="102"/>
  <c r="A208" i="102"/>
  <c r="A203" i="102"/>
  <c r="A198" i="102"/>
  <c r="A195" i="102"/>
  <c r="A170" i="102"/>
  <c r="A183" i="102"/>
  <c r="A178" i="102"/>
  <c r="A173" i="102"/>
  <c r="A163" i="102"/>
  <c r="A160" i="102"/>
  <c r="A148" i="102"/>
  <c r="A143" i="102"/>
  <c r="A138" i="102"/>
  <c r="A133" i="102"/>
  <c r="A128" i="102"/>
  <c r="A123" i="102"/>
  <c r="A118" i="102"/>
  <c r="A113" i="102"/>
  <c r="A108" i="102"/>
  <c r="A103" i="102"/>
  <c r="A98" i="102"/>
  <c r="A93" i="102"/>
  <c r="A88" i="102"/>
  <c r="A83" i="102"/>
  <c r="A78" i="102"/>
  <c r="A70" i="102"/>
  <c r="A73" i="102"/>
  <c r="A58" i="102"/>
  <c r="A53" i="102"/>
  <c r="A48" i="102"/>
  <c r="A45" i="102"/>
  <c r="A33" i="102"/>
  <c r="A28" i="102"/>
  <c r="A25" i="102"/>
  <c r="A18" i="102"/>
  <c r="A8" i="102"/>
  <c r="B15" i="102"/>
  <c r="A15" i="102"/>
  <c r="A5" i="102"/>
  <c r="L15" i="102"/>
  <c r="V15" i="102"/>
  <c r="Y16" i="102"/>
  <c r="O16" i="102"/>
  <c r="E16" i="102"/>
  <c r="X6" i="102"/>
  <c r="W6" i="102"/>
  <c r="V6" i="102"/>
  <c r="N6" i="102"/>
  <c r="M6" i="102"/>
  <c r="L6" i="102"/>
  <c r="D6" i="102"/>
  <c r="C6" i="102"/>
  <c r="B6" i="102"/>
  <c r="A825" i="101"/>
  <c r="A1292" i="101"/>
  <c r="A1291" i="101"/>
  <c r="A1290" i="101"/>
  <c r="A1289" i="101"/>
  <c r="A1288" i="101"/>
  <c r="A1287" i="101"/>
  <c r="A1286" i="101"/>
  <c r="A1285" i="101"/>
  <c r="A1284" i="101"/>
  <c r="A1275" i="101"/>
  <c r="A1274" i="101"/>
  <c r="A1273" i="101"/>
  <c r="A1272" i="101"/>
  <c r="A1271" i="101"/>
  <c r="A1270" i="101"/>
  <c r="A1269" i="101"/>
  <c r="A1268" i="101"/>
  <c r="A1267" i="101"/>
  <c r="A1258" i="101"/>
  <c r="A1257" i="101"/>
  <c r="A1256" i="101"/>
  <c r="A1255" i="101"/>
  <c r="A1254" i="101"/>
  <c r="A1253" i="101"/>
  <c r="A1252" i="101"/>
  <c r="A1251" i="101"/>
  <c r="A1250" i="101"/>
  <c r="A1241" i="101"/>
  <c r="A1240" i="101"/>
  <c r="A1239" i="101"/>
  <c r="A1238" i="101"/>
  <c r="A1237" i="101"/>
  <c r="A1236" i="101"/>
  <c r="A1235" i="101"/>
  <c r="A1234" i="101"/>
  <c r="A1233" i="101"/>
  <c r="A1224" i="101"/>
  <c r="A1223" i="101"/>
  <c r="A1222" i="101"/>
  <c r="A1221" i="101"/>
  <c r="A1220" i="101"/>
  <c r="A1219" i="101"/>
  <c r="A1218" i="101"/>
  <c r="A1217" i="101"/>
  <c r="A1216" i="101"/>
  <c r="A1207" i="101"/>
  <c r="A1206" i="101"/>
  <c r="A1205" i="101"/>
  <c r="A1204" i="101"/>
  <c r="A1203" i="101"/>
  <c r="A1202" i="101"/>
  <c r="A1201" i="101"/>
  <c r="A1200" i="101"/>
  <c r="A1199" i="101"/>
  <c r="A1190" i="101"/>
  <c r="A1189" i="101"/>
  <c r="A1188" i="101"/>
  <c r="A1187" i="101"/>
  <c r="A1186" i="101"/>
  <c r="A1185" i="101"/>
  <c r="A1184" i="101"/>
  <c r="A1183" i="101"/>
  <c r="A1182" i="101"/>
  <c r="A1173" i="101"/>
  <c r="A1172" i="101"/>
  <c r="A1171" i="101"/>
  <c r="A1170" i="101"/>
  <c r="A1169" i="101"/>
  <c r="A1168" i="101"/>
  <c r="A1167" i="101"/>
  <c r="A1166" i="101"/>
  <c r="A1165" i="101"/>
  <c r="A1156" i="101"/>
  <c r="A1155" i="101"/>
  <c r="A1154" i="101"/>
  <c r="A1153" i="101"/>
  <c r="A1152" i="101"/>
  <c r="A1151" i="101"/>
  <c r="A1150" i="101"/>
  <c r="A1149" i="101"/>
  <c r="A1148" i="101"/>
  <c r="A1139" i="101"/>
  <c r="A1138" i="101"/>
  <c r="A1137" i="101"/>
  <c r="A1136" i="101"/>
  <c r="A1135" i="101"/>
  <c r="A1134" i="101"/>
  <c r="A1133" i="101"/>
  <c r="A1132" i="101"/>
  <c r="A1131" i="101"/>
  <c r="A1122" i="101"/>
  <c r="A1121" i="101"/>
  <c r="A1120" i="101"/>
  <c r="A1119" i="101"/>
  <c r="A1118" i="101"/>
  <c r="A1117" i="101"/>
  <c r="A1116" i="101"/>
  <c r="A1115" i="101"/>
  <c r="A1114" i="101"/>
  <c r="A1105" i="101"/>
  <c r="A1104" i="101"/>
  <c r="A1103" i="101"/>
  <c r="A1102" i="101"/>
  <c r="A1101" i="101"/>
  <c r="A1100" i="101"/>
  <c r="A1099" i="101"/>
  <c r="A1098" i="101"/>
  <c r="A1097" i="101"/>
  <c r="A1088" i="101"/>
  <c r="A1087" i="101"/>
  <c r="A1086" i="101"/>
  <c r="A1085" i="101"/>
  <c r="A1084" i="101"/>
  <c r="A1083" i="101"/>
  <c r="A1082" i="101"/>
  <c r="A1081" i="101"/>
  <c r="A1080" i="101"/>
  <c r="A1071" i="101"/>
  <c r="A1070" i="101"/>
  <c r="A1069" i="101"/>
  <c r="A1068" i="101"/>
  <c r="A1067" i="101"/>
  <c r="A1066" i="101"/>
  <c r="A1065" i="101"/>
  <c r="A1064" i="101"/>
  <c r="A1063" i="101"/>
  <c r="A1054" i="101"/>
  <c r="A1053" i="101"/>
  <c r="A1052" i="101"/>
  <c r="A1051" i="101"/>
  <c r="A1050" i="101"/>
  <c r="A1049" i="101"/>
  <c r="A1048" i="101"/>
  <c r="A1047" i="101"/>
  <c r="A1046" i="101"/>
  <c r="A1037" i="101"/>
  <c r="A1036" i="101"/>
  <c r="A1035" i="101"/>
  <c r="A1034" i="101"/>
  <c r="A1033" i="101"/>
  <c r="A1032" i="101"/>
  <c r="A1031" i="101"/>
  <c r="A1030" i="101"/>
  <c r="A1029" i="101"/>
  <c r="A1020" i="101"/>
  <c r="A1019" i="101"/>
  <c r="A1018" i="101"/>
  <c r="A1017" i="101"/>
  <c r="A1016" i="101"/>
  <c r="A1015" i="101"/>
  <c r="A1014" i="101"/>
  <c r="A1013" i="101"/>
  <c r="A1012" i="101"/>
  <c r="A1003" i="101"/>
  <c r="A1002" i="101"/>
  <c r="A1001" i="101"/>
  <c r="A1000" i="101"/>
  <c r="A999" i="101"/>
  <c r="A998" i="101"/>
  <c r="A997" i="101"/>
  <c r="A996" i="101"/>
  <c r="A995" i="101"/>
  <c r="A986" i="101"/>
  <c r="A985" i="101"/>
  <c r="A984" i="101"/>
  <c r="A983" i="101"/>
  <c r="A982" i="101"/>
  <c r="A981" i="101"/>
  <c r="A980" i="101"/>
  <c r="A979" i="101"/>
  <c r="A978" i="101"/>
  <c r="A969" i="101"/>
  <c r="A968" i="101"/>
  <c r="A967" i="101"/>
  <c r="A966" i="101"/>
  <c r="A965" i="101"/>
  <c r="A964" i="101"/>
  <c r="A963" i="101"/>
  <c r="A962" i="101"/>
  <c r="A961" i="101"/>
  <c r="A952" i="101"/>
  <c r="A951" i="101"/>
  <c r="A950" i="101"/>
  <c r="A949" i="101"/>
  <c r="A948" i="101"/>
  <c r="A947" i="101"/>
  <c r="A946" i="101"/>
  <c r="A945" i="101"/>
  <c r="A944" i="101"/>
  <c r="A935" i="101"/>
  <c r="A934" i="101"/>
  <c r="A933" i="101"/>
  <c r="A932" i="101"/>
  <c r="A931" i="101"/>
  <c r="A930" i="101"/>
  <c r="A929" i="101"/>
  <c r="A928" i="101"/>
  <c r="A927" i="101"/>
  <c r="A918" i="101"/>
  <c r="A917" i="101"/>
  <c r="A916" i="101"/>
  <c r="A915" i="101"/>
  <c r="A914" i="101"/>
  <c r="A913" i="101"/>
  <c r="A912" i="101"/>
  <c r="A911" i="101"/>
  <c r="A910" i="101"/>
  <c r="A901" i="101"/>
  <c r="A900" i="101"/>
  <c r="A899" i="101"/>
  <c r="A898" i="101"/>
  <c r="A897" i="101"/>
  <c r="A896" i="101"/>
  <c r="A895" i="101"/>
  <c r="A894" i="101"/>
  <c r="A893" i="101"/>
  <c r="A884" i="101"/>
  <c r="A883" i="101"/>
  <c r="A882" i="101"/>
  <c r="A881" i="101"/>
  <c r="A880" i="101"/>
  <c r="A879" i="101"/>
  <c r="A878" i="101"/>
  <c r="A877" i="101"/>
  <c r="A876" i="101"/>
  <c r="A867" i="101"/>
  <c r="A866" i="101"/>
  <c r="A865" i="101"/>
  <c r="A864" i="101"/>
  <c r="A863" i="101"/>
  <c r="A862" i="101"/>
  <c r="A861" i="101"/>
  <c r="A860" i="101"/>
  <c r="A859" i="101"/>
  <c r="A850" i="101"/>
  <c r="A849" i="101"/>
  <c r="A848" i="101"/>
  <c r="A847" i="101"/>
  <c r="A846" i="101"/>
  <c r="A845" i="101"/>
  <c r="A844" i="101"/>
  <c r="A843" i="101"/>
  <c r="A842" i="101"/>
  <c r="A833" i="101"/>
  <c r="A832" i="101"/>
  <c r="A831" i="101"/>
  <c r="A830" i="101"/>
  <c r="A829" i="101"/>
  <c r="A828" i="101"/>
  <c r="A827" i="101"/>
  <c r="A826" i="101"/>
  <c r="A816" i="101"/>
  <c r="A815" i="101"/>
  <c r="A814" i="101"/>
  <c r="A813" i="101"/>
  <c r="A812" i="101"/>
  <c r="A811" i="101"/>
  <c r="A810" i="101"/>
  <c r="A809" i="101"/>
  <c r="A808" i="101"/>
  <c r="A799" i="101"/>
  <c r="A798" i="101"/>
  <c r="A797" i="101"/>
  <c r="A796" i="101"/>
  <c r="A795" i="101"/>
  <c r="A794" i="101"/>
  <c r="A793" i="101"/>
  <c r="A792" i="101"/>
  <c r="A791" i="101"/>
  <c r="A782" i="101"/>
  <c r="A781" i="101"/>
  <c r="A780" i="101"/>
  <c r="A779" i="101"/>
  <c r="A778" i="101"/>
  <c r="A777" i="101"/>
  <c r="A776" i="101"/>
  <c r="A775" i="101"/>
  <c r="A774" i="101"/>
  <c r="A765" i="101"/>
  <c r="A764" i="101"/>
  <c r="A763" i="101"/>
  <c r="A762" i="101"/>
  <c r="A761" i="101"/>
  <c r="A760" i="101"/>
  <c r="A759" i="101"/>
  <c r="A758" i="101"/>
  <c r="A757" i="101"/>
  <c r="A748" i="101"/>
  <c r="A747" i="101"/>
  <c r="A746" i="101"/>
  <c r="A745" i="101"/>
  <c r="A744" i="101"/>
  <c r="A743" i="101"/>
  <c r="A742" i="101"/>
  <c r="A741" i="101"/>
  <c r="A740" i="101"/>
  <c r="A731" i="101"/>
  <c r="A730" i="101"/>
  <c r="A729" i="101"/>
  <c r="A728" i="101"/>
  <c r="A727" i="101"/>
  <c r="A726" i="101"/>
  <c r="A725" i="101"/>
  <c r="A724" i="101"/>
  <c r="A723" i="101"/>
  <c r="A714" i="101"/>
  <c r="A713" i="101"/>
  <c r="A712" i="101"/>
  <c r="A711" i="101"/>
  <c r="A710" i="101"/>
  <c r="A709" i="101"/>
  <c r="A708" i="101"/>
  <c r="A707" i="101"/>
  <c r="A706" i="101"/>
  <c r="A697" i="101"/>
  <c r="A696" i="101"/>
  <c r="A695" i="101"/>
  <c r="A694" i="101"/>
  <c r="A693" i="101"/>
  <c r="A692" i="101"/>
  <c r="A691" i="101"/>
  <c r="A690" i="101"/>
  <c r="A689" i="101"/>
  <c r="A680" i="101"/>
  <c r="A679" i="101"/>
  <c r="A678" i="101"/>
  <c r="A677" i="101"/>
  <c r="A676" i="101"/>
  <c r="A675" i="101"/>
  <c r="A674" i="101"/>
  <c r="A673" i="101"/>
  <c r="A672" i="101"/>
  <c r="A663" i="101"/>
  <c r="A662" i="101"/>
  <c r="A661" i="101"/>
  <c r="A660" i="101"/>
  <c r="A659" i="101"/>
  <c r="A658" i="101"/>
  <c r="A657" i="101"/>
  <c r="A656" i="101"/>
  <c r="A655" i="101"/>
  <c r="A646" i="101"/>
  <c r="A645" i="101"/>
  <c r="A644" i="101"/>
  <c r="A643" i="101"/>
  <c r="A642" i="101"/>
  <c r="A641" i="101"/>
  <c r="A640" i="101"/>
  <c r="A639" i="101"/>
  <c r="A638" i="101"/>
  <c r="A629" i="101"/>
  <c r="A628" i="101"/>
  <c r="A627" i="101"/>
  <c r="A626" i="101"/>
  <c r="A625" i="101"/>
  <c r="A624" i="101"/>
  <c r="A623" i="101"/>
  <c r="A622" i="101"/>
  <c r="A621" i="101"/>
  <c r="A612" i="101"/>
  <c r="A611" i="101"/>
  <c r="A610" i="101"/>
  <c r="A609" i="101"/>
  <c r="A608" i="101"/>
  <c r="A607" i="101"/>
  <c r="A606" i="101"/>
  <c r="A605" i="101"/>
  <c r="A604" i="101"/>
  <c r="A595" i="101"/>
  <c r="A594" i="101"/>
  <c r="A593" i="101"/>
  <c r="A592" i="101"/>
  <c r="A591" i="101"/>
  <c r="A590" i="101"/>
  <c r="A589" i="101"/>
  <c r="A588" i="101"/>
  <c r="A587" i="101"/>
  <c r="A578" i="101"/>
  <c r="A577" i="101"/>
  <c r="A576" i="101"/>
  <c r="A575" i="101"/>
  <c r="A574" i="101"/>
  <c r="A573" i="101"/>
  <c r="A572" i="101"/>
  <c r="A571" i="101"/>
  <c r="A570" i="101"/>
  <c r="A561" i="101"/>
  <c r="A560" i="101"/>
  <c r="A559" i="101"/>
  <c r="A558" i="101"/>
  <c r="A557" i="101"/>
  <c r="A556" i="101"/>
  <c r="A555" i="101"/>
  <c r="A554" i="101"/>
  <c r="A553" i="101"/>
  <c r="A544" i="101"/>
  <c r="A543" i="101"/>
  <c r="A542" i="101"/>
  <c r="A541" i="101"/>
  <c r="A540" i="101"/>
  <c r="A539" i="101"/>
  <c r="A538" i="101"/>
  <c r="A537" i="101"/>
  <c r="A536" i="101"/>
  <c r="A527" i="101"/>
  <c r="A526" i="101"/>
  <c r="A525" i="101"/>
  <c r="A524" i="101"/>
  <c r="A523" i="101"/>
  <c r="A522" i="101"/>
  <c r="A521" i="101"/>
  <c r="A520" i="101"/>
  <c r="A519" i="101"/>
  <c r="A510" i="101"/>
  <c r="A509" i="101"/>
  <c r="A508" i="101"/>
  <c r="A507" i="101"/>
  <c r="A506" i="101"/>
  <c r="A505" i="101"/>
  <c r="A504" i="101"/>
  <c r="A503" i="101"/>
  <c r="A502" i="101"/>
  <c r="A493" i="101"/>
  <c r="A492" i="101"/>
  <c r="A491" i="101"/>
  <c r="A490" i="101"/>
  <c r="A489" i="101"/>
  <c r="A488" i="101"/>
  <c r="A487" i="101"/>
  <c r="A486" i="101"/>
  <c r="A485" i="101"/>
  <c r="A476" i="101"/>
  <c r="A475" i="101"/>
  <c r="A474" i="101"/>
  <c r="A473" i="101"/>
  <c r="A472" i="101"/>
  <c r="A471" i="101"/>
  <c r="A470" i="101"/>
  <c r="A469" i="101"/>
  <c r="A468" i="101"/>
  <c r="A459" i="101"/>
  <c r="A458" i="101"/>
  <c r="A457" i="101"/>
  <c r="A456" i="101"/>
  <c r="A455" i="101"/>
  <c r="A454" i="101"/>
  <c r="A453" i="101"/>
  <c r="A452" i="101"/>
  <c r="A451" i="101"/>
  <c r="A442" i="101"/>
  <c r="A441" i="101"/>
  <c r="A440" i="101"/>
  <c r="A439" i="101"/>
  <c r="A438" i="101"/>
  <c r="A437" i="101"/>
  <c r="A436" i="101"/>
  <c r="A435" i="101"/>
  <c r="A434" i="101"/>
  <c r="A425" i="101"/>
  <c r="A424" i="101"/>
  <c r="A423" i="101"/>
  <c r="A422" i="101"/>
  <c r="A421" i="101"/>
  <c r="A420" i="101"/>
  <c r="A419" i="101"/>
  <c r="A418" i="101"/>
  <c r="A417" i="101"/>
  <c r="A408" i="101"/>
  <c r="A407" i="101"/>
  <c r="A406" i="101"/>
  <c r="A405" i="101"/>
  <c r="A404" i="101"/>
  <c r="A403" i="101"/>
  <c r="A402" i="101"/>
  <c r="A401" i="101"/>
  <c r="A400" i="101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546" i="102" l="1"/>
  <c r="I471" i="102"/>
  <c r="D351" i="102"/>
  <c r="I246" i="102"/>
  <c r="D161" i="102"/>
  <c r="D491" i="102"/>
  <c r="I386" i="102"/>
  <c r="D301" i="102"/>
  <c r="I196" i="102"/>
  <c r="D46" i="102"/>
  <c r="D481" i="102"/>
  <c r="I376" i="102"/>
  <c r="D281" i="102"/>
  <c r="I171" i="102"/>
  <c r="I546" i="102"/>
  <c r="D471" i="102"/>
  <c r="I351" i="102"/>
  <c r="D246" i="102"/>
  <c r="I161" i="102"/>
  <c r="I516" i="102"/>
  <c r="D431" i="102"/>
  <c r="I326" i="102"/>
  <c r="D221" i="102"/>
  <c r="I481" i="102"/>
  <c r="I431" i="102"/>
  <c r="I281" i="102"/>
  <c r="I221" i="102"/>
  <c r="D516" i="102"/>
  <c r="I301" i="102"/>
  <c r="D196" i="102"/>
  <c r="D171" i="102"/>
  <c r="I491" i="102"/>
  <c r="D386" i="102"/>
  <c r="D376" i="102"/>
  <c r="I71" i="102"/>
  <c r="I46" i="102"/>
  <c r="D326" i="102"/>
  <c r="I26" i="102"/>
  <c r="D71" i="102"/>
  <c r="D26" i="102"/>
  <c r="Q491" i="102"/>
  <c r="L386" i="102"/>
  <c r="Q301" i="102"/>
  <c r="L196" i="102"/>
  <c r="Q46" i="102"/>
  <c r="L546" i="102"/>
  <c r="Q471" i="102"/>
  <c r="L351" i="102"/>
  <c r="Q246" i="102"/>
  <c r="L161" i="102"/>
  <c r="L516" i="102"/>
  <c r="Q431" i="102"/>
  <c r="L326" i="102"/>
  <c r="Q221" i="102"/>
  <c r="L71" i="102"/>
  <c r="L491" i="102"/>
  <c r="Q386" i="102"/>
  <c r="L301" i="102"/>
  <c r="Q196" i="102"/>
  <c r="L46" i="102"/>
  <c r="L481" i="102"/>
  <c r="Q376" i="102"/>
  <c r="L281" i="102"/>
  <c r="Q546" i="102"/>
  <c r="Q161" i="102"/>
  <c r="Q481" i="102"/>
  <c r="L471" i="102"/>
  <c r="L171" i="102"/>
  <c r="L431" i="102"/>
  <c r="Q26" i="102"/>
  <c r="L26" i="102"/>
  <c r="Q16" i="102"/>
  <c r="Q281" i="102"/>
  <c r="L246" i="102"/>
  <c r="Q171" i="102"/>
  <c r="L221" i="102"/>
  <c r="Q351" i="102"/>
  <c r="Q326" i="102"/>
  <c r="Q71" i="102"/>
  <c r="Q516" i="102"/>
  <c r="L376" i="102"/>
  <c r="M16" i="102"/>
  <c r="R481" i="102"/>
  <c r="M376" i="102"/>
  <c r="R281" i="102"/>
  <c r="M171" i="102"/>
  <c r="R26" i="102"/>
  <c r="M546" i="102"/>
  <c r="M516" i="102"/>
  <c r="R431" i="102"/>
  <c r="M326" i="102"/>
  <c r="R221" i="102"/>
  <c r="M71" i="102"/>
  <c r="M491" i="102"/>
  <c r="R386" i="102"/>
  <c r="M301" i="102"/>
  <c r="R196" i="102"/>
  <c r="M46" i="102"/>
  <c r="M481" i="102"/>
  <c r="R376" i="102"/>
  <c r="M281" i="102"/>
  <c r="R171" i="102"/>
  <c r="M26" i="102"/>
  <c r="R546" i="102"/>
  <c r="M471" i="102"/>
  <c r="R351" i="102"/>
  <c r="M246" i="102"/>
  <c r="R246" i="102"/>
  <c r="R16" i="102"/>
  <c r="R301" i="102"/>
  <c r="M431" i="102"/>
  <c r="R71" i="102"/>
  <c r="R516" i="102"/>
  <c r="M351" i="102"/>
  <c r="R491" i="102"/>
  <c r="M221" i="102"/>
  <c r="R471" i="102"/>
  <c r="R326" i="102"/>
  <c r="R161" i="102"/>
  <c r="M196" i="102"/>
  <c r="M161" i="102"/>
  <c r="M386" i="102"/>
  <c r="R46" i="102"/>
  <c r="N16" i="102"/>
  <c r="N546" i="102"/>
  <c r="S471" i="102"/>
  <c r="N351" i="102"/>
  <c r="S246" i="102"/>
  <c r="N161" i="102"/>
  <c r="N491" i="102"/>
  <c r="S386" i="102"/>
  <c r="N301" i="102"/>
  <c r="S196" i="102"/>
  <c r="N46" i="102"/>
  <c r="N481" i="102"/>
  <c r="S376" i="102"/>
  <c r="N281" i="102"/>
  <c r="S171" i="102"/>
  <c r="S546" i="102"/>
  <c r="N471" i="102"/>
  <c r="S351" i="102"/>
  <c r="N246" i="102"/>
  <c r="S161" i="102"/>
  <c r="S516" i="102"/>
  <c r="N431" i="102"/>
  <c r="S326" i="102"/>
  <c r="N221" i="102"/>
  <c r="S221" i="102"/>
  <c r="N71" i="102"/>
  <c r="N26" i="102"/>
  <c r="N171" i="102"/>
  <c r="S26" i="102"/>
  <c r="S491" i="102"/>
  <c r="N376" i="102"/>
  <c r="S46" i="102"/>
  <c r="N516" i="102"/>
  <c r="S281" i="102"/>
  <c r="S431" i="102"/>
  <c r="S301" i="102"/>
  <c r="N196" i="102"/>
  <c r="S481" i="102"/>
  <c r="S71" i="102"/>
  <c r="N386" i="102"/>
  <c r="N326" i="102"/>
  <c r="S16" i="102"/>
  <c r="V16" i="102"/>
  <c r="V386" i="102"/>
  <c r="V196" i="102"/>
  <c r="V546" i="102"/>
  <c r="V351" i="102"/>
  <c r="V161" i="102"/>
  <c r="V516" i="102"/>
  <c r="V326" i="102"/>
  <c r="V71" i="102"/>
  <c r="V491" i="102"/>
  <c r="V301" i="102"/>
  <c r="V46" i="102"/>
  <c r="V481" i="102"/>
  <c r="V281" i="102"/>
  <c r="V171" i="102"/>
  <c r="V471" i="102"/>
  <c r="V431" i="102"/>
  <c r="V376" i="102"/>
  <c r="V26" i="102"/>
  <c r="V246" i="102"/>
  <c r="V221" i="102"/>
  <c r="W16" i="102"/>
  <c r="W376" i="102"/>
  <c r="W171" i="102"/>
  <c r="W546" i="102"/>
  <c r="W516" i="102"/>
  <c r="W326" i="102"/>
  <c r="W71" i="102"/>
  <c r="W491" i="102"/>
  <c r="W301" i="102"/>
  <c r="W46" i="102"/>
  <c r="W481" i="102"/>
  <c r="W281" i="102"/>
  <c r="W26" i="102"/>
  <c r="W471" i="102"/>
  <c r="W246" i="102"/>
  <c r="W431" i="102"/>
  <c r="W196" i="102"/>
  <c r="W221" i="102"/>
  <c r="W161" i="102"/>
  <c r="W351" i="102"/>
  <c r="W386" i="102"/>
  <c r="G491" i="102"/>
  <c r="B386" i="102"/>
  <c r="G301" i="102"/>
  <c r="B196" i="102"/>
  <c r="G46" i="102"/>
  <c r="B546" i="102"/>
  <c r="G471" i="102"/>
  <c r="B351" i="102"/>
  <c r="G246" i="102"/>
  <c r="B161" i="102"/>
  <c r="B516" i="102"/>
  <c r="G431" i="102"/>
  <c r="B326" i="102"/>
  <c r="G221" i="102"/>
  <c r="B71" i="102"/>
  <c r="B491" i="102"/>
  <c r="G386" i="102"/>
  <c r="B301" i="102"/>
  <c r="G196" i="102"/>
  <c r="B46" i="102"/>
  <c r="B481" i="102"/>
  <c r="G376" i="102"/>
  <c r="B281" i="102"/>
  <c r="G351" i="102"/>
  <c r="B221" i="102"/>
  <c r="G71" i="102"/>
  <c r="G26" i="102"/>
  <c r="G281" i="102"/>
  <c r="B246" i="102"/>
  <c r="B26" i="102"/>
  <c r="G481" i="102"/>
  <c r="B471" i="102"/>
  <c r="G326" i="102"/>
  <c r="G161" i="102"/>
  <c r="B171" i="102"/>
  <c r="G546" i="102"/>
  <c r="B431" i="102"/>
  <c r="B376" i="102"/>
  <c r="G516" i="102"/>
  <c r="G171" i="102"/>
  <c r="X16" i="102"/>
  <c r="X546" i="102"/>
  <c r="X351" i="102"/>
  <c r="X161" i="102"/>
  <c r="X491" i="102"/>
  <c r="X301" i="102"/>
  <c r="X46" i="102"/>
  <c r="X481" i="102"/>
  <c r="X281" i="102"/>
  <c r="X26" i="102"/>
  <c r="X471" i="102"/>
  <c r="X246" i="102"/>
  <c r="X431" i="102"/>
  <c r="X221" i="102"/>
  <c r="X171" i="102"/>
  <c r="X326" i="102"/>
  <c r="X386" i="102"/>
  <c r="X376" i="102"/>
  <c r="X71" i="102"/>
  <c r="X516" i="102"/>
  <c r="X196" i="102"/>
  <c r="H481" i="102"/>
  <c r="C376" i="102"/>
  <c r="H281" i="102"/>
  <c r="C171" i="102"/>
  <c r="H26" i="102"/>
  <c r="C516" i="102"/>
  <c r="H431" i="102"/>
  <c r="C326" i="102"/>
  <c r="H221" i="102"/>
  <c r="C71" i="102"/>
  <c r="C491" i="102"/>
  <c r="H386" i="102"/>
  <c r="C301" i="102"/>
  <c r="H196" i="102"/>
  <c r="C46" i="102"/>
  <c r="C481" i="102"/>
  <c r="H376" i="102"/>
  <c r="C281" i="102"/>
  <c r="H171" i="102"/>
  <c r="C26" i="102"/>
  <c r="H546" i="102"/>
  <c r="C471" i="102"/>
  <c r="H351" i="102"/>
  <c r="C246" i="102"/>
  <c r="H326" i="102"/>
  <c r="H301" i="102"/>
  <c r="C196" i="102"/>
  <c r="H161" i="102"/>
  <c r="C546" i="102"/>
  <c r="C221" i="102"/>
  <c r="C431" i="102"/>
  <c r="C351" i="102"/>
  <c r="H516" i="102"/>
  <c r="H491" i="102"/>
  <c r="C386" i="102"/>
  <c r="C161" i="102"/>
  <c r="H71" i="102"/>
  <c r="H46" i="102"/>
  <c r="H246" i="102"/>
  <c r="H471" i="102"/>
  <c r="B16" i="102"/>
  <c r="G16" i="102"/>
  <c r="C16" i="102"/>
  <c r="H16" i="102"/>
  <c r="D16" i="102"/>
  <c r="I16" i="102"/>
  <c r="L16" i="102"/>
  <c r="A1281" i="101"/>
  <c r="A1264" i="101"/>
  <c r="A1247" i="101"/>
  <c r="A1230" i="101"/>
  <c r="A1213" i="101"/>
  <c r="A1196" i="101"/>
  <c r="A1179" i="101"/>
  <c r="A1162" i="101"/>
  <c r="A1145" i="101"/>
  <c r="A1128" i="101"/>
  <c r="A1111" i="101"/>
  <c r="A1094" i="101"/>
  <c r="A1077" i="101"/>
  <c r="A1060" i="101"/>
  <c r="A1043" i="101"/>
  <c r="A1026" i="101"/>
  <c r="A1009" i="101"/>
  <c r="A992" i="101"/>
  <c r="A975" i="101"/>
  <c r="A958" i="101"/>
  <c r="A941" i="101"/>
  <c r="A924" i="101"/>
  <c r="A907" i="101"/>
  <c r="A890" i="101"/>
  <c r="A873" i="101"/>
  <c r="A856" i="101"/>
  <c r="A839" i="101"/>
  <c r="A822" i="101"/>
  <c r="A805" i="101"/>
  <c r="A788" i="101"/>
  <c r="A771" i="101"/>
  <c r="A754" i="101"/>
  <c r="A737" i="101"/>
  <c r="A720" i="101"/>
  <c r="A703" i="101"/>
  <c r="A686" i="101"/>
  <c r="A669" i="101"/>
  <c r="A652" i="101"/>
  <c r="A635" i="101"/>
  <c r="A618" i="101"/>
  <c r="A601" i="101"/>
  <c r="A584" i="101"/>
  <c r="A567" i="101"/>
  <c r="A550" i="101"/>
  <c r="A533" i="101"/>
  <c r="A516" i="101"/>
  <c r="A499" i="101"/>
  <c r="A482" i="101"/>
  <c r="A465" i="101"/>
  <c r="A448" i="101"/>
  <c r="A431" i="101"/>
  <c r="A414" i="101"/>
  <c r="A397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J1281" i="101"/>
  <c r="F1281" i="101"/>
  <c r="B1281" i="101"/>
  <c r="J1264" i="101"/>
  <c r="F1264" i="101"/>
  <c r="B1264" i="101"/>
  <c r="J1247" i="101"/>
  <c r="F1247" i="101"/>
  <c r="B1247" i="101"/>
  <c r="J1230" i="101"/>
  <c r="F1230" i="101"/>
  <c r="B1230" i="101"/>
  <c r="J1213" i="101"/>
  <c r="F1213" i="101"/>
  <c r="B1213" i="101"/>
  <c r="J1196" i="101"/>
  <c r="F1196" i="101"/>
  <c r="B1196" i="101"/>
  <c r="J1179" i="101"/>
  <c r="F1179" i="101"/>
  <c r="B1179" i="101"/>
  <c r="J1162" i="101"/>
  <c r="F1162" i="101"/>
  <c r="B1162" i="101"/>
  <c r="J1145" i="101"/>
  <c r="F1145" i="101"/>
  <c r="B1145" i="101"/>
  <c r="J1128" i="101"/>
  <c r="F1128" i="101"/>
  <c r="B1128" i="101"/>
  <c r="J1111" i="101"/>
  <c r="F1111" i="101"/>
  <c r="B1111" i="101"/>
  <c r="J1094" i="101"/>
  <c r="F1094" i="101"/>
  <c r="B1094" i="101"/>
  <c r="J1077" i="101"/>
  <c r="F1077" i="101"/>
  <c r="B1077" i="101"/>
  <c r="J1060" i="101"/>
  <c r="F1060" i="101"/>
  <c r="B1060" i="101"/>
  <c r="J1043" i="101"/>
  <c r="F1043" i="101"/>
  <c r="B1043" i="101"/>
  <c r="J1026" i="101"/>
  <c r="F1026" i="101"/>
  <c r="B1026" i="101"/>
  <c r="J1009" i="101"/>
  <c r="F1009" i="101"/>
  <c r="B1009" i="101"/>
  <c r="J992" i="101"/>
  <c r="F992" i="101"/>
  <c r="B992" i="101"/>
  <c r="J975" i="101"/>
  <c r="F975" i="101"/>
  <c r="B975" i="101"/>
  <c r="J958" i="101"/>
  <c r="F958" i="101"/>
  <c r="B958" i="101"/>
  <c r="J941" i="101"/>
  <c r="F941" i="101"/>
  <c r="B941" i="101"/>
  <c r="J924" i="101"/>
  <c r="F924" i="101"/>
  <c r="B924" i="101"/>
  <c r="J907" i="101"/>
  <c r="F907" i="101"/>
  <c r="B907" i="101"/>
  <c r="J890" i="101"/>
  <c r="F890" i="101"/>
  <c r="B890" i="101"/>
  <c r="J873" i="101"/>
  <c r="F873" i="101"/>
  <c r="B873" i="101"/>
  <c r="J856" i="101"/>
  <c r="F856" i="101"/>
  <c r="B856" i="101"/>
  <c r="J839" i="101"/>
  <c r="F839" i="101"/>
  <c r="B839" i="101"/>
  <c r="J822" i="101"/>
  <c r="F822" i="101"/>
  <c r="B822" i="101"/>
  <c r="J805" i="101"/>
  <c r="F805" i="101"/>
  <c r="B805" i="101"/>
  <c r="J788" i="101"/>
  <c r="F788" i="101"/>
  <c r="B788" i="101"/>
  <c r="J771" i="101"/>
  <c r="F771" i="101"/>
  <c r="B771" i="101"/>
  <c r="A23" i="101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J397" i="101" s="1"/>
  <c r="J414" i="101" s="1"/>
  <c r="J431" i="101" s="1"/>
  <c r="J448" i="101" s="1"/>
  <c r="J465" i="101" s="1"/>
  <c r="J482" i="101" s="1"/>
  <c r="J499" i="101" s="1"/>
  <c r="J516" i="101" s="1"/>
  <c r="J533" i="101" s="1"/>
  <c r="J550" i="101" s="1"/>
  <c r="J567" i="101" s="1"/>
  <c r="J584" i="101" s="1"/>
  <c r="J601" i="101" s="1"/>
  <c r="J618" i="101" s="1"/>
  <c r="J635" i="101" s="1"/>
  <c r="J652" i="101" s="1"/>
  <c r="J669" i="101" s="1"/>
  <c r="J686" i="101" s="1"/>
  <c r="J703" i="101" s="1"/>
  <c r="J720" i="101" s="1"/>
  <c r="J737" i="101" s="1"/>
  <c r="J754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F397" i="101" s="1"/>
  <c r="F414" i="101" s="1"/>
  <c r="F431" i="101" s="1"/>
  <c r="F448" i="101" s="1"/>
  <c r="F465" i="101" s="1"/>
  <c r="F482" i="101" s="1"/>
  <c r="F499" i="101" s="1"/>
  <c r="F516" i="101" s="1"/>
  <c r="F533" i="101" s="1"/>
  <c r="F550" i="101" s="1"/>
  <c r="F567" i="101" s="1"/>
  <c r="F584" i="101" s="1"/>
  <c r="F601" i="101" s="1"/>
  <c r="F618" i="101" s="1"/>
  <c r="F635" i="101" s="1"/>
  <c r="F652" i="101" s="1"/>
  <c r="F669" i="101" s="1"/>
  <c r="F686" i="101" s="1"/>
  <c r="F703" i="101" s="1"/>
  <c r="F720" i="101" s="1"/>
  <c r="F737" i="101" s="1"/>
  <c r="F754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I8" i="79"/>
  <c r="I35" i="79" s="1"/>
  <c r="H8" i="79"/>
  <c r="H35" i="79" s="1"/>
  <c r="G8" i="79"/>
  <c r="G35" i="79" s="1"/>
  <c r="F8" i="79"/>
  <c r="F35" i="79" s="1"/>
  <c r="E8" i="79"/>
  <c r="E35" i="79" s="1"/>
  <c r="D8" i="79"/>
  <c r="D35" i="79" s="1"/>
  <c r="C8" i="79"/>
  <c r="C35" i="79" s="1"/>
  <c r="B8" i="79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B35" i="79" l="1"/>
  <c r="K8" i="79"/>
  <c r="S33" i="79"/>
  <c r="AF8" i="79" l="1"/>
  <c r="T17" i="79"/>
  <c r="T33" i="79"/>
  <c r="U25" i="79"/>
  <c r="U33" i="79"/>
  <c r="P19" i="79"/>
  <c r="P33" i="79"/>
  <c r="R9" i="79"/>
  <c r="R33" i="79"/>
  <c r="Q31" i="79"/>
  <c r="Q33" i="79"/>
  <c r="U30" i="79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55" i="78" s="1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64" i="78" s="1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53" i="78" s="1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R27" i="78"/>
  <c r="CR64" i="78" s="1"/>
  <c r="CR101" i="78" s="1"/>
  <c r="CR26" i="78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G17" i="78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G9" i="78"/>
  <c r="CG46" i="78" s="1"/>
  <c r="CG83" i="78" s="1"/>
  <c r="CG8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BA66" i="78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E101" i="78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L107" i="49" s="1" a="1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H82" i="78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46" i="78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2" i="76"/>
  <c r="M5" i="76"/>
  <c r="N5" i="76"/>
  <c r="O5" i="76"/>
  <c r="P5" i="76"/>
  <c r="M9" i="76"/>
  <c r="N9" i="76"/>
  <c r="O9" i="76"/>
  <c r="P9" i="76"/>
  <c r="N15" i="76"/>
  <c r="O15" i="76"/>
  <c r="P15" i="76"/>
  <c r="M26" i="76"/>
  <c r="M37" i="76"/>
  <c r="N37" i="76"/>
  <c r="O37" i="76"/>
  <c r="P37" i="76"/>
  <c r="M41" i="76"/>
  <c r="N41" i="76"/>
  <c r="O41" i="76"/>
  <c r="P41" i="76"/>
  <c r="M45" i="76"/>
  <c r="N45" i="76"/>
  <c r="O45" i="76"/>
  <c r="P4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BX24" i="78" l="1"/>
  <c r="BX61" i="78" s="1"/>
  <c r="BX98" i="78" s="1"/>
  <c r="CI17" i="78"/>
  <c r="CI54" i="78" s="1"/>
  <c r="CI91" i="78" s="1"/>
  <c r="CT8" i="78"/>
  <c r="CT45" i="78" s="1"/>
  <c r="CT82" i="78" s="1"/>
  <c r="CH91" i="78"/>
  <c r="CT26" i="78"/>
  <c r="CT63" i="78" s="1"/>
  <c r="CT100" i="78" s="1"/>
  <c r="AQ28" i="78"/>
  <c r="AQ65" i="78" s="1"/>
  <c r="AQ102" i="78" s="1"/>
  <c r="CS100" i="78"/>
  <c r="AP102" i="78"/>
  <c r="L85" i="49" a="1"/>
  <c r="L63" i="49" a="1"/>
  <c r="L96" i="49" a="1"/>
  <c r="L74" i="49" a="1"/>
  <c r="L107" i="49"/>
  <c r="L113" i="49"/>
  <c r="L114" i="49"/>
  <c r="L112" i="49"/>
  <c r="L111" i="49"/>
  <c r="L110" i="49"/>
  <c r="L109" i="49"/>
  <c r="L108" i="49"/>
  <c r="L115" i="49"/>
  <c r="CS35" i="78"/>
  <c r="CT35" i="78" s="1"/>
  <c r="BL35" i="78"/>
  <c r="BM35" i="78" s="1"/>
  <c r="CH82" i="78"/>
  <c r="CH35" i="78"/>
  <c r="CI35" i="78" s="1"/>
  <c r="CS45" i="78"/>
  <c r="T82" i="78"/>
  <c r="BW82" i="78"/>
  <c r="BW35" i="78"/>
  <c r="BX35" i="78" s="1"/>
  <c r="AE35" i="78"/>
  <c r="AF35" i="78" s="1"/>
  <c r="AP82" i="78"/>
  <c r="AP35" i="78"/>
  <c r="AQ35" i="78" s="1"/>
  <c r="BA45" i="78"/>
  <c r="BA35" i="78"/>
  <c r="BB35" i="78" s="1"/>
  <c r="F210" i="49"/>
  <c r="D236" i="49"/>
  <c r="F239" i="49"/>
  <c r="D265" i="49"/>
  <c r="F268" i="49"/>
  <c r="D294" i="49"/>
  <c r="D178" i="49"/>
  <c r="F181" i="49"/>
  <c r="D207" i="49"/>
  <c r="BL96" i="78"/>
  <c r="CS47" i="78"/>
  <c r="AQ20" i="78"/>
  <c r="AQ57" i="78" s="1"/>
  <c r="AQ94" i="78" s="1"/>
  <c r="AE56" i="78"/>
  <c r="CS106" i="78"/>
  <c r="CH83" i="78"/>
  <c r="BW62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N26" i="76"/>
  <c r="P26" i="76"/>
  <c r="M22" i="76"/>
  <c r="M49" i="76" s="1"/>
  <c r="O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G207" i="49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G236" i="49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2" i="78"/>
  <c r="G265" i="49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G178" i="49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N63" i="49" l="1" a="1"/>
  <c r="N63" i="49" s="1"/>
  <c r="F294" i="49"/>
  <c r="N107" i="49" a="1"/>
  <c r="F265" i="49"/>
  <c r="N96" i="49" a="1"/>
  <c r="N85" i="49" a="1"/>
  <c r="L75" i="49"/>
  <c r="L74" i="49"/>
  <c r="L78" i="49"/>
  <c r="L81" i="49"/>
  <c r="L82" i="49"/>
  <c r="L79" i="49"/>
  <c r="L77" i="49"/>
  <c r="L80" i="49"/>
  <c r="L76" i="49"/>
  <c r="N74" i="49" a="1"/>
  <c r="L96" i="49"/>
  <c r="L101" i="49"/>
  <c r="L103" i="49"/>
  <c r="L97" i="49"/>
  <c r="L102" i="49"/>
  <c r="L100" i="49"/>
  <c r="L98" i="49"/>
  <c r="L104" i="49"/>
  <c r="L99" i="49"/>
  <c r="L63" i="49"/>
  <c r="L69" i="49"/>
  <c r="L70" i="49"/>
  <c r="L67" i="49"/>
  <c r="L66" i="49"/>
  <c r="L65" i="49"/>
  <c r="L71" i="49"/>
  <c r="L68" i="49"/>
  <c r="L64" i="49"/>
  <c r="L85" i="49"/>
  <c r="L92" i="49"/>
  <c r="L86" i="49"/>
  <c r="L93" i="49"/>
  <c r="L91" i="49"/>
  <c r="L87" i="49"/>
  <c r="L90" i="49"/>
  <c r="L89" i="49"/>
  <c r="L88" i="49"/>
  <c r="M82" i="76"/>
  <c r="M79" i="76"/>
  <c r="F178" i="49"/>
  <c r="F207" i="49"/>
  <c r="F236" i="49"/>
  <c r="P22" i="76"/>
  <c r="O22" i="76"/>
  <c r="N22" i="76"/>
  <c r="CT58" i="78"/>
  <c r="CT95" i="78" s="1"/>
  <c r="H4" i="71"/>
  <c r="M2" i="21"/>
  <c r="M11" i="21"/>
  <c r="N11" i="21"/>
  <c r="O11" i="21"/>
  <c r="P11" i="21"/>
  <c r="M18" i="21"/>
  <c r="N18" i="21"/>
  <c r="O18" i="21"/>
  <c r="P18" i="21"/>
  <c r="N33" i="21"/>
  <c r="O33" i="21"/>
  <c r="P33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N69" i="49" l="1"/>
  <c r="N71" i="49"/>
  <c r="N64" i="49"/>
  <c r="N65" i="49"/>
  <c r="N66" i="49"/>
  <c r="N67" i="49"/>
  <c r="N68" i="49"/>
  <c r="N70" i="49"/>
  <c r="N74" i="49"/>
  <c r="N81" i="49"/>
  <c r="N76" i="49"/>
  <c r="N75" i="49"/>
  <c r="N82" i="49"/>
  <c r="N80" i="49"/>
  <c r="N79" i="49"/>
  <c r="N77" i="49"/>
  <c r="N78" i="49"/>
  <c r="N85" i="49"/>
  <c r="N91" i="49"/>
  <c r="N90" i="49"/>
  <c r="N88" i="49"/>
  <c r="N87" i="49"/>
  <c r="N89" i="49"/>
  <c r="N86" i="49"/>
  <c r="N93" i="49"/>
  <c r="N92" i="49"/>
  <c r="N99" i="49"/>
  <c r="N96" i="49"/>
  <c r="N97" i="49"/>
  <c r="N98" i="49"/>
  <c r="N101" i="49"/>
  <c r="N103" i="49"/>
  <c r="N104" i="49"/>
  <c r="N102" i="49"/>
  <c r="N100" i="49"/>
  <c r="L52" i="49" a="1"/>
  <c r="N107" i="49"/>
  <c r="N114" i="49"/>
  <c r="N115" i="49"/>
  <c r="N113" i="49"/>
  <c r="N112" i="49"/>
  <c r="N111" i="49"/>
  <c r="N110" i="49"/>
  <c r="N108" i="49"/>
  <c r="N109" i="49"/>
  <c r="M86" i="76"/>
  <c r="F123" i="49"/>
  <c r="D149" i="49"/>
  <c r="S78" i="71"/>
  <c r="AD78" i="71"/>
  <c r="AD41" i="71"/>
  <c r="S41" i="71"/>
  <c r="N49" i="76"/>
  <c r="N82" i="76" s="1"/>
  <c r="M53" i="76"/>
  <c r="M58" i="76"/>
  <c r="M63" i="76"/>
  <c r="M67" i="76"/>
  <c r="M77" i="76"/>
  <c r="M89" i="76"/>
  <c r="M94" i="76"/>
  <c r="M57" i="76"/>
  <c r="M66" i="76"/>
  <c r="M71" i="76"/>
  <c r="M76" i="76"/>
  <c r="M60" i="76"/>
  <c r="M65" i="76"/>
  <c r="M70" i="76"/>
  <c r="M75" i="76"/>
  <c r="M80" i="76"/>
  <c r="M74" i="76"/>
  <c r="M85" i="76"/>
  <c r="M54" i="76"/>
  <c r="M59" i="76"/>
  <c r="M64" i="76"/>
  <c r="M96" i="76"/>
  <c r="M93" i="76"/>
  <c r="M81" i="76"/>
  <c r="M90" i="76"/>
  <c r="M62" i="76"/>
  <c r="M92" i="76"/>
  <c r="M84" i="76"/>
  <c r="M52" i="76"/>
  <c r="M56" i="76"/>
  <c r="M88" i="76"/>
  <c r="M73" i="76"/>
  <c r="P49" i="76"/>
  <c r="P82" i="76" s="1"/>
  <c r="O49" i="76"/>
  <c r="O82" i="76" s="1"/>
  <c r="M69" i="76"/>
  <c r="M38" i="21"/>
  <c r="P38" i="21"/>
  <c r="N38" i="21"/>
  <c r="O38" i="21"/>
  <c r="G149" i="49"/>
  <c r="F149" i="49" l="1"/>
  <c r="N52" i="49" a="1"/>
  <c r="L52" i="49"/>
  <c r="L59" i="49"/>
  <c r="L58" i="49"/>
  <c r="L57" i="49"/>
  <c r="L55" i="49"/>
  <c r="L56" i="49"/>
  <c r="L54" i="49"/>
  <c r="L53" i="49"/>
  <c r="L60" i="49"/>
  <c r="O53" i="76"/>
  <c r="O63" i="76"/>
  <c r="O67" i="76"/>
  <c r="O77" i="76"/>
  <c r="O58" i="76"/>
  <c r="O71" i="76"/>
  <c r="O76" i="76"/>
  <c r="O57" i="76"/>
  <c r="O66" i="76"/>
  <c r="O81" i="76"/>
  <c r="O60" i="76"/>
  <c r="O65" i="76"/>
  <c r="O70" i="76"/>
  <c r="O75" i="76"/>
  <c r="O80" i="76"/>
  <c r="O86" i="76"/>
  <c r="O54" i="76"/>
  <c r="O59" i="76"/>
  <c r="O64" i="76"/>
  <c r="O96" i="76"/>
  <c r="O90" i="76"/>
  <c r="O74" i="76"/>
  <c r="O94" i="76"/>
  <c r="O93" i="76"/>
  <c r="O89" i="76"/>
  <c r="O85" i="76"/>
  <c r="O52" i="76"/>
  <c r="O84" i="76"/>
  <c r="O88" i="76"/>
  <c r="O56" i="76"/>
  <c r="O79" i="76"/>
  <c r="O92" i="76"/>
  <c r="O62" i="76"/>
  <c r="O73" i="76"/>
  <c r="O69" i="76"/>
  <c r="P54" i="76"/>
  <c r="P59" i="76"/>
  <c r="P64" i="76"/>
  <c r="P74" i="76"/>
  <c r="P85" i="76"/>
  <c r="P90" i="76"/>
  <c r="P96" i="76"/>
  <c r="P53" i="76"/>
  <c r="P58" i="76"/>
  <c r="P63" i="76"/>
  <c r="P67" i="76"/>
  <c r="P77" i="76"/>
  <c r="P57" i="76"/>
  <c r="P66" i="76"/>
  <c r="P71" i="76"/>
  <c r="P76" i="76"/>
  <c r="P81" i="76"/>
  <c r="P93" i="76"/>
  <c r="P86" i="76"/>
  <c r="P60" i="76"/>
  <c r="P65" i="76"/>
  <c r="P70" i="76"/>
  <c r="P75" i="76"/>
  <c r="P80" i="76"/>
  <c r="P94" i="76"/>
  <c r="P89" i="76"/>
  <c r="P92" i="76"/>
  <c r="P62" i="76"/>
  <c r="P52" i="76"/>
  <c r="P56" i="76"/>
  <c r="P79" i="76"/>
  <c r="P88" i="76"/>
  <c r="P84" i="76"/>
  <c r="P73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4" i="76"/>
  <c r="N59" i="76"/>
  <c r="N64" i="76"/>
  <c r="N74" i="76"/>
  <c r="N85" i="76"/>
  <c r="N90" i="76"/>
  <c r="N96" i="76"/>
  <c r="N92" i="76"/>
  <c r="N79" i="76"/>
  <c r="N84" i="76"/>
  <c r="N52" i="76"/>
  <c r="N56" i="76"/>
  <c r="N88" i="76"/>
  <c r="N62" i="76"/>
  <c r="N73" i="76"/>
  <c r="P69" i="76"/>
  <c r="N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2" i="49"/>
  <c r="N54" i="49"/>
  <c r="N59" i="49"/>
  <c r="N60" i="49"/>
  <c r="N55" i="49"/>
  <c r="N58" i="49"/>
  <c r="N56" i="49"/>
  <c r="N57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I72" i="78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Q72" i="78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M72" i="78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BB72" i="78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X72" i="78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D46" i="52" l="1"/>
  <c r="AL46" i="52"/>
  <c r="Z46" i="52"/>
  <c r="R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Q45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Q41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Q37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AE15" i="76"/>
  <c r="AF15" i="76"/>
  <c r="AG15" i="76"/>
  <c r="Q15" i="76"/>
  <c r="Q9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AE5" i="76"/>
  <c r="AF5" i="76"/>
  <c r="AG5" i="76"/>
  <c r="Q5" i="76"/>
  <c r="B35" i="18" l="1"/>
  <c r="C35" i="18"/>
  <c r="D35" i="18"/>
  <c r="E35" i="18"/>
  <c r="F35" i="18"/>
  <c r="B36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B331" i="97"/>
  <c r="B323" i="97"/>
  <c r="C323" i="97"/>
  <c r="D323" i="97"/>
  <c r="E323" i="97"/>
  <c r="B324" i="97"/>
  <c r="C324" i="97"/>
  <c r="D324" i="97"/>
  <c r="E324" i="97"/>
  <c r="B325" i="97"/>
  <c r="C325" i="97"/>
  <c r="D325" i="97"/>
  <c r="E325" i="97"/>
  <c r="B326" i="97"/>
  <c r="C326" i="97"/>
  <c r="D326" i="97"/>
  <c r="E326" i="97"/>
  <c r="B327" i="97"/>
  <c r="C327" i="97"/>
  <c r="D327" i="97"/>
  <c r="E327" i="97"/>
  <c r="B328" i="97"/>
  <c r="C328" i="97"/>
  <c r="D328" i="97"/>
  <c r="E328" i="97"/>
  <c r="B329" i="97"/>
  <c r="C329" i="97"/>
  <c r="D329" i="97"/>
  <c r="E329" i="97"/>
  <c r="B330" i="97"/>
  <c r="C330" i="97"/>
  <c r="D330" i="97"/>
  <c r="E330" i="97"/>
  <c r="C331" i="97"/>
  <c r="D331" i="97"/>
  <c r="E331" i="97"/>
  <c r="B247" i="97"/>
  <c r="B239" i="97"/>
  <c r="C239" i="97"/>
  <c r="D239" i="97"/>
  <c r="E239" i="97"/>
  <c r="B240" i="97"/>
  <c r="C240" i="97"/>
  <c r="D240" i="97"/>
  <c r="E240" i="97"/>
  <c r="B241" i="97"/>
  <c r="C241" i="97"/>
  <c r="D241" i="97"/>
  <c r="E241" i="97"/>
  <c r="B242" i="97"/>
  <c r="C242" i="97"/>
  <c r="D242" i="97"/>
  <c r="E242" i="97"/>
  <c r="B243" i="97"/>
  <c r="C243" i="97"/>
  <c r="D243" i="97"/>
  <c r="E243" i="97"/>
  <c r="B244" i="97"/>
  <c r="C244" i="97"/>
  <c r="D244" i="97"/>
  <c r="E244" i="97"/>
  <c r="B245" i="97"/>
  <c r="C245" i="97"/>
  <c r="D245" i="97"/>
  <c r="E245" i="97"/>
  <c r="B246" i="97"/>
  <c r="C246" i="97"/>
  <c r="D246" i="97"/>
  <c r="E246" i="97"/>
  <c r="C247" i="97"/>
  <c r="D247" i="97"/>
  <c r="E247" i="97"/>
  <c r="B81" i="97"/>
  <c r="B165" i="97" s="1"/>
  <c r="F5" i="12" a="1"/>
  <c r="F5" i="12" s="1"/>
  <c r="E5" i="12" a="1"/>
  <c r="E5" i="12" s="1"/>
  <c r="D5" i="12" a="1"/>
  <c r="D5" i="12" s="1"/>
  <c r="C5" i="12" a="1"/>
  <c r="C5" i="12" s="1"/>
  <c r="B5" i="12" a="1"/>
  <c r="B8" i="12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F7" i="11" a="1"/>
  <c r="F8" i="11" s="1"/>
  <c r="E7" i="11" a="1"/>
  <c r="E7" i="11" s="1"/>
  <c r="D7" i="11" a="1"/>
  <c r="D7" i="11" s="1"/>
  <c r="C7" i="11" a="1"/>
  <c r="C8" i="11" s="1"/>
  <c r="B7" i="11" a="1"/>
  <c r="B7" i="11" s="1"/>
  <c r="C81" i="97"/>
  <c r="C157" i="97" s="1"/>
  <c r="D81" i="97"/>
  <c r="E81" i="97"/>
  <c r="E155" i="97" s="1"/>
  <c r="F81" i="97"/>
  <c r="A79" i="97"/>
  <c r="A163" i="97" s="1"/>
  <c r="A76" i="97"/>
  <c r="A160" i="97" s="1"/>
  <c r="A77" i="97"/>
  <c r="A161" i="97" s="1"/>
  <c r="A78" i="97"/>
  <c r="A162" i="97" s="1"/>
  <c r="A71" i="97"/>
  <c r="A155" i="97" s="1"/>
  <c r="A72" i="97"/>
  <c r="A156" i="97" s="1"/>
  <c r="A73" i="97"/>
  <c r="A157" i="97" s="1"/>
  <c r="A74" i="97"/>
  <c r="A158" i="97" s="1"/>
  <c r="A75" i="97"/>
  <c r="A159" i="97" s="1"/>
  <c r="F90" i="12" l="1"/>
  <c r="F158" i="97"/>
  <c r="F333" i="97"/>
  <c r="D160" i="97"/>
  <c r="F249" i="97"/>
  <c r="H26" i="16"/>
  <c r="J9" i="18"/>
  <c r="A35" i="18"/>
  <c r="A170" i="71"/>
  <c r="A32" i="18"/>
  <c r="A169" i="71"/>
  <c r="A14" i="18"/>
  <c r="A157" i="71"/>
  <c r="A31" i="18"/>
  <c r="A168" i="71"/>
  <c r="A13" i="18"/>
  <c r="A156" i="71"/>
  <c r="A15" i="18"/>
  <c r="A12" i="18"/>
  <c r="A155" i="71"/>
  <c r="A19" i="18"/>
  <c r="A29" i="18"/>
  <c r="A166" i="71"/>
  <c r="A9" i="18"/>
  <c r="L54" i="76" s="1"/>
  <c r="A154" i="71"/>
  <c r="A177" i="71"/>
  <c r="A26" i="18"/>
  <c r="A165" i="71"/>
  <c r="A176" i="71"/>
  <c r="A175" i="71"/>
  <c r="A22" i="18"/>
  <c r="A163" i="71"/>
  <c r="A174" i="71"/>
  <c r="A21" i="18"/>
  <c r="A162" i="71"/>
  <c r="A173" i="71"/>
  <c r="A20" i="18"/>
  <c r="A161" i="71"/>
  <c r="M153" i="75"/>
  <c r="A172" i="71"/>
  <c r="A36" i="18"/>
  <c r="A171" i="71"/>
  <c r="A18" i="18"/>
  <c r="A159" i="71"/>
  <c r="A30" i="18"/>
  <c r="I20" i="11"/>
  <c r="L22" i="18"/>
  <c r="N266" i="21"/>
  <c r="N153" i="75"/>
  <c r="X4" i="106"/>
  <c r="Z4" i="106"/>
  <c r="Y4" i="106"/>
  <c r="AB4" i="106"/>
  <c r="AC4" i="106"/>
  <c r="AA4" i="106"/>
  <c r="L7" i="7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7" i="97"/>
  <c r="A32" i="15"/>
  <c r="A114" i="15" s="1"/>
  <c r="A111" i="12"/>
  <c r="A331" i="97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C160" i="97"/>
  <c r="K8" i="18"/>
  <c r="L8" i="18"/>
  <c r="D158" i="97"/>
  <c r="L15" i="18"/>
  <c r="L18" i="18"/>
  <c r="L36" i="18"/>
  <c r="L45" i="18"/>
  <c r="C155" i="97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329" i="97"/>
  <c r="C158" i="97"/>
  <c r="A243" i="97"/>
  <c r="A330" i="97"/>
  <c r="A326" i="97"/>
  <c r="B158" i="97"/>
  <c r="A323" i="97"/>
  <c r="B157" i="97"/>
  <c r="A324" i="97"/>
  <c r="B162" i="97"/>
  <c r="D155" i="97"/>
  <c r="A325" i="97"/>
  <c r="B160" i="97"/>
  <c r="B155" i="97"/>
  <c r="E158" i="97"/>
  <c r="B163" i="97"/>
  <c r="B249" i="97"/>
  <c r="A328" i="97"/>
  <c r="A244" i="97"/>
  <c r="A240" i="97"/>
  <c r="E163" i="97"/>
  <c r="F156" i="97"/>
  <c r="A241" i="97"/>
  <c r="C161" i="97"/>
  <c r="F157" i="97"/>
  <c r="E162" i="97"/>
  <c r="F160" i="97"/>
  <c r="C159" i="97"/>
  <c r="E157" i="97"/>
  <c r="B156" i="97"/>
  <c r="A245" i="97"/>
  <c r="D163" i="97"/>
  <c r="E161" i="97"/>
  <c r="F159" i="97"/>
  <c r="E156" i="97"/>
  <c r="A242" i="97"/>
  <c r="F162" i="97"/>
  <c r="D159" i="97"/>
  <c r="C156" i="97"/>
  <c r="D162" i="97"/>
  <c r="E160" i="97"/>
  <c r="B159" i="97"/>
  <c r="D157" i="97"/>
  <c r="F155" i="97"/>
  <c r="A246" i="97"/>
  <c r="F163" i="97"/>
  <c r="F161" i="97"/>
  <c r="C163" i="97"/>
  <c r="D161" i="97"/>
  <c r="E159" i="97"/>
  <c r="D156" i="97"/>
  <c r="C162" i="97"/>
  <c r="A239" i="97"/>
  <c r="A247" i="97"/>
  <c r="B161" i="97"/>
  <c r="A106" i="12"/>
  <c r="A107" i="12"/>
  <c r="A108" i="12"/>
  <c r="A109" i="12"/>
  <c r="A110" i="12"/>
  <c r="A83" i="12"/>
  <c r="A79" i="12"/>
  <c r="A80" i="12"/>
  <c r="A81" i="12"/>
  <c r="A82" i="12"/>
  <c r="A84" i="12"/>
  <c r="F8" i="12"/>
  <c r="F23" i="12"/>
  <c r="F15" i="12"/>
  <c r="F7" i="12"/>
  <c r="F12" i="12"/>
  <c r="F19" i="12"/>
  <c r="F18" i="12"/>
  <c r="F25" i="12"/>
  <c r="F17" i="12"/>
  <c r="F16" i="12"/>
  <c r="F22" i="12"/>
  <c r="F14" i="12"/>
  <c r="F6" i="12"/>
  <c r="F20" i="12"/>
  <c r="F11" i="12"/>
  <c r="F26" i="12"/>
  <c r="F10" i="12"/>
  <c r="F9" i="12"/>
  <c r="F24" i="12"/>
  <c r="F21" i="12"/>
  <c r="F13" i="12"/>
  <c r="E12" i="12"/>
  <c r="E19" i="12"/>
  <c r="E29" i="15" s="1"/>
  <c r="E10" i="12"/>
  <c r="E25" i="12"/>
  <c r="E32" i="15" s="1"/>
  <c r="E9" i="12"/>
  <c r="E24" i="12"/>
  <c r="E38" i="15" s="1"/>
  <c r="E16" i="12"/>
  <c r="E26" i="15" s="1"/>
  <c r="E8" i="12"/>
  <c r="E22" i="12"/>
  <c r="E36" i="15" s="1"/>
  <c r="E20" i="12"/>
  <c r="E30" i="15" s="1"/>
  <c r="E11" i="12"/>
  <c r="E11" i="15" s="1"/>
  <c r="E26" i="12"/>
  <c r="E33" i="15" s="1"/>
  <c r="E18" i="12"/>
  <c r="E28" i="15" s="1"/>
  <c r="E17" i="12"/>
  <c r="E27" i="15" s="1"/>
  <c r="E23" i="12"/>
  <c r="E37" i="15" s="1"/>
  <c r="E15" i="12"/>
  <c r="E23" i="15" s="1"/>
  <c r="E7" i="12"/>
  <c r="E14" i="12"/>
  <c r="E22" i="15" s="1"/>
  <c r="E6" i="12"/>
  <c r="E21" i="12"/>
  <c r="E31" i="15" s="1"/>
  <c r="E13" i="12"/>
  <c r="E21" i="15" s="1"/>
  <c r="D20" i="12"/>
  <c r="D30" i="15" s="1"/>
  <c r="D26" i="12"/>
  <c r="D18" i="12"/>
  <c r="D28" i="15" s="1"/>
  <c r="D10" i="12"/>
  <c r="D12" i="12"/>
  <c r="D9" i="12"/>
  <c r="D8" i="12"/>
  <c r="D23" i="12"/>
  <c r="D37" i="15" s="1"/>
  <c r="D15" i="12"/>
  <c r="D23" i="15" s="1"/>
  <c r="D7" i="12"/>
  <c r="D11" i="12"/>
  <c r="D11" i="15" s="1"/>
  <c r="D25" i="12"/>
  <c r="D32" i="15" s="1"/>
  <c r="D16" i="12"/>
  <c r="D26" i="15" s="1"/>
  <c r="D22" i="12"/>
  <c r="D36" i="15" s="1"/>
  <c r="D14" i="12"/>
  <c r="D22" i="15" s="1"/>
  <c r="D6" i="12"/>
  <c r="D19" i="12"/>
  <c r="D29" i="15" s="1"/>
  <c r="D17" i="12"/>
  <c r="D27" i="15" s="1"/>
  <c r="D24" i="12"/>
  <c r="D38" i="15" s="1"/>
  <c r="D21" i="12"/>
  <c r="D31" i="15" s="1"/>
  <c r="D13" i="12"/>
  <c r="D21" i="15" s="1"/>
  <c r="C20" i="12"/>
  <c r="C30" i="15" s="1"/>
  <c r="C19" i="12"/>
  <c r="C29" i="15" s="1"/>
  <c r="C11" i="12"/>
  <c r="C11" i="15" s="1"/>
  <c r="C26" i="12"/>
  <c r="C33" i="15" s="1"/>
  <c r="C18" i="12"/>
  <c r="C28" i="15" s="1"/>
  <c r="C10" i="12"/>
  <c r="C25" i="12"/>
  <c r="C32" i="15" s="1"/>
  <c r="C17" i="12"/>
  <c r="C27" i="15" s="1"/>
  <c r="C9" i="12"/>
  <c r="C24" i="12"/>
  <c r="C38" i="15" s="1"/>
  <c r="C16" i="12"/>
  <c r="C26" i="15" s="1"/>
  <c r="C8" i="12"/>
  <c r="C12" i="12"/>
  <c r="C23" i="12"/>
  <c r="C37" i="15" s="1"/>
  <c r="C15" i="12"/>
  <c r="C23" i="15" s="1"/>
  <c r="C7" i="12"/>
  <c r="C22" i="12"/>
  <c r="C36" i="15" s="1"/>
  <c r="C14" i="12"/>
  <c r="C22" i="15" s="1"/>
  <c r="C6" i="12"/>
  <c r="C21" i="12"/>
  <c r="C31" i="15" s="1"/>
  <c r="C13" i="12"/>
  <c r="C21" i="15" s="1"/>
  <c r="B23" i="12"/>
  <c r="B37" i="15" s="1"/>
  <c r="B15" i="12"/>
  <c r="B23" i="15" s="1"/>
  <c r="B7" i="12"/>
  <c r="B22" i="12"/>
  <c r="B36" i="15" s="1"/>
  <c r="B14" i="12"/>
  <c r="B22" i="15" s="1"/>
  <c r="B6" i="12"/>
  <c r="B21" i="12"/>
  <c r="B31" i="15" s="1"/>
  <c r="B13" i="12"/>
  <c r="B21" i="15" s="1"/>
  <c r="B5" i="12"/>
  <c r="B20" i="12"/>
  <c r="B30" i="15" s="1"/>
  <c r="B12" i="12"/>
  <c r="B19" i="12"/>
  <c r="B29" i="15" s="1"/>
  <c r="B11" i="12"/>
  <c r="B11" i="15" s="1"/>
  <c r="B26" i="12"/>
  <c r="B33" i="15" s="1"/>
  <c r="B18" i="12"/>
  <c r="B28" i="15" s="1"/>
  <c r="B10" i="12"/>
  <c r="B25" i="12"/>
  <c r="B32" i="15" s="1"/>
  <c r="B17" i="12"/>
  <c r="B27" i="15" s="1"/>
  <c r="B9" i="12"/>
  <c r="B24" i="12"/>
  <c r="B38" i="15" s="1"/>
  <c r="B16" i="12"/>
  <c r="B26" i="15" s="1"/>
  <c r="F7" i="11"/>
  <c r="F12" i="11"/>
  <c r="F11" i="11"/>
  <c r="F10" i="11"/>
  <c r="F9" i="11"/>
  <c r="E11" i="11"/>
  <c r="E9" i="11"/>
  <c r="E8" i="11"/>
  <c r="E12" i="11"/>
  <c r="E10" i="11"/>
  <c r="D11" i="11"/>
  <c r="D9" i="11"/>
  <c r="D8" i="11"/>
  <c r="D12" i="11"/>
  <c r="D10" i="11"/>
  <c r="C7" i="11"/>
  <c r="C12" i="11"/>
  <c r="C11" i="11"/>
  <c r="C10" i="11"/>
  <c r="C9" i="11"/>
  <c r="B12" i="11"/>
  <c r="B11" i="11"/>
  <c r="B10" i="11"/>
  <c r="B9" i="11"/>
  <c r="B8" i="11"/>
  <c r="F95" i="12" l="1"/>
  <c r="F94" i="12"/>
  <c r="F31" i="15"/>
  <c r="F106" i="12"/>
  <c r="F22" i="15"/>
  <c r="L22" i="15" s="1"/>
  <c r="F99" i="12"/>
  <c r="F92" i="12"/>
  <c r="F38" i="15"/>
  <c r="L38" i="15" s="1"/>
  <c r="F109" i="12"/>
  <c r="F36" i="15"/>
  <c r="L36" i="15" s="1"/>
  <c r="F107" i="12"/>
  <c r="F23" i="15"/>
  <c r="L23" i="15" s="1"/>
  <c r="F100" i="12"/>
  <c r="F37" i="15"/>
  <c r="F108" i="12"/>
  <c r="F27" i="15"/>
  <c r="F102" i="12"/>
  <c r="F93" i="12"/>
  <c r="F26" i="15"/>
  <c r="F101" i="12"/>
  <c r="F33" i="15"/>
  <c r="K33" i="15" s="1"/>
  <c r="F111" i="12"/>
  <c r="F28" i="15"/>
  <c r="L28" i="15" s="1"/>
  <c r="F103" i="12"/>
  <c r="F30" i="15"/>
  <c r="K30" i="15" s="1"/>
  <c r="F105" i="12"/>
  <c r="F29" i="15"/>
  <c r="K29" i="15" s="1"/>
  <c r="F104" i="12"/>
  <c r="F32" i="15"/>
  <c r="L32" i="15" s="1"/>
  <c r="F110" i="12"/>
  <c r="F11" i="15"/>
  <c r="K11" i="15" s="1"/>
  <c r="F96" i="12"/>
  <c r="F21" i="15"/>
  <c r="L21" i="15" s="1"/>
  <c r="F98" i="12"/>
  <c r="F91" i="12"/>
  <c r="F97" i="12"/>
  <c r="H10" i="11"/>
  <c r="J10" i="11" s="1"/>
  <c r="J23" i="11" s="1"/>
  <c r="X5" i="106"/>
  <c r="X6" i="106"/>
  <c r="M155" i="75"/>
  <c r="L49" i="75"/>
  <c r="A61" i="18"/>
  <c r="M156" i="75"/>
  <c r="M157" i="75"/>
  <c r="L10" i="76"/>
  <c r="L57" i="76"/>
  <c r="L28" i="76"/>
  <c r="L75" i="76"/>
  <c r="L18" i="76"/>
  <c r="L65" i="76"/>
  <c r="L46" i="76"/>
  <c r="L93" i="76"/>
  <c r="L13" i="76"/>
  <c r="L60" i="76"/>
  <c r="L34" i="76"/>
  <c r="L81" i="76"/>
  <c r="L19" i="76"/>
  <c r="L66" i="76"/>
  <c r="L47" i="76"/>
  <c r="L94" i="76"/>
  <c r="L29" i="76"/>
  <c r="L76" i="76"/>
  <c r="L16" i="76"/>
  <c r="L63" i="76"/>
  <c r="L11" i="76"/>
  <c r="L58" i="76"/>
  <c r="M160" i="75"/>
  <c r="L38" i="76"/>
  <c r="L85" i="76"/>
  <c r="L42" i="76"/>
  <c r="L89" i="76"/>
  <c r="L12" i="76"/>
  <c r="L59" i="76"/>
  <c r="L43" i="76"/>
  <c r="L90" i="76"/>
  <c r="L24" i="76"/>
  <c r="L71" i="76"/>
  <c r="M158" i="75"/>
  <c r="L39" i="76"/>
  <c r="L86" i="76"/>
  <c r="L20" i="76"/>
  <c r="L67" i="76"/>
  <c r="L27" i="76"/>
  <c r="L74" i="76"/>
  <c r="L30" i="76"/>
  <c r="L77" i="76"/>
  <c r="M159" i="75"/>
  <c r="L17" i="76"/>
  <c r="L64" i="76"/>
  <c r="L33" i="76"/>
  <c r="L80" i="76"/>
  <c r="H9" i="11"/>
  <c r="J9" i="11" s="1"/>
  <c r="J22" i="11" s="1"/>
  <c r="I24" i="11"/>
  <c r="I23" i="11"/>
  <c r="H11" i="11"/>
  <c r="J11" i="11" s="1"/>
  <c r="J24" i="11" s="1"/>
  <c r="I25" i="11"/>
  <c r="H12" i="11"/>
  <c r="J12" i="11" s="1"/>
  <c r="J25" i="11" s="1"/>
  <c r="I21" i="11"/>
  <c r="F45" i="11"/>
  <c r="H7" i="11"/>
  <c r="I22" i="11"/>
  <c r="H8" i="11"/>
  <c r="J8" i="11" s="1"/>
  <c r="J21" i="11" s="1"/>
  <c r="N261" i="21"/>
  <c r="N262" i="21"/>
  <c r="M161" i="75"/>
  <c r="M154" i="75"/>
  <c r="Z11" i="106"/>
  <c r="N263" i="21"/>
  <c r="N264" i="21"/>
  <c r="F46" i="11"/>
  <c r="N265" i="21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X8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F47" i="11"/>
  <c r="I11" i="15"/>
  <c r="J30" i="15"/>
  <c r="J29" i="15"/>
  <c r="F69" i="16"/>
  <c r="N8" i="107" s="1"/>
  <c r="H13" i="16"/>
  <c r="H30" i="15"/>
  <c r="I31" i="15"/>
  <c r="I32" i="15"/>
  <c r="L29" i="15"/>
  <c r="H32" i="15"/>
  <c r="H14" i="16"/>
  <c r="F70" i="16"/>
  <c r="N9" i="107" s="1"/>
  <c r="F48" i="11"/>
  <c r="H15" i="16"/>
  <c r="F71" i="16"/>
  <c r="N10" i="107" s="1"/>
  <c r="K32" i="15"/>
  <c r="F49" i="11"/>
  <c r="C111" i="12"/>
  <c r="D33" i="15"/>
  <c r="J33" i="15" s="1"/>
  <c r="F50" i="11"/>
  <c r="I29" i="15"/>
  <c r="I30" i="15"/>
  <c r="H9" i="16"/>
  <c r="H27" i="16" s="1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28" i="12"/>
  <c r="B35" i="12" s="1"/>
  <c r="E28" i="12"/>
  <c r="E32" i="12" s="1"/>
  <c r="F28" i="12"/>
  <c r="C28" i="12"/>
  <c r="D28" i="12"/>
  <c r="D32" i="12" s="1"/>
  <c r="L11" i="15" l="1"/>
  <c r="X18" i="106"/>
  <c r="H23" i="11"/>
  <c r="L30" i="15"/>
  <c r="F32" i="12"/>
  <c r="F113" i="12"/>
  <c r="H21" i="11"/>
  <c r="H22" i="11"/>
  <c r="H25" i="11"/>
  <c r="H14" i="11"/>
  <c r="J7" i="11"/>
  <c r="H20" i="11"/>
  <c r="H24" i="11"/>
  <c r="H33" i="16"/>
  <c r="N160" i="75"/>
  <c r="H29" i="16"/>
  <c r="N156" i="75"/>
  <c r="P7" i="31"/>
  <c r="N161" i="75"/>
  <c r="N154" i="75"/>
  <c r="H31" i="16"/>
  <c r="N158" i="75"/>
  <c r="H28" i="16"/>
  <c r="N155" i="75"/>
  <c r="H30" i="16"/>
  <c r="N157" i="75"/>
  <c r="H32" i="16"/>
  <c r="N159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B3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Z18" i="106" s="1"/>
  <c r="J14" i="11"/>
  <c r="J20" i="11"/>
  <c r="A52" i="5"/>
  <c r="A53" i="5"/>
  <c r="A54" i="5"/>
  <c r="A55" i="5"/>
  <c r="A56" i="5"/>
  <c r="A51" i="5"/>
  <c r="B50" i="5" a="1"/>
  <c r="D50" i="5" s="1"/>
  <c r="A49" i="5"/>
  <c r="Y19" i="106" l="1"/>
  <c r="H50" i="5"/>
  <c r="G50" i="5"/>
  <c r="F50" i="5"/>
  <c r="E50" i="5"/>
  <c r="C50" i="5"/>
  <c r="J50" i="5"/>
  <c r="B50" i="5"/>
  <c r="I50" i="5"/>
  <c r="A27" i="5" l="1"/>
  <c r="A29" i="5"/>
  <c r="A30" i="5"/>
  <c r="A31" i="5"/>
  <c r="A32" i="5"/>
  <c r="A33" i="5"/>
  <c r="A28" i="5"/>
  <c r="B2" i="5" a="1"/>
  <c r="B2" i="5" s="1"/>
  <c r="A1" i="5"/>
  <c r="BT2" i="5" l="1"/>
  <c r="BD2" i="5"/>
  <c r="AN2" i="5"/>
  <c r="X2" i="5"/>
  <c r="H2" i="5"/>
  <c r="BS2" i="5"/>
  <c r="BC2" i="5"/>
  <c r="AM2" i="5"/>
  <c r="W2" i="5"/>
  <c r="G2" i="5"/>
  <c r="BR2" i="5"/>
  <c r="BB2" i="5"/>
  <c r="AL2" i="5"/>
  <c r="V2" i="5"/>
  <c r="F2" i="5"/>
  <c r="BQ2" i="5"/>
  <c r="BA2" i="5"/>
  <c r="AK2" i="5"/>
  <c r="U2" i="5"/>
  <c r="E2" i="5"/>
  <c r="BP2" i="5"/>
  <c r="AZ2" i="5"/>
  <c r="AJ2" i="5"/>
  <c r="T2" i="5"/>
  <c r="D2" i="5"/>
  <c r="BW2" i="5"/>
  <c r="BO2" i="5"/>
  <c r="BG2" i="5"/>
  <c r="AY2" i="5"/>
  <c r="AQ2" i="5"/>
  <c r="AI2" i="5"/>
  <c r="AA2" i="5"/>
  <c r="S2" i="5"/>
  <c r="K2" i="5"/>
  <c r="C2" i="5"/>
  <c r="BU2" i="5"/>
  <c r="BM2" i="5"/>
  <c r="BE2" i="5"/>
  <c r="AW2" i="5"/>
  <c r="AO2" i="5"/>
  <c r="AG2" i="5"/>
  <c r="Y2" i="5"/>
  <c r="Q2" i="5"/>
  <c r="I2" i="5"/>
  <c r="BL2" i="5"/>
  <c r="AV2" i="5"/>
  <c r="AF2" i="5"/>
  <c r="P2" i="5"/>
  <c r="BK2" i="5"/>
  <c r="AU2" i="5"/>
  <c r="AE2" i="5"/>
  <c r="O2" i="5"/>
  <c r="BJ2" i="5"/>
  <c r="AT2" i="5"/>
  <c r="AD2" i="5"/>
  <c r="N2" i="5"/>
  <c r="BI2" i="5"/>
  <c r="AS2" i="5"/>
  <c r="AC2" i="5"/>
  <c r="M2" i="5"/>
  <c r="BX2" i="5"/>
  <c r="BH2" i="5"/>
  <c r="AR2" i="5"/>
  <c r="AB2" i="5"/>
  <c r="L2" i="5"/>
  <c r="BV2" i="5"/>
  <c r="BN2" i="5"/>
  <c r="BF2" i="5"/>
  <c r="AX2" i="5"/>
  <c r="AP2" i="5"/>
  <c r="AH2" i="5"/>
  <c r="Z2" i="5"/>
  <c r="R2" i="5"/>
  <c r="J2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258" i="97"/>
  <c r="C259" i="97"/>
  <c r="C260" i="97"/>
  <c r="C261" i="97"/>
  <c r="C262" i="97"/>
  <c r="C263" i="97"/>
  <c r="C264" i="97"/>
  <c r="C265" i="97"/>
  <c r="C266" i="97"/>
  <c r="C267" i="97"/>
  <c r="C268" i="97"/>
  <c r="C269" i="97"/>
  <c r="C270" i="97"/>
  <c r="C271" i="97"/>
  <c r="C272" i="97"/>
  <c r="C273" i="97"/>
  <c r="C274" i="97"/>
  <c r="C275" i="97"/>
  <c r="C276" i="97"/>
  <c r="C277" i="97"/>
  <c r="C278" i="97"/>
  <c r="C279" i="97"/>
  <c r="C280" i="97"/>
  <c r="C281" i="97"/>
  <c r="C282" i="97"/>
  <c r="C283" i="97"/>
  <c r="C284" i="97"/>
  <c r="C285" i="97"/>
  <c r="C286" i="97"/>
  <c r="C287" i="97"/>
  <c r="C288" i="97"/>
  <c r="C289" i="97"/>
  <c r="C290" i="97"/>
  <c r="C291" i="97"/>
  <c r="C292" i="97"/>
  <c r="C293" i="97"/>
  <c r="C294" i="97"/>
  <c r="C295" i="97"/>
  <c r="C296" i="97"/>
  <c r="C297" i="97"/>
  <c r="C298" i="97"/>
  <c r="C299" i="97"/>
  <c r="C300" i="97"/>
  <c r="C301" i="97"/>
  <c r="C302" i="97"/>
  <c r="C303" i="97"/>
  <c r="C304" i="97"/>
  <c r="C305" i="97"/>
  <c r="C306" i="97"/>
  <c r="C307" i="97"/>
  <c r="C308" i="97"/>
  <c r="C309" i="97"/>
  <c r="C310" i="97"/>
  <c r="C311" i="97"/>
  <c r="C312" i="97"/>
  <c r="C313" i="97"/>
  <c r="C314" i="97"/>
  <c r="C315" i="97"/>
  <c r="C316" i="97"/>
  <c r="C317" i="97"/>
  <c r="C318" i="97"/>
  <c r="C319" i="97"/>
  <c r="C320" i="97"/>
  <c r="C321" i="97"/>
  <c r="C322" i="97"/>
  <c r="C257" i="97"/>
  <c r="C255" i="97"/>
  <c r="C174" i="97"/>
  <c r="C175" i="97"/>
  <c r="C176" i="97"/>
  <c r="C177" i="97"/>
  <c r="C178" i="97"/>
  <c r="C179" i="97"/>
  <c r="C180" i="97"/>
  <c r="C181" i="97"/>
  <c r="C182" i="97"/>
  <c r="C183" i="97"/>
  <c r="C184" i="97"/>
  <c r="C185" i="97"/>
  <c r="C186" i="97"/>
  <c r="C187" i="97"/>
  <c r="C188" i="97"/>
  <c r="C189" i="97"/>
  <c r="C190" i="97"/>
  <c r="C191" i="97"/>
  <c r="C192" i="97"/>
  <c r="C193" i="97"/>
  <c r="C194" i="97"/>
  <c r="C195" i="97"/>
  <c r="C196" i="97"/>
  <c r="C197" i="97"/>
  <c r="C198" i="97"/>
  <c r="C199" i="97"/>
  <c r="C200" i="97"/>
  <c r="C201" i="97"/>
  <c r="C202" i="97"/>
  <c r="C203" i="97"/>
  <c r="C204" i="97"/>
  <c r="C205" i="97"/>
  <c r="C206" i="97"/>
  <c r="C207" i="97"/>
  <c r="C208" i="97"/>
  <c r="C209" i="97"/>
  <c r="C210" i="97"/>
  <c r="C211" i="97"/>
  <c r="C212" i="97"/>
  <c r="C213" i="97"/>
  <c r="C214" i="97"/>
  <c r="C215" i="97"/>
  <c r="C216" i="97"/>
  <c r="C217" i="97"/>
  <c r="C218" i="97"/>
  <c r="C219" i="97"/>
  <c r="C220" i="97"/>
  <c r="C221" i="97"/>
  <c r="C222" i="97"/>
  <c r="C223" i="97"/>
  <c r="C224" i="97"/>
  <c r="C225" i="97"/>
  <c r="C226" i="97"/>
  <c r="C227" i="97"/>
  <c r="C228" i="97"/>
  <c r="C229" i="97"/>
  <c r="C230" i="97"/>
  <c r="C231" i="97"/>
  <c r="C232" i="97"/>
  <c r="C233" i="97"/>
  <c r="C234" i="97"/>
  <c r="C235" i="97"/>
  <c r="C236" i="97"/>
  <c r="C237" i="97"/>
  <c r="C238" i="97"/>
  <c r="C173" i="97"/>
  <c r="C171" i="97"/>
  <c r="C4" i="13" l="1"/>
  <c r="D12" i="13" l="1"/>
  <c r="E12" i="13"/>
  <c r="F12" i="13"/>
  <c r="G12" i="13"/>
  <c r="C12" i="13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5" i="79" l="1"/>
  <c r="X35" i="79" s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I46" i="71" l="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I82" i="71" l="1"/>
  <c r="I35" i="78"/>
  <c r="I109" i="78" s="1"/>
  <c r="T35" i="78"/>
  <c r="U35" i="78" s="1"/>
  <c r="E33" i="49"/>
  <c r="I45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J35" i="78" l="1"/>
  <c r="J72" i="78" s="1"/>
  <c r="J109" i="78" s="1"/>
  <c r="I72" i="78"/>
  <c r="G32" i="49"/>
  <c r="G122" i="49"/>
  <c r="G209" i="49" s="1"/>
  <c r="V35" i="49"/>
  <c r="J45" i="71"/>
  <c r="J82" i="71" s="1"/>
  <c r="Q37" i="31"/>
  <c r="A93" i="49"/>
  <c r="A64" i="49"/>
  <c r="A35" i="49"/>
  <c r="G120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91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D36" i="49"/>
  <c r="I10" i="71"/>
  <c r="I13" i="71"/>
  <c r="I14" i="71"/>
  <c r="I15" i="71"/>
  <c r="I18" i="71"/>
  <c r="I22" i="71"/>
  <c r="I23" i="71"/>
  <c r="I26" i="71"/>
  <c r="I29" i="71"/>
  <c r="I30" i="71"/>
  <c r="I31" i="71"/>
  <c r="I96" i="71" l="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10" i="49"/>
  <c r="I11" i="71"/>
  <c r="G31" i="49"/>
  <c r="I32" i="71"/>
  <c r="G23" i="49"/>
  <c r="I24" i="71"/>
  <c r="G15" i="49"/>
  <c r="I16" i="71"/>
  <c r="G20" i="49"/>
  <c r="I21" i="71"/>
  <c r="G18" i="49"/>
  <c r="I19" i="71"/>
  <c r="I8" i="16" s="1" a="1"/>
  <c r="G28" i="49"/>
  <c r="G12" i="49"/>
  <c r="G14" i="49"/>
  <c r="G29" i="49"/>
  <c r="G25" i="49"/>
  <c r="G21" i="49"/>
  <c r="G17" i="49"/>
  <c r="G13" i="49"/>
  <c r="G9" i="49"/>
  <c r="G30" i="49"/>
  <c r="G22" i="49"/>
  <c r="I9" i="16" l="1"/>
  <c r="I16" i="16"/>
  <c r="I8" i="16"/>
  <c r="I12" i="16"/>
  <c r="I14" i="16"/>
  <c r="I15" i="16"/>
  <c r="I11" i="16"/>
  <c r="I10" i="16"/>
  <c r="I13" i="16"/>
  <c r="I35" i="71"/>
  <c r="I72" i="71" s="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09" i="71" l="1"/>
  <c r="I26" i="16"/>
  <c r="I27" i="16"/>
  <c r="I29" i="16"/>
  <c r="I32" i="16"/>
  <c r="I31" i="16"/>
  <c r="I30" i="16"/>
  <c r="I28" i="16"/>
  <c r="C249" i="97"/>
  <c r="B333" i="97"/>
  <c r="C333" i="97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J16" i="16" l="1"/>
  <c r="I34" i="16"/>
  <c r="I33" i="16"/>
  <c r="AM4" i="21"/>
  <c r="O2" i="21" s="1"/>
  <c r="C3" i="12"/>
  <c r="D3" i="12"/>
  <c r="E3" i="12"/>
  <c r="F3" i="12"/>
  <c r="B3" i="12"/>
  <c r="D5" i="11"/>
  <c r="E5" i="11"/>
  <c r="F5" i="11"/>
  <c r="C5" i="11"/>
  <c r="B5" i="11"/>
  <c r="A197" i="21" l="1"/>
  <c r="A137" i="21"/>
  <c r="A107" i="21"/>
  <c r="A167" i="21"/>
  <c r="A77" i="21"/>
  <c r="A47" i="21"/>
  <c r="A1" i="21"/>
  <c r="A1" i="11"/>
  <c r="A31" i="11" s="1"/>
  <c r="L1" i="11"/>
  <c r="A1" i="12"/>
  <c r="F67" i="12"/>
  <c r="F75" i="12"/>
  <c r="F83" i="12"/>
  <c r="F68" i="12"/>
  <c r="F71" i="12"/>
  <c r="F69" i="12"/>
  <c r="F77" i="12"/>
  <c r="F63" i="12"/>
  <c r="F70" i="12"/>
  <c r="F78" i="12"/>
  <c r="F86" i="12"/>
  <c r="F64" i="12"/>
  <c r="F72" i="12"/>
  <c r="F80" i="12"/>
  <c r="F76" i="12"/>
  <c r="F79" i="12"/>
  <c r="F65" i="12"/>
  <c r="F73" i="12"/>
  <c r="F81" i="12"/>
  <c r="F84" i="12"/>
  <c r="F66" i="12"/>
  <c r="F74" i="12"/>
  <c r="F82" i="12"/>
  <c r="F89" i="12"/>
  <c r="F61" i="12"/>
  <c r="H3" i="1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7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74" i="12"/>
  <c r="C66" i="12"/>
  <c r="C73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4" i="5" l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3" i="5"/>
  <c r="E180" i="97"/>
  <c r="E265" i="97"/>
  <c r="E183" i="97"/>
  <c r="E269" i="97"/>
  <c r="E187" i="97"/>
  <c r="E188" i="97"/>
  <c r="E288" i="97"/>
  <c r="E295" i="97"/>
  <c r="E296" i="97"/>
  <c r="E213" i="97"/>
  <c r="E217" i="97"/>
  <c r="F136" i="97"/>
  <c r="E305" i="97"/>
  <c r="E225" i="97"/>
  <c r="F142" i="97"/>
  <c r="F143" i="97"/>
  <c r="E312" i="97"/>
  <c r="E229" i="97"/>
  <c r="F147" i="97"/>
  <c r="F150" i="97"/>
  <c r="E319" i="97"/>
  <c r="E236" i="97"/>
  <c r="E237" i="97"/>
  <c r="E260" i="97"/>
  <c r="D177" i="97"/>
  <c r="E262" i="97"/>
  <c r="E263" i="97"/>
  <c r="D265" i="97"/>
  <c r="D186" i="97"/>
  <c r="E192" i="97"/>
  <c r="E277" i="97"/>
  <c r="D194" i="97"/>
  <c r="E195" i="97"/>
  <c r="E281" i="97"/>
  <c r="E200" i="97"/>
  <c r="D201" i="97"/>
  <c r="D286" i="97"/>
  <c r="D289" i="97"/>
  <c r="E292" i="97"/>
  <c r="E209" i="97"/>
  <c r="E210" i="97"/>
  <c r="D300" i="97"/>
  <c r="E133" i="97"/>
  <c r="D219" i="97"/>
  <c r="E137" i="97"/>
  <c r="E224" i="97"/>
  <c r="D309" i="97"/>
  <c r="E142" i="97"/>
  <c r="D227" i="97"/>
  <c r="E232" i="97"/>
  <c r="E149" i="97"/>
  <c r="D234" i="97"/>
  <c r="E151" i="97"/>
  <c r="D321" i="97"/>
  <c r="D94" i="97"/>
  <c r="D96" i="97"/>
  <c r="D105" i="97"/>
  <c r="D275" i="97"/>
  <c r="D283" i="97"/>
  <c r="D126" i="97"/>
  <c r="D295" i="97"/>
  <c r="D297" i="97"/>
  <c r="D304" i="97"/>
  <c r="D147" i="97"/>
  <c r="D232" i="97"/>
  <c r="D236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89" i="97"/>
  <c r="C89" i="97"/>
  <c r="B259" i="97"/>
  <c r="B260" i="97"/>
  <c r="B178" i="97"/>
  <c r="B180" i="97"/>
  <c r="B181" i="97"/>
  <c r="B268" i="97"/>
  <c r="C102" i="97"/>
  <c r="B272" i="97"/>
  <c r="B273" i="97"/>
  <c r="B194" i="97"/>
  <c r="B195" i="97"/>
  <c r="B280" i="97"/>
  <c r="B281" i="97"/>
  <c r="C116" i="97"/>
  <c r="B202" i="97"/>
  <c r="B203" i="97"/>
  <c r="B204" i="97"/>
  <c r="B289" i="97"/>
  <c r="B291" i="97"/>
  <c r="C124" i="97"/>
  <c r="C127" i="97"/>
  <c r="C128" i="97"/>
  <c r="C129" i="97"/>
  <c r="B216" i="97"/>
  <c r="C134" i="97"/>
  <c r="B304" i="97"/>
  <c r="B305" i="97"/>
  <c r="B308" i="97"/>
  <c r="C143" i="97"/>
  <c r="B228" i="97"/>
  <c r="B229" i="97"/>
  <c r="C148" i="97"/>
  <c r="C150" i="97"/>
  <c r="B236" i="97"/>
  <c r="C153" i="97"/>
  <c r="B322" i="97"/>
  <c r="B179" i="97"/>
  <c r="B267" i="97"/>
  <c r="B187" i="97"/>
  <c r="B275" i="97"/>
  <c r="B283" i="97"/>
  <c r="B211" i="97"/>
  <c r="B300" i="97"/>
  <c r="B217" i="97"/>
  <c r="B302" i="97"/>
  <c r="B220" i="97"/>
  <c r="B225" i="97"/>
  <c r="B231" i="97"/>
  <c r="B233" i="97"/>
  <c r="B318" i="97"/>
  <c r="D322" i="97"/>
  <c r="E322" i="97"/>
  <c r="B238" i="97"/>
  <c r="D238" i="97"/>
  <c r="E238" i="97"/>
  <c r="C151" i="97"/>
  <c r="D151" i="97"/>
  <c r="E152" i="97"/>
  <c r="E153" i="97"/>
  <c r="C154" i="97"/>
  <c r="D154" i="97"/>
  <c r="E154" i="97"/>
  <c r="F154" i="97"/>
  <c r="B314" i="97"/>
  <c r="D314" i="97"/>
  <c r="E314" i="97"/>
  <c r="B315" i="97"/>
  <c r="D315" i="97"/>
  <c r="E315" i="97"/>
  <c r="D316" i="97"/>
  <c r="E316" i="97"/>
  <c r="B317" i="97"/>
  <c r="D318" i="97"/>
  <c r="E318" i="97"/>
  <c r="B298" i="97"/>
  <c r="D298" i="97"/>
  <c r="E298" i="97"/>
  <c r="B299" i="97"/>
  <c r="D299" i="97"/>
  <c r="E299" i="97"/>
  <c r="E300" i="97"/>
  <c r="B301" i="97"/>
  <c r="D301" i="97"/>
  <c r="E301" i="97"/>
  <c r="E304" i="97"/>
  <c r="B306" i="97"/>
  <c r="D306" i="97"/>
  <c r="E306" i="97"/>
  <c r="B307" i="97"/>
  <c r="D307" i="97"/>
  <c r="E307" i="97"/>
  <c r="E308" i="97"/>
  <c r="B309" i="97"/>
  <c r="E310" i="97"/>
  <c r="D312" i="97"/>
  <c r="D231" i="97"/>
  <c r="E231" i="97"/>
  <c r="D233" i="97"/>
  <c r="E233" i="97"/>
  <c r="B214" i="97"/>
  <c r="D214" i="97"/>
  <c r="E214" i="97"/>
  <c r="B215" i="97"/>
  <c r="D215" i="97"/>
  <c r="E215" i="97"/>
  <c r="D216" i="97"/>
  <c r="E216" i="97"/>
  <c r="D217" i="97"/>
  <c r="B222" i="97"/>
  <c r="D222" i="97"/>
  <c r="E222" i="97"/>
  <c r="B223" i="97"/>
  <c r="D223" i="97"/>
  <c r="E223" i="97"/>
  <c r="B224" i="97"/>
  <c r="D226" i="97"/>
  <c r="E228" i="97"/>
  <c r="B230" i="97"/>
  <c r="D230" i="97"/>
  <c r="E230" i="97"/>
  <c r="C130" i="97"/>
  <c r="D130" i="97"/>
  <c r="E130" i="97"/>
  <c r="F130" i="97"/>
  <c r="C131" i="97"/>
  <c r="D131" i="97"/>
  <c r="E131" i="97"/>
  <c r="F131" i="97"/>
  <c r="E132" i="97"/>
  <c r="F132" i="97"/>
  <c r="C133" i="97"/>
  <c r="D133" i="97"/>
  <c r="C135" i="97"/>
  <c r="D135" i="97"/>
  <c r="F135" i="97"/>
  <c r="E136" i="97"/>
  <c r="C138" i="97"/>
  <c r="D138" i="97"/>
  <c r="E138" i="97"/>
  <c r="F138" i="97"/>
  <c r="C139" i="97"/>
  <c r="D139" i="97"/>
  <c r="E139" i="97"/>
  <c r="F139" i="97"/>
  <c r="C140" i="97"/>
  <c r="E140" i="97"/>
  <c r="F140" i="97"/>
  <c r="C141" i="97"/>
  <c r="D141" i="97"/>
  <c r="F141" i="97"/>
  <c r="C142" i="97"/>
  <c r="D142" i="97"/>
  <c r="E143" i="97"/>
  <c r="C144" i="97"/>
  <c r="E144" i="97"/>
  <c r="F144" i="97"/>
  <c r="E145" i="97"/>
  <c r="C146" i="97"/>
  <c r="D146" i="97"/>
  <c r="E146" i="97"/>
  <c r="F146" i="97"/>
  <c r="C147" i="97"/>
  <c r="E147" i="97"/>
  <c r="D148" i="97"/>
  <c r="E148" i="97"/>
  <c r="F148" i="97"/>
  <c r="C149" i="97"/>
  <c r="D149" i="97"/>
  <c r="F149" i="97"/>
  <c r="D150" i="97"/>
  <c r="A169" i="97"/>
  <c r="A81" i="97"/>
  <c r="A165" i="97" s="1"/>
  <c r="A69" i="97"/>
  <c r="A321" i="97" s="1"/>
  <c r="A70" i="97"/>
  <c r="A322" i="97" s="1"/>
  <c r="A64" i="97"/>
  <c r="A316" i="97" s="1"/>
  <c r="A65" i="97"/>
  <c r="A317" i="97" s="1"/>
  <c r="A66" i="97"/>
  <c r="A318" i="97" s="1"/>
  <c r="A67" i="97"/>
  <c r="A319" i="97" s="1"/>
  <c r="A68" i="97"/>
  <c r="A320" i="97" s="1"/>
  <c r="A46" i="97"/>
  <c r="A298" i="97" s="1"/>
  <c r="A47" i="97"/>
  <c r="A299" i="97" s="1"/>
  <c r="A48" i="97"/>
  <c r="A300" i="97" s="1"/>
  <c r="A49" i="97"/>
  <c r="A301" i="97" s="1"/>
  <c r="A50" i="97"/>
  <c r="A302" i="97" s="1"/>
  <c r="A51" i="97"/>
  <c r="A303" i="97" s="1"/>
  <c r="A52" i="97"/>
  <c r="A304" i="97" s="1"/>
  <c r="A53" i="97"/>
  <c r="A305" i="97" s="1"/>
  <c r="A54" i="97"/>
  <c r="A306" i="97" s="1"/>
  <c r="A55" i="97"/>
  <c r="A307" i="97" s="1"/>
  <c r="A56" i="97"/>
  <c r="A308" i="97" s="1"/>
  <c r="A57" i="97"/>
  <c r="A309" i="97" s="1"/>
  <c r="A58" i="97"/>
  <c r="A310" i="97" s="1"/>
  <c r="A59" i="97"/>
  <c r="A311" i="97" s="1"/>
  <c r="A60" i="97"/>
  <c r="A312" i="97" s="1"/>
  <c r="A61" i="97"/>
  <c r="A313" i="97" s="1"/>
  <c r="A62" i="97"/>
  <c r="A314" i="97" s="1"/>
  <c r="A63" i="97"/>
  <c r="A315" i="97" s="1"/>
  <c r="A6" i="97"/>
  <c r="A258" i="97" s="1"/>
  <c r="A7" i="97"/>
  <c r="A259" i="97" s="1"/>
  <c r="A8" i="97"/>
  <c r="A260" i="97" s="1"/>
  <c r="A9" i="97"/>
  <c r="A10" i="97"/>
  <c r="A262" i="97" s="1"/>
  <c r="A11" i="97"/>
  <c r="A263" i="97" s="1"/>
  <c r="A12" i="97"/>
  <c r="A264" i="97" s="1"/>
  <c r="A13" i="97"/>
  <c r="A14" i="97"/>
  <c r="A266" i="97" s="1"/>
  <c r="A15" i="97"/>
  <c r="A267" i="97" s="1"/>
  <c r="A16" i="97"/>
  <c r="A268" i="97" s="1"/>
  <c r="A17" i="97"/>
  <c r="A18" i="97"/>
  <c r="A270" i="97" s="1"/>
  <c r="A19" i="97"/>
  <c r="A271" i="97" s="1"/>
  <c r="A20" i="97"/>
  <c r="A272" i="97" s="1"/>
  <c r="A21" i="97"/>
  <c r="A273" i="97" s="1"/>
  <c r="A22" i="97"/>
  <c r="A23" i="97"/>
  <c r="A24" i="97"/>
  <c r="A276" i="97" s="1"/>
  <c r="A25" i="97"/>
  <c r="A26" i="97"/>
  <c r="A27" i="97"/>
  <c r="A28" i="97"/>
  <c r="A29" i="97"/>
  <c r="A281" i="97" s="1"/>
  <c r="A30" i="97"/>
  <c r="A282" i="97" s="1"/>
  <c r="A31" i="97"/>
  <c r="A283" i="97" s="1"/>
  <c r="A32" i="97"/>
  <c r="A33" i="97"/>
  <c r="A285" i="97" s="1"/>
  <c r="A34" i="97"/>
  <c r="A286" i="97" s="1"/>
  <c r="A35" i="97"/>
  <c r="A287" i="97" s="1"/>
  <c r="A36" i="97"/>
  <c r="A37" i="97"/>
  <c r="A289" i="97" s="1"/>
  <c r="A38" i="97"/>
  <c r="A290" i="97" s="1"/>
  <c r="A39" i="97"/>
  <c r="A291" i="97" s="1"/>
  <c r="A40" i="97"/>
  <c r="A41" i="97"/>
  <c r="A293" i="97" s="1"/>
  <c r="A42" i="97"/>
  <c r="A294" i="97" s="1"/>
  <c r="A43" i="97"/>
  <c r="A295" i="97" s="1"/>
  <c r="A44" i="97"/>
  <c r="A296" i="97" s="1"/>
  <c r="A45" i="97"/>
  <c r="A297" i="97" s="1"/>
  <c r="A5" i="97"/>
  <c r="A257" i="97" s="1"/>
  <c r="E297" i="97"/>
  <c r="B297" i="97"/>
  <c r="E293" i="97"/>
  <c r="E291" i="97"/>
  <c r="D291" i="97"/>
  <c r="E290" i="97"/>
  <c r="D290" i="97"/>
  <c r="B290" i="97"/>
  <c r="B288" i="97"/>
  <c r="D285" i="97"/>
  <c r="E284" i="97"/>
  <c r="B284" i="97"/>
  <c r="E283" i="97"/>
  <c r="E282" i="97"/>
  <c r="D282" i="97"/>
  <c r="B282" i="97"/>
  <c r="E276" i="97"/>
  <c r="B276" i="97"/>
  <c r="E275" i="97"/>
  <c r="E274" i="97"/>
  <c r="D274" i="97"/>
  <c r="B274" i="97"/>
  <c r="E268" i="97"/>
  <c r="E267" i="97"/>
  <c r="D267" i="97"/>
  <c r="E266" i="97"/>
  <c r="D266" i="97"/>
  <c r="B266" i="97"/>
  <c r="B265" i="97"/>
  <c r="E264" i="97"/>
  <c r="D262" i="97"/>
  <c r="E259" i="97"/>
  <c r="D259" i="97"/>
  <c r="E258" i="97"/>
  <c r="D258" i="97"/>
  <c r="B258" i="97"/>
  <c r="E257" i="97"/>
  <c r="D257" i="97"/>
  <c r="B257" i="97"/>
  <c r="E255" i="97"/>
  <c r="D255" i="97"/>
  <c r="B255" i="97"/>
  <c r="D212" i="97"/>
  <c r="B212" i="97"/>
  <c r="D210" i="97"/>
  <c r="B210" i="97"/>
  <c r="E208" i="97"/>
  <c r="D208" i="97"/>
  <c r="E207" i="97"/>
  <c r="D207" i="97"/>
  <c r="B207" i="97"/>
  <c r="E206" i="97"/>
  <c r="D206" i="97"/>
  <c r="B206" i="97"/>
  <c r="E204" i="97"/>
  <c r="D204" i="97"/>
  <c r="D202" i="97"/>
  <c r="D200" i="97"/>
  <c r="E199" i="97"/>
  <c r="B199" i="97"/>
  <c r="E198" i="97"/>
  <c r="D198" i="97"/>
  <c r="B198" i="97"/>
  <c r="E196" i="97"/>
  <c r="D196" i="97"/>
  <c r="E191" i="97"/>
  <c r="D191" i="97"/>
  <c r="B191" i="97"/>
  <c r="E190" i="97"/>
  <c r="D190" i="97"/>
  <c r="B190" i="97"/>
  <c r="E189" i="97"/>
  <c r="B186" i="97"/>
  <c r="E184" i="97"/>
  <c r="D183" i="97"/>
  <c r="B183" i="97"/>
  <c r="E182" i="97"/>
  <c r="D182" i="97"/>
  <c r="B182" i="97"/>
  <c r="D178" i="97"/>
  <c r="E175" i="97"/>
  <c r="D175" i="97"/>
  <c r="B175" i="97"/>
  <c r="E174" i="97"/>
  <c r="D174" i="97"/>
  <c r="B174" i="97"/>
  <c r="E173" i="97"/>
  <c r="D173" i="97"/>
  <c r="B173" i="97"/>
  <c r="E171" i="97"/>
  <c r="D171" i="97"/>
  <c r="B171" i="97"/>
  <c r="D165" i="97"/>
  <c r="C165" i="97"/>
  <c r="C126" i="97"/>
  <c r="D125" i="97"/>
  <c r="C125" i="97"/>
  <c r="D122" i="97"/>
  <c r="C122" i="97"/>
  <c r="D118" i="97"/>
  <c r="C118" i="97"/>
  <c r="D117" i="97"/>
  <c r="C117" i="97"/>
  <c r="D114" i="97"/>
  <c r="C114" i="97"/>
  <c r="C113" i="97"/>
  <c r="D110" i="97"/>
  <c r="D109" i="97"/>
  <c r="C109" i="97"/>
  <c r="C108" i="97"/>
  <c r="D106" i="97"/>
  <c r="C106" i="97"/>
  <c r="C104" i="97"/>
  <c r="D102" i="97"/>
  <c r="D101" i="97"/>
  <c r="C101" i="97"/>
  <c r="D100" i="97"/>
  <c r="C100" i="97"/>
  <c r="D98" i="97"/>
  <c r="C98" i="97"/>
  <c r="C94" i="97"/>
  <c r="D93" i="97"/>
  <c r="C93" i="97"/>
  <c r="D92" i="97"/>
  <c r="D90" i="97"/>
  <c r="C90" i="97"/>
  <c r="D89" i="97"/>
  <c r="F87" i="97"/>
  <c r="E87" i="97"/>
  <c r="D87" i="97"/>
  <c r="C87" i="97"/>
  <c r="B87" i="97"/>
  <c r="E129" i="97"/>
  <c r="D127" i="97"/>
  <c r="A204" i="97" l="1"/>
  <c r="A288" i="97"/>
  <c r="A193" i="97"/>
  <c r="A277" i="97"/>
  <c r="A185" i="97"/>
  <c r="A269" i="97"/>
  <c r="A177" i="97"/>
  <c r="A261" i="97"/>
  <c r="A196" i="97"/>
  <c r="A280" i="97"/>
  <c r="A195" i="97"/>
  <c r="A279" i="97"/>
  <c r="A194" i="97"/>
  <c r="A278" i="97"/>
  <c r="A208" i="97"/>
  <c r="A292" i="97"/>
  <c r="A200" i="97"/>
  <c r="A284" i="97"/>
  <c r="A181" i="97"/>
  <c r="A265" i="97"/>
  <c r="A191" i="97"/>
  <c r="A275" i="97"/>
  <c r="A190" i="97"/>
  <c r="A274" i="97"/>
  <c r="A205" i="97"/>
  <c r="A105" i="97"/>
  <c r="A189" i="97"/>
  <c r="A147" i="97"/>
  <c r="A231" i="97"/>
  <c r="A153" i="97"/>
  <c r="A237" i="97"/>
  <c r="A188" i="97"/>
  <c r="A146" i="97"/>
  <c r="A230" i="97"/>
  <c r="A203" i="97"/>
  <c r="A95" i="97"/>
  <c r="A179" i="97"/>
  <c r="A178" i="97"/>
  <c r="A144" i="97"/>
  <c r="A228" i="97"/>
  <c r="A151" i="97"/>
  <c r="A235" i="97"/>
  <c r="A201" i="97"/>
  <c r="A143" i="97"/>
  <c r="A227" i="97"/>
  <c r="A135" i="97"/>
  <c r="A219" i="97"/>
  <c r="A108" i="97"/>
  <c r="A192" i="97"/>
  <c r="A100" i="97"/>
  <c r="A184" i="97"/>
  <c r="A92" i="97"/>
  <c r="A176" i="97"/>
  <c r="A142" i="97"/>
  <c r="A226" i="97"/>
  <c r="A134" i="97"/>
  <c r="A218" i="97"/>
  <c r="A149" i="97"/>
  <c r="A233" i="97"/>
  <c r="A131" i="97"/>
  <c r="A215" i="97"/>
  <c r="A212" i="97"/>
  <c r="A96" i="97"/>
  <c r="A180" i="97"/>
  <c r="A138" i="97"/>
  <c r="A222" i="97"/>
  <c r="A130" i="97"/>
  <c r="A214" i="97"/>
  <c r="A211" i="97"/>
  <c r="A187" i="97"/>
  <c r="A145" i="97"/>
  <c r="A229" i="97"/>
  <c r="A137" i="97"/>
  <c r="A221" i="97"/>
  <c r="A152" i="97"/>
  <c r="A236" i="97"/>
  <c r="A126" i="97"/>
  <c r="A210" i="97"/>
  <c r="A118" i="97"/>
  <c r="A202" i="97"/>
  <c r="A102" i="97"/>
  <c r="A186" i="97"/>
  <c r="A136" i="97"/>
  <c r="A220" i="97"/>
  <c r="A125" i="97"/>
  <c r="A209" i="97"/>
  <c r="A150" i="97"/>
  <c r="A234" i="97"/>
  <c r="A123" i="97"/>
  <c r="A207" i="97"/>
  <c r="A115" i="97"/>
  <c r="A199" i="97"/>
  <c r="A183" i="97"/>
  <c r="A175" i="97"/>
  <c r="A141" i="97"/>
  <c r="A225" i="97"/>
  <c r="A133" i="97"/>
  <c r="A217" i="97"/>
  <c r="A148" i="97"/>
  <c r="A232" i="97"/>
  <c r="A129" i="97"/>
  <c r="A213" i="97"/>
  <c r="A197" i="97"/>
  <c r="A139" i="97"/>
  <c r="A223" i="97"/>
  <c r="A173" i="97"/>
  <c r="A206" i="97"/>
  <c r="A198" i="97"/>
  <c r="A182" i="97"/>
  <c r="A90" i="97"/>
  <c r="A174" i="97"/>
  <c r="A140" i="97"/>
  <c r="A224" i="97"/>
  <c r="A132" i="97"/>
  <c r="A216" i="97"/>
  <c r="A154" i="97"/>
  <c r="A238" i="97"/>
  <c r="E197" i="97"/>
  <c r="E221" i="97"/>
  <c r="F153" i="97"/>
  <c r="E272" i="97"/>
  <c r="E321" i="97"/>
  <c r="E273" i="97"/>
  <c r="E181" i="97"/>
  <c r="E280" i="97"/>
  <c r="E287" i="97"/>
  <c r="F134" i="97"/>
  <c r="E313" i="97"/>
  <c r="E302" i="97"/>
  <c r="E203" i="97"/>
  <c r="F133" i="97"/>
  <c r="F151" i="97"/>
  <c r="E320" i="97"/>
  <c r="E220" i="97"/>
  <c r="F152" i="97"/>
  <c r="E212" i="97"/>
  <c r="E270" i="97"/>
  <c r="F145" i="97"/>
  <c r="F137" i="97"/>
  <c r="D294" i="97"/>
  <c r="E150" i="97"/>
  <c r="E177" i="97"/>
  <c r="E185" i="97"/>
  <c r="D193" i="97"/>
  <c r="E201" i="97"/>
  <c r="D261" i="97"/>
  <c r="D278" i="97"/>
  <c r="E286" i="97"/>
  <c r="E141" i="97"/>
  <c r="D218" i="97"/>
  <c r="E234" i="97"/>
  <c r="D302" i="97"/>
  <c r="D287" i="97"/>
  <c r="E193" i="97"/>
  <c r="E205" i="97"/>
  <c r="E261" i="97"/>
  <c r="D270" i="97"/>
  <c r="E278" i="97"/>
  <c r="D293" i="97"/>
  <c r="E226" i="97"/>
  <c r="E311" i="97"/>
  <c r="D319" i="97"/>
  <c r="D308" i="97"/>
  <c r="D263" i="97"/>
  <c r="E135" i="97"/>
  <c r="E235" i="97"/>
  <c r="D271" i="97"/>
  <c r="E186" i="97"/>
  <c r="E194" i="97"/>
  <c r="D277" i="97"/>
  <c r="E294" i="97"/>
  <c r="D225" i="97"/>
  <c r="E309" i="97"/>
  <c r="E317" i="97"/>
  <c r="E176" i="97"/>
  <c r="E179" i="97"/>
  <c r="D195" i="97"/>
  <c r="D209" i="97"/>
  <c r="E211" i="97"/>
  <c r="D269" i="97"/>
  <c r="E289" i="97"/>
  <c r="E227" i="97"/>
  <c r="E303" i="97"/>
  <c r="D317" i="97"/>
  <c r="E279" i="97"/>
  <c r="E178" i="97"/>
  <c r="E202" i="97"/>
  <c r="E271" i="97"/>
  <c r="E219" i="97"/>
  <c r="E285" i="97"/>
  <c r="D185" i="97"/>
  <c r="E134" i="97"/>
  <c r="E218" i="97"/>
  <c r="D180" i="97"/>
  <c r="D188" i="97"/>
  <c r="D264" i="97"/>
  <c r="D272" i="97"/>
  <c r="D280" i="97"/>
  <c r="D296" i="97"/>
  <c r="D137" i="97"/>
  <c r="D184" i="97"/>
  <c r="D192" i="97"/>
  <c r="D288" i="97"/>
  <c r="D143" i="97"/>
  <c r="D132" i="97"/>
  <c r="D229" i="97"/>
  <c r="D224" i="97"/>
  <c r="D305" i="97"/>
  <c r="D303" i="97"/>
  <c r="D153" i="97"/>
  <c r="D237" i="97"/>
  <c r="D235" i="97"/>
  <c r="D320" i="97"/>
  <c r="D176" i="97"/>
  <c r="D203" i="97"/>
  <c r="D205" i="97"/>
  <c r="D211" i="97"/>
  <c r="D260" i="97"/>
  <c r="D268" i="97"/>
  <c r="D276" i="97"/>
  <c r="D284" i="97"/>
  <c r="D292" i="97"/>
  <c r="D145" i="97"/>
  <c r="D134" i="97"/>
  <c r="D220" i="97"/>
  <c r="D313" i="97"/>
  <c r="D311" i="97"/>
  <c r="D221" i="97"/>
  <c r="D129" i="97"/>
  <c r="D197" i="97"/>
  <c r="D213" i="97"/>
  <c r="D136" i="97"/>
  <c r="D97" i="97"/>
  <c r="D121" i="97"/>
  <c r="D179" i="97"/>
  <c r="D181" i="97"/>
  <c r="D187" i="97"/>
  <c r="D189" i="97"/>
  <c r="D273" i="97"/>
  <c r="D279" i="97"/>
  <c r="D281" i="97"/>
  <c r="D140" i="97"/>
  <c r="D228" i="97"/>
  <c r="D152" i="97"/>
  <c r="D113" i="97"/>
  <c r="D199" i="97"/>
  <c r="D144" i="97"/>
  <c r="D310" i="97"/>
  <c r="B312" i="97"/>
  <c r="C96" i="97"/>
  <c r="C105" i="97"/>
  <c r="C121" i="97"/>
  <c r="B264" i="97"/>
  <c r="B296" i="97"/>
  <c r="C145" i="97"/>
  <c r="C136" i="97"/>
  <c r="B321" i="97"/>
  <c r="B197" i="97"/>
  <c r="C92" i="97"/>
  <c r="C110" i="97"/>
  <c r="B292" i="97"/>
  <c r="C132" i="97"/>
  <c r="B234" i="97"/>
  <c r="B232" i="97"/>
  <c r="C152" i="97"/>
  <c r="B188" i="97"/>
  <c r="B221" i="97"/>
  <c r="B313" i="97"/>
  <c r="B320" i="97"/>
  <c r="B205" i="97"/>
  <c r="C112" i="97"/>
  <c r="B196" i="97"/>
  <c r="C137" i="97"/>
  <c r="B189" i="97"/>
  <c r="C120" i="97"/>
  <c r="C97" i="97"/>
  <c r="B227" i="97"/>
  <c r="B219" i="97"/>
  <c r="B185" i="97"/>
  <c r="B193" i="97"/>
  <c r="B310" i="97"/>
  <c r="B176" i="97"/>
  <c r="B184" i="97"/>
  <c r="B192" i="97"/>
  <c r="B200" i="97"/>
  <c r="B208" i="97"/>
  <c r="B311" i="97"/>
  <c r="B303" i="97"/>
  <c r="B316" i="97"/>
  <c r="B213" i="97"/>
  <c r="B261" i="97"/>
  <c r="B269" i="97"/>
  <c r="B277" i="97"/>
  <c r="B285" i="97"/>
  <c r="B293" i="97"/>
  <c r="B226" i="97"/>
  <c r="B218" i="97"/>
  <c r="B237" i="97"/>
  <c r="B263" i="97"/>
  <c r="B271" i="97"/>
  <c r="B279" i="97"/>
  <c r="B287" i="97"/>
  <c r="B295" i="97"/>
  <c r="B235" i="97"/>
  <c r="B319" i="97"/>
  <c r="B177" i="97"/>
  <c r="B201" i="97"/>
  <c r="B209" i="97"/>
  <c r="B262" i="97"/>
  <c r="B270" i="97"/>
  <c r="B278" i="97"/>
  <c r="B286" i="97"/>
  <c r="B294" i="97"/>
  <c r="A89" i="97"/>
  <c r="A98" i="97"/>
  <c r="A106" i="97"/>
  <c r="A124" i="97"/>
  <c r="A99" i="97"/>
  <c r="A114" i="97"/>
  <c r="A122" i="97"/>
  <c r="A116" i="97"/>
  <c r="A91" i="97"/>
  <c r="A101" i="97"/>
  <c r="A93" i="97"/>
  <c r="A109" i="97"/>
  <c r="A333" i="97"/>
  <c r="A107" i="97"/>
  <c r="A117" i="97"/>
  <c r="A249" i="97"/>
  <c r="A121" i="97"/>
  <c r="A97" i="97"/>
  <c r="A113" i="97"/>
  <c r="E95" i="97"/>
  <c r="E115" i="97"/>
  <c r="E119" i="97"/>
  <c r="E127" i="97"/>
  <c r="F91" i="97"/>
  <c r="F95" i="97"/>
  <c r="F99" i="97"/>
  <c r="F103" i="97"/>
  <c r="A112" i="97"/>
  <c r="E114" i="97"/>
  <c r="E118" i="97"/>
  <c r="E126" i="97"/>
  <c r="E165" i="97"/>
  <c r="F90" i="97"/>
  <c r="F94" i="97"/>
  <c r="F165" i="97"/>
  <c r="E89" i="97"/>
  <c r="E93" i="97"/>
  <c r="E101" i="97"/>
  <c r="A111" i="97"/>
  <c r="A119" i="97"/>
  <c r="E121" i="97"/>
  <c r="E125" i="97"/>
  <c r="F89" i="97"/>
  <c r="F93" i="97"/>
  <c r="F97" i="97"/>
  <c r="F101" i="97"/>
  <c r="D104" i="97"/>
  <c r="F105" i="97"/>
  <c r="D108" i="97"/>
  <c r="F109" i="97"/>
  <c r="D112" i="97"/>
  <c r="F113" i="97"/>
  <c r="D116" i="97"/>
  <c r="F117" i="97"/>
  <c r="D120" i="97"/>
  <c r="F121" i="97"/>
  <c r="D124" i="97"/>
  <c r="F125" i="97"/>
  <c r="D128" i="97"/>
  <c r="F129" i="97"/>
  <c r="D333" i="97"/>
  <c r="E111" i="97"/>
  <c r="F107" i="97"/>
  <c r="F111" i="97"/>
  <c r="F115" i="97"/>
  <c r="E94" i="97"/>
  <c r="A104" i="97"/>
  <c r="E106" i="97"/>
  <c r="E110" i="97"/>
  <c r="A128" i="97"/>
  <c r="F98" i="97"/>
  <c r="F106" i="97"/>
  <c r="F110" i="97"/>
  <c r="F114" i="97"/>
  <c r="F118" i="97"/>
  <c r="A103" i="97"/>
  <c r="E105" i="97"/>
  <c r="A127" i="97"/>
  <c r="E249" i="97"/>
  <c r="C91" i="97"/>
  <c r="E92" i="97"/>
  <c r="A94" i="97"/>
  <c r="C95" i="97"/>
  <c r="E96" i="97"/>
  <c r="C99" i="97"/>
  <c r="E100" i="97"/>
  <c r="C103" i="97"/>
  <c r="E104" i="97"/>
  <c r="C107" i="97"/>
  <c r="E108" i="97"/>
  <c r="A110" i="97"/>
  <c r="C111" i="97"/>
  <c r="E112" i="97"/>
  <c r="C115" i="97"/>
  <c r="E116" i="97"/>
  <c r="C119" i="97"/>
  <c r="E120" i="97"/>
  <c r="C123" i="97"/>
  <c r="E124" i="97"/>
  <c r="E128" i="97"/>
  <c r="A253" i="97"/>
  <c r="E333" i="97"/>
  <c r="E91" i="97"/>
  <c r="E99" i="97"/>
  <c r="E103" i="97"/>
  <c r="E107" i="97"/>
  <c r="E123" i="97"/>
  <c r="F119" i="97"/>
  <c r="F123" i="97"/>
  <c r="F127" i="97"/>
  <c r="A85" i="97"/>
  <c r="E90" i="97"/>
  <c r="E98" i="97"/>
  <c r="E102" i="97"/>
  <c r="A120" i="97"/>
  <c r="E122" i="97"/>
  <c r="F102" i="97"/>
  <c r="F122" i="97"/>
  <c r="F126" i="97"/>
  <c r="D249" i="97"/>
  <c r="E97" i="97"/>
  <c r="E109" i="97"/>
  <c r="E113" i="97"/>
  <c r="E117" i="97"/>
  <c r="D91" i="97"/>
  <c r="F92" i="97"/>
  <c r="D95" i="97"/>
  <c r="F96" i="97"/>
  <c r="D99" i="97"/>
  <c r="F100" i="97"/>
  <c r="D103" i="97"/>
  <c r="F104" i="97"/>
  <c r="D107" i="97"/>
  <c r="F108" i="97"/>
  <c r="D111" i="97"/>
  <c r="F112" i="97"/>
  <c r="D115" i="97"/>
  <c r="F116" i="97"/>
  <c r="D119" i="97"/>
  <c r="F120" i="97"/>
  <c r="D123" i="97"/>
  <c r="F124" i="97"/>
  <c r="F128" i="97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Z55" i="93" s="1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W55" i="93" s="1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R7" i="93" l="1"/>
  <c r="D55" i="93"/>
  <c r="AG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M6" i="78"/>
  <c r="AA107" i="78"/>
  <c r="AB107" i="78"/>
  <c r="AL6" i="78"/>
  <c r="AL88" i="78" s="1"/>
  <c r="Z107" i="78"/>
  <c r="AJ6" i="78"/>
  <c r="AM97" i="78" s="1"/>
  <c r="X107" i="78"/>
  <c r="AI6" i="78"/>
  <c r="AH1" i="78" s="1"/>
  <c r="AK6" i="78"/>
  <c r="AB117" i="78"/>
  <c r="AL83" i="78"/>
  <c r="AX6" i="78"/>
  <c r="AM43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N33" i="79"/>
  <c r="O33" i="79"/>
  <c r="B46" i="78"/>
  <c r="AK93" i="78" l="1"/>
  <c r="AM93" i="78"/>
  <c r="AM106" i="78"/>
  <c r="AM104" i="78"/>
  <c r="AM84" i="78"/>
  <c r="AM89" i="78"/>
  <c r="AM100" i="78"/>
  <c r="AL100" i="78"/>
  <c r="AI96" i="78"/>
  <c r="AI103" i="78"/>
  <c r="AL99" i="78"/>
  <c r="AI101" i="78"/>
  <c r="AL84" i="78"/>
  <c r="AI86" i="78"/>
  <c r="AL98" i="78"/>
  <c r="AM101" i="78"/>
  <c r="AM96" i="78"/>
  <c r="AI105" i="78"/>
  <c r="AM99" i="78"/>
  <c r="AL94" i="78"/>
  <c r="AI90" i="78"/>
  <c r="AM94" i="78"/>
  <c r="AL103" i="78"/>
  <c r="AI43" i="78"/>
  <c r="AL80" i="78"/>
  <c r="AI82" i="78"/>
  <c r="AI107" i="78"/>
  <c r="AI102" i="78"/>
  <c r="AM102" i="78"/>
  <c r="AL96" i="78"/>
  <c r="AI106" i="78"/>
  <c r="AM88" i="78"/>
  <c r="AK87" i="78"/>
  <c r="AL117" i="78"/>
  <c r="AI98" i="78"/>
  <c r="AM85" i="78"/>
  <c r="AL102" i="78"/>
  <c r="AL105" i="78"/>
  <c r="AL106" i="78"/>
  <c r="AL86" i="78"/>
  <c r="AL91" i="78"/>
  <c r="AL82" i="78"/>
  <c r="AL97" i="78"/>
  <c r="AL101" i="78"/>
  <c r="AL95" i="78"/>
  <c r="M8" i="79"/>
  <c r="M33" i="79"/>
  <c r="AL89" i="78"/>
  <c r="AL85" i="78"/>
  <c r="AI95" i="78"/>
  <c r="AI85" i="78"/>
  <c r="AM91" i="78"/>
  <c r="AM87" i="78"/>
  <c r="AM83" i="78"/>
  <c r="AI100" i="78"/>
  <c r="AI99" i="78"/>
  <c r="AM82" i="78"/>
  <c r="AM98" i="78"/>
  <c r="AI92" i="78"/>
  <c r="AI93" i="78"/>
  <c r="AI109" i="78"/>
  <c r="AM109" i="78"/>
  <c r="AM103" i="78"/>
  <c r="AI94" i="78"/>
  <c r="AI83" i="78"/>
  <c r="AI89" i="78"/>
  <c r="AM105" i="78"/>
  <c r="AJ43" i="78"/>
  <c r="AK107" i="78"/>
  <c r="AW6" i="78"/>
  <c r="AW106" i="78" s="1"/>
  <c r="AL43" i="78"/>
  <c r="AI117" i="78"/>
  <c r="AI91" i="78"/>
  <c r="AT6" i="78"/>
  <c r="AS1" i="78" s="1"/>
  <c r="AM90" i="78"/>
  <c r="AM92" i="78"/>
  <c r="AM117" i="78"/>
  <c r="AJ107" i="78"/>
  <c r="AI88" i="78"/>
  <c r="AI87" i="78"/>
  <c r="AI97" i="78"/>
  <c r="AM86" i="78"/>
  <c r="AU6" i="78"/>
  <c r="AX107" i="78" s="1"/>
  <c r="AL104" i="78"/>
  <c r="AL90" i="78"/>
  <c r="AI84" i="78"/>
  <c r="AI80" i="78"/>
  <c r="AI104" i="78"/>
  <c r="AM95" i="78"/>
  <c r="AM80" i="78"/>
  <c r="AL93" i="78"/>
  <c r="AL109" i="78"/>
  <c r="AL87" i="78"/>
  <c r="AL92" i="78"/>
  <c r="AL107" i="78"/>
  <c r="AM10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Q146" i="78"/>
  <c r="S72" i="78"/>
  <c r="S109" i="78" s="1"/>
  <c r="AJ101" i="78"/>
  <c r="AJ88" i="78"/>
  <c r="AJ105" i="78"/>
  <c r="AJ94" i="78"/>
  <c r="AJ90" i="78"/>
  <c r="AK103" i="78"/>
  <c r="AK106" i="78"/>
  <c r="AK100" i="78"/>
  <c r="AK99" i="78"/>
  <c r="AE109" i="78"/>
  <c r="AE72" i="78"/>
  <c r="AF72" i="78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I6" i="78"/>
  <c r="AX43" i="78"/>
  <c r="BF6" i="78"/>
  <c r="AX109" i="78"/>
  <c r="AX88" i="78"/>
  <c r="AX91" i="78"/>
  <c r="AX97" i="78"/>
  <c r="AU43" i="78"/>
  <c r="AX103" i="78"/>
  <c r="AX94" i="78"/>
  <c r="AX106" i="78"/>
  <c r="AX80" i="78"/>
  <c r="AX89" i="78"/>
  <c r="AX95" i="78"/>
  <c r="AX100" i="78"/>
  <c r="AX98" i="78"/>
  <c r="AX99" i="78"/>
  <c r="AX90" i="78"/>
  <c r="AX85" i="78"/>
  <c r="AX83" i="78"/>
  <c r="AX105" i="78"/>
  <c r="AX86" i="78"/>
  <c r="AX101" i="78"/>
  <c r="AX96" i="78"/>
  <c r="AX102" i="78"/>
  <c r="AX84" i="78"/>
  <c r="AX82" i="78"/>
  <c r="AX104" i="78"/>
  <c r="AX92" i="78"/>
  <c r="AX93" i="78"/>
  <c r="AX87" i="78"/>
  <c r="AH38" i="78"/>
  <c r="AH75" i="78"/>
  <c r="AH112" i="78"/>
  <c r="BE6" i="78"/>
  <c r="BD1" i="78" s="1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V33" i="79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AE26" i="76"/>
  <c r="AF26" i="76"/>
  <c r="AG26" i="76"/>
  <c r="Q26" i="76"/>
  <c r="AE22" i="76"/>
  <c r="AF22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E9" i="76"/>
  <c r="AF9" i="76"/>
  <c r="AG9" i="76"/>
  <c r="AW96" i="78" l="1"/>
  <c r="AW102" i="78"/>
  <c r="AW104" i="78"/>
  <c r="AW90" i="78"/>
  <c r="AW117" i="78"/>
  <c r="AV107" i="78"/>
  <c r="BH6" i="78"/>
  <c r="BH98" i="78" s="1"/>
  <c r="AW43" i="78"/>
  <c r="BI107" i="78"/>
  <c r="AW92" i="78"/>
  <c r="AW99" i="78"/>
  <c r="AX117" i="78"/>
  <c r="AU107" i="78"/>
  <c r="AW101" i="78"/>
  <c r="AW103" i="78"/>
  <c r="AW86" i="78"/>
  <c r="AW87" i="78"/>
  <c r="AW88" i="78"/>
  <c r="AW98" i="78"/>
  <c r="AW84" i="78"/>
  <c r="AW107" i="78"/>
  <c r="AW97" i="78"/>
  <c r="AW83" i="78"/>
  <c r="AW91" i="78"/>
  <c r="AW82" i="78"/>
  <c r="AW85" i="78"/>
  <c r="AW94" i="78"/>
  <c r="AW95" i="78"/>
  <c r="BE107" i="78"/>
  <c r="AW93" i="78"/>
  <c r="AW100" i="78"/>
  <c r="AW89" i="78"/>
  <c r="AW109" i="78"/>
  <c r="AW105" i="78"/>
  <c r="AW80" i="78"/>
  <c r="AT107" i="78"/>
  <c r="X22" i="76"/>
  <c r="W22" i="76"/>
  <c r="Y22" i="76"/>
  <c r="V22" i="76"/>
  <c r="AG22" i="76"/>
  <c r="AG49" i="76" s="1"/>
  <c r="AG82" i="76" s="1"/>
  <c r="T22" i="76"/>
  <c r="T49" i="76" s="1"/>
  <c r="AC22" i="76"/>
  <c r="Q22" i="76"/>
  <c r="R22" i="76"/>
  <c r="R49" i="76" s="1"/>
  <c r="R82" i="76" s="1"/>
  <c r="AB22" i="76"/>
  <c r="AB49" i="76" s="1"/>
  <c r="U22" i="76"/>
  <c r="U49" i="76" s="1"/>
  <c r="AD22" i="76"/>
  <c r="AA22" i="76"/>
  <c r="AA49" i="76" s="1"/>
  <c r="AA82" i="76" s="1"/>
  <c r="S22" i="76"/>
  <c r="Z22" i="76"/>
  <c r="AV95" i="78"/>
  <c r="AV91" i="78"/>
  <c r="BH101" i="78"/>
  <c r="BH87" i="78"/>
  <c r="AU104" i="78"/>
  <c r="AU101" i="78"/>
  <c r="AV117" i="78"/>
  <c r="AU88" i="78"/>
  <c r="AU96" i="78"/>
  <c r="BG6" i="78"/>
  <c r="AV96" i="78"/>
  <c r="AU103" i="78"/>
  <c r="AV94" i="78"/>
  <c r="AU105" i="78"/>
  <c r="AV97" i="78"/>
  <c r="BH99" i="78"/>
  <c r="AV103" i="78"/>
  <c r="BH100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BH109" i="78"/>
  <c r="BH86" i="78"/>
  <c r="AU117" i="78"/>
  <c r="AU91" i="78"/>
  <c r="AU83" i="78"/>
  <c r="AV82" i="78"/>
  <c r="AV109" i="78"/>
  <c r="AV102" i="78"/>
  <c r="BH93" i="78"/>
  <c r="BH95" i="78"/>
  <c r="BH103" i="78"/>
  <c r="AU94" i="78"/>
  <c r="AU97" i="78"/>
  <c r="AU99" i="78"/>
  <c r="AV93" i="78"/>
  <c r="AV85" i="78"/>
  <c r="AV99" i="78"/>
  <c r="BH83" i="78"/>
  <c r="BH90" i="78"/>
  <c r="BH80" i="78"/>
  <c r="BH106" i="78"/>
  <c r="AU82" i="78"/>
  <c r="AU102" i="78"/>
  <c r="AU109" i="78"/>
  <c r="AU84" i="78"/>
  <c r="AU93" i="78"/>
  <c r="AV106" i="78"/>
  <c r="AV89" i="78"/>
  <c r="AV87" i="78"/>
  <c r="AV104" i="78"/>
  <c r="BH96" i="78"/>
  <c r="BH117" i="78"/>
  <c r="BH88" i="78"/>
  <c r="BH84" i="78"/>
  <c r="AE49" i="76"/>
  <c r="AD72" i="78"/>
  <c r="AD109" i="78" s="1"/>
  <c r="BH91" i="78"/>
  <c r="BH82" i="78"/>
  <c r="BH89" i="78"/>
  <c r="BH97" i="78"/>
  <c r="V8" i="79"/>
  <c r="AD35" i="79"/>
  <c r="Z35" i="79"/>
  <c r="AE35" i="79"/>
  <c r="Y35" i="79"/>
  <c r="AF35" i="79"/>
  <c r="AG35" i="79"/>
  <c r="AB35" i="79"/>
  <c r="AC35" i="79"/>
  <c r="AA35" i="79"/>
  <c r="BH102" i="78"/>
  <c r="BH105" i="78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O1" i="78" s="1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W49" i="76"/>
  <c r="AF49" i="76"/>
  <c r="X49" i="76"/>
  <c r="X82" i="76" s="1"/>
  <c r="B20" i="52"/>
  <c r="Z49" i="76"/>
  <c r="Z82" i="76" s="1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33" i="21"/>
  <c r="AF33" i="21"/>
  <c r="AE33" i="21"/>
  <c r="AD33" i="21"/>
  <c r="AD38" i="21" s="1"/>
  <c r="AC33" i="21"/>
  <c r="AB33" i="21"/>
  <c r="AA33" i="21"/>
  <c r="Z33" i="21"/>
  <c r="Y33" i="21"/>
  <c r="X33" i="21"/>
  <c r="W33" i="21"/>
  <c r="V33" i="21"/>
  <c r="U33" i="21"/>
  <c r="T33" i="21"/>
  <c r="S33" i="21"/>
  <c r="R33" i="21"/>
  <c r="Q33" i="21"/>
  <c r="AG18" i="21"/>
  <c r="AF18" i="21"/>
  <c r="AE18" i="21"/>
  <c r="AC18" i="21"/>
  <c r="AB18" i="21"/>
  <c r="AA18" i="21"/>
  <c r="Z18" i="21"/>
  <c r="Y18" i="21"/>
  <c r="X18" i="21"/>
  <c r="W18" i="21"/>
  <c r="V18" i="21"/>
  <c r="U18" i="21"/>
  <c r="T18" i="21"/>
  <c r="S18" i="21"/>
  <c r="R18" i="21"/>
  <c r="Q18" i="21"/>
  <c r="AG11" i="21"/>
  <c r="AF11" i="21"/>
  <c r="AE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C180" i="71"/>
  <c r="E180" i="71"/>
  <c r="BH92" i="78" l="1"/>
  <c r="BH85" i="78"/>
  <c r="BH104" i="78"/>
  <c r="BH94" i="78"/>
  <c r="BH107" i="78"/>
  <c r="AE73" i="76"/>
  <c r="AE82" i="76"/>
  <c r="T73" i="76"/>
  <c r="T82" i="76"/>
  <c r="U73" i="76"/>
  <c r="U82" i="76"/>
  <c r="AF69" i="76"/>
  <c r="AF82" i="76"/>
  <c r="AB73" i="76"/>
  <c r="AB82" i="76"/>
  <c r="W73" i="76"/>
  <c r="W82" i="76"/>
  <c r="BP107" i="78"/>
  <c r="BT107" i="78"/>
  <c r="BG107" i="78"/>
  <c r="BH43" i="78"/>
  <c r="BS6" i="78"/>
  <c r="BI117" i="78"/>
  <c r="BF107" i="78"/>
  <c r="D180" i="71"/>
  <c r="H180" i="71" s="1"/>
  <c r="M7" i="75" s="1"/>
  <c r="M109" i="75"/>
  <c r="W56" i="76"/>
  <c r="AF73" i="76"/>
  <c r="AE56" i="76"/>
  <c r="AG65" i="76"/>
  <c r="AG70" i="76"/>
  <c r="AG80" i="76"/>
  <c r="AG60" i="76"/>
  <c r="AG75" i="76"/>
  <c r="AG74" i="76"/>
  <c r="AG54" i="76"/>
  <c r="AG59" i="76"/>
  <c r="AG64" i="76"/>
  <c r="AG53" i="76"/>
  <c r="AG58" i="76"/>
  <c r="AG63" i="76"/>
  <c r="AG67" i="76"/>
  <c r="AG77" i="76"/>
  <c r="AG89" i="76"/>
  <c r="AG94" i="76"/>
  <c r="AG57" i="76"/>
  <c r="AG66" i="76"/>
  <c r="AG81" i="76"/>
  <c r="AG85" i="76"/>
  <c r="AG71" i="76"/>
  <c r="AG93" i="76"/>
  <c r="AG86" i="76"/>
  <c r="AG96" i="76"/>
  <c r="AG76" i="76"/>
  <c r="AG90" i="76"/>
  <c r="AG79" i="76"/>
  <c r="AG88" i="76"/>
  <c r="AG84" i="76"/>
  <c r="AG92" i="76"/>
  <c r="AG62" i="76"/>
  <c r="AG52" i="76"/>
  <c r="AE60" i="76"/>
  <c r="AE65" i="76"/>
  <c r="AE70" i="76"/>
  <c r="AE75" i="76"/>
  <c r="AE80" i="76"/>
  <c r="AE86" i="76"/>
  <c r="AE54" i="76"/>
  <c r="AE59" i="76"/>
  <c r="AE64" i="76"/>
  <c r="AE74" i="76"/>
  <c r="AE53" i="76"/>
  <c r="AE58" i="76"/>
  <c r="AE63" i="76"/>
  <c r="AE67" i="76"/>
  <c r="AE77" i="76"/>
  <c r="AE89" i="76"/>
  <c r="AE94" i="76"/>
  <c r="AE66" i="76"/>
  <c r="AE71" i="76"/>
  <c r="AE57" i="76"/>
  <c r="AE76" i="76"/>
  <c r="AE81" i="76"/>
  <c r="AE85" i="76"/>
  <c r="AE93" i="76"/>
  <c r="AE96" i="76"/>
  <c r="AE90" i="76"/>
  <c r="AE62" i="76"/>
  <c r="AE88" i="76"/>
  <c r="AE84" i="76"/>
  <c r="AE79" i="76"/>
  <c r="AE52" i="76"/>
  <c r="AE92" i="76"/>
  <c r="AG56" i="76"/>
  <c r="U75" i="76"/>
  <c r="U60" i="76"/>
  <c r="U65" i="76"/>
  <c r="U70" i="76"/>
  <c r="U80" i="76"/>
  <c r="U74" i="76"/>
  <c r="U54" i="76"/>
  <c r="U59" i="76"/>
  <c r="U64" i="76"/>
  <c r="U53" i="76"/>
  <c r="U58" i="76"/>
  <c r="U63" i="76"/>
  <c r="U67" i="76"/>
  <c r="U77" i="76"/>
  <c r="U89" i="76"/>
  <c r="U94" i="76"/>
  <c r="U57" i="76"/>
  <c r="U66" i="76"/>
  <c r="U71" i="76"/>
  <c r="U86" i="76"/>
  <c r="U85" i="76"/>
  <c r="U96" i="76"/>
  <c r="U90" i="76"/>
  <c r="U76" i="76"/>
  <c r="U81" i="76"/>
  <c r="U93" i="76"/>
  <c r="U79" i="76"/>
  <c r="U52" i="76"/>
  <c r="U84" i="76"/>
  <c r="U62" i="76"/>
  <c r="U88" i="76"/>
  <c r="U92" i="76"/>
  <c r="U69" i="76"/>
  <c r="T69" i="76"/>
  <c r="AA67" i="76"/>
  <c r="AA53" i="76"/>
  <c r="AA58" i="76"/>
  <c r="AA63" i="76"/>
  <c r="AA77" i="76"/>
  <c r="AA76" i="76"/>
  <c r="AA81" i="76"/>
  <c r="AA57" i="76"/>
  <c r="AA66" i="76"/>
  <c r="AA71" i="76"/>
  <c r="AA60" i="76"/>
  <c r="AA65" i="76"/>
  <c r="AA70" i="76"/>
  <c r="AA75" i="76"/>
  <c r="AA80" i="76"/>
  <c r="AA86" i="76"/>
  <c r="AA54" i="76"/>
  <c r="AA59" i="76"/>
  <c r="AA64" i="76"/>
  <c r="AA93" i="76"/>
  <c r="AA96" i="76"/>
  <c r="AA74" i="76"/>
  <c r="AA90" i="76"/>
  <c r="AA85" i="76"/>
  <c r="AA94" i="76"/>
  <c r="AA89" i="76"/>
  <c r="AA88" i="76"/>
  <c r="AA84" i="76"/>
  <c r="AA92" i="76"/>
  <c r="AA79" i="76"/>
  <c r="AA52" i="76"/>
  <c r="AA62" i="76"/>
  <c r="R54" i="76"/>
  <c r="R59" i="76"/>
  <c r="R64" i="76"/>
  <c r="R74" i="76"/>
  <c r="R85" i="76"/>
  <c r="R53" i="76"/>
  <c r="R67" i="76"/>
  <c r="R58" i="76"/>
  <c r="R63" i="76"/>
  <c r="R77" i="76"/>
  <c r="R57" i="76"/>
  <c r="R66" i="76"/>
  <c r="R71" i="76"/>
  <c r="R76" i="76"/>
  <c r="R81" i="76"/>
  <c r="R93" i="76"/>
  <c r="R60" i="76"/>
  <c r="R65" i="76"/>
  <c r="R70" i="76"/>
  <c r="R86" i="76"/>
  <c r="R96" i="76"/>
  <c r="R90" i="76"/>
  <c r="R75" i="76"/>
  <c r="R89" i="76"/>
  <c r="R80" i="76"/>
  <c r="R94" i="76"/>
  <c r="R92" i="76"/>
  <c r="R84" i="76"/>
  <c r="R79" i="76"/>
  <c r="R52" i="76"/>
  <c r="R62" i="76"/>
  <c r="R88" i="76"/>
  <c r="AB69" i="76"/>
  <c r="AG73" i="76"/>
  <c r="U56" i="76"/>
  <c r="AG69" i="76"/>
  <c r="AB54" i="76"/>
  <c r="AB59" i="76"/>
  <c r="AB64" i="76"/>
  <c r="AB74" i="76"/>
  <c r="AB85" i="76"/>
  <c r="AB90" i="76"/>
  <c r="AB96" i="76"/>
  <c r="AB53" i="76"/>
  <c r="AB58" i="76"/>
  <c r="AB63" i="76"/>
  <c r="AB67" i="76"/>
  <c r="AB77" i="76"/>
  <c r="AB57" i="76"/>
  <c r="AB66" i="76"/>
  <c r="AB71" i="76"/>
  <c r="AB76" i="76"/>
  <c r="AB81" i="76"/>
  <c r="AB93" i="76"/>
  <c r="AB70" i="76"/>
  <c r="AB75" i="76"/>
  <c r="AB60" i="76"/>
  <c r="AB65" i="76"/>
  <c r="AB89" i="76"/>
  <c r="AB86" i="76"/>
  <c r="AB80" i="76"/>
  <c r="AB94" i="76"/>
  <c r="AB88" i="76"/>
  <c r="AB79" i="76"/>
  <c r="AB92" i="76"/>
  <c r="AB62" i="76"/>
  <c r="AB84" i="76"/>
  <c r="AB52" i="76"/>
  <c r="AC49" i="76"/>
  <c r="AC82" i="76" s="1"/>
  <c r="AA73" i="76"/>
  <c r="R73" i="76"/>
  <c r="AA56" i="76"/>
  <c r="W69" i="76"/>
  <c r="X71" i="76"/>
  <c r="X76" i="76"/>
  <c r="X81" i="76"/>
  <c r="X57" i="76"/>
  <c r="X66" i="76"/>
  <c r="X65" i="76"/>
  <c r="X70" i="76"/>
  <c r="X80" i="76"/>
  <c r="X60" i="76"/>
  <c r="X75" i="76"/>
  <c r="X54" i="76"/>
  <c r="X59" i="76"/>
  <c r="X64" i="76"/>
  <c r="X74" i="76"/>
  <c r="X85" i="76"/>
  <c r="X90" i="76"/>
  <c r="X96" i="76"/>
  <c r="X53" i="76"/>
  <c r="X58" i="76"/>
  <c r="X63" i="76"/>
  <c r="X67" i="76"/>
  <c r="X77" i="76"/>
  <c r="X93" i="76"/>
  <c r="X94" i="76"/>
  <c r="X86" i="76"/>
  <c r="X89" i="76"/>
  <c r="X62" i="76"/>
  <c r="X88" i="76"/>
  <c r="X92" i="76"/>
  <c r="X84" i="76"/>
  <c r="X52" i="76"/>
  <c r="X79" i="76"/>
  <c r="AD49" i="76"/>
  <c r="AA69" i="76"/>
  <c r="R69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57" i="76"/>
  <c r="T66" i="76"/>
  <c r="T71" i="76"/>
  <c r="T76" i="76"/>
  <c r="T81" i="76"/>
  <c r="T93" i="76"/>
  <c r="T62" i="76"/>
  <c r="T84" i="76"/>
  <c r="T88" i="76"/>
  <c r="T92" i="76"/>
  <c r="T79" i="76"/>
  <c r="T52" i="76"/>
  <c r="AF60" i="76"/>
  <c r="AF65" i="76"/>
  <c r="AF70" i="76"/>
  <c r="AF75" i="76"/>
  <c r="AF80" i="76"/>
  <c r="AF86" i="76"/>
  <c r="AF54" i="76"/>
  <c r="AF59" i="76"/>
  <c r="AF64" i="76"/>
  <c r="AF74" i="76"/>
  <c r="AF85" i="76"/>
  <c r="AF90" i="76"/>
  <c r="AF96" i="76"/>
  <c r="AF53" i="76"/>
  <c r="AF58" i="76"/>
  <c r="AF63" i="76"/>
  <c r="AF67" i="76"/>
  <c r="AF77" i="76"/>
  <c r="AF89" i="76"/>
  <c r="AF94" i="76"/>
  <c r="AF57" i="76"/>
  <c r="AF66" i="76"/>
  <c r="AF71" i="76"/>
  <c r="AF76" i="76"/>
  <c r="AF81" i="76"/>
  <c r="AF93" i="76"/>
  <c r="AF88" i="76"/>
  <c r="AF92" i="76"/>
  <c r="AF84" i="76"/>
  <c r="AF79" i="76"/>
  <c r="AF62" i="76"/>
  <c r="AF52" i="76"/>
  <c r="T56" i="76"/>
  <c r="X56" i="76"/>
  <c r="X73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54" i="76"/>
  <c r="Z59" i="76"/>
  <c r="Z64" i="76"/>
  <c r="Z74" i="76"/>
  <c r="Z85" i="76"/>
  <c r="Z90" i="76"/>
  <c r="Z96" i="76"/>
  <c r="Z62" i="76"/>
  <c r="Z52" i="76"/>
  <c r="Z88" i="76"/>
  <c r="Z84" i="76"/>
  <c r="Z79" i="76"/>
  <c r="Z92" i="76"/>
  <c r="AB56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53" i="76"/>
  <c r="W58" i="76"/>
  <c r="W63" i="76"/>
  <c r="W67" i="76"/>
  <c r="W77" i="76"/>
  <c r="W89" i="76"/>
  <c r="W94" i="76"/>
  <c r="W84" i="76"/>
  <c r="W52" i="76"/>
  <c r="W88" i="76"/>
  <c r="W79" i="76"/>
  <c r="W62" i="76"/>
  <c r="W92" i="76"/>
  <c r="Z73" i="76"/>
  <c r="AF56" i="76"/>
  <c r="Z56" i="76"/>
  <c r="X69" i="76"/>
  <c r="V49" i="76"/>
  <c r="V82" i="76" s="1"/>
  <c r="S49" i="76"/>
  <c r="S82" i="76" s="1"/>
  <c r="Y49" i="76"/>
  <c r="Y82" i="76" s="1"/>
  <c r="Z69" i="76"/>
  <c r="Q49" i="76"/>
  <c r="AE69" i="76"/>
  <c r="R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87" i="78"/>
  <c r="BS88" i="78"/>
  <c r="BS84" i="78"/>
  <c r="BS92" i="78"/>
  <c r="BS94" i="78"/>
  <c r="BS98" i="78"/>
  <c r="BS106" i="78"/>
  <c r="BS82" i="78"/>
  <c r="BS91" i="78"/>
  <c r="BS86" i="78"/>
  <c r="BS103" i="78"/>
  <c r="BS97" i="78"/>
  <c r="BS117" i="78"/>
  <c r="BS99" i="78"/>
  <c r="BS95" i="78"/>
  <c r="BS93" i="78"/>
  <c r="BS104" i="78"/>
  <c r="BS101" i="78"/>
  <c r="BS83" i="78"/>
  <c r="BS80" i="78"/>
  <c r="BS102" i="78"/>
  <c r="BS89" i="78"/>
  <c r="BS96" i="78"/>
  <c r="BS105" i="78"/>
  <c r="BS85" i="78"/>
  <c r="BS100" i="78"/>
  <c r="BS90" i="78"/>
  <c r="F109" i="71"/>
  <c r="F146" i="71"/>
  <c r="N109" i="75" s="1"/>
  <c r="B109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Q38" i="21"/>
  <c r="B8" i="52"/>
  <c r="C146" i="71"/>
  <c r="C109" i="71"/>
  <c r="P8" i="52"/>
  <c r="N8" i="52"/>
  <c r="L8" i="52"/>
  <c r="K8" i="52"/>
  <c r="J8" i="52"/>
  <c r="H8" i="52"/>
  <c r="G8" i="52"/>
  <c r="AD69" i="76" l="1"/>
  <c r="AD82" i="76"/>
  <c r="Q69" i="76"/>
  <c r="Q82" i="76"/>
  <c r="I180" i="71"/>
  <c r="N7" i="75" s="1"/>
  <c r="CA107" i="78"/>
  <c r="BR107" i="78"/>
  <c r="CD6" i="78"/>
  <c r="CD99" i="78" s="1"/>
  <c r="BS43" i="78"/>
  <c r="CE107" i="78"/>
  <c r="BS107" i="78"/>
  <c r="BR109" i="78"/>
  <c r="BQ107" i="78"/>
  <c r="BS109" i="78"/>
  <c r="BZ1" i="78"/>
  <c r="Y53" i="76"/>
  <c r="Y58" i="76"/>
  <c r="Y63" i="76"/>
  <c r="Y67" i="76"/>
  <c r="Y77" i="76"/>
  <c r="Y89" i="76"/>
  <c r="Y94" i="76"/>
  <c r="Y57" i="76"/>
  <c r="Y66" i="76"/>
  <c r="Y71" i="76"/>
  <c r="Y76" i="76"/>
  <c r="Y60" i="76"/>
  <c r="Y65" i="76"/>
  <c r="Y70" i="76"/>
  <c r="Y75" i="76"/>
  <c r="Y80" i="76"/>
  <c r="Y86" i="76"/>
  <c r="Y64" i="76"/>
  <c r="Y54" i="76"/>
  <c r="Y59" i="76"/>
  <c r="Y74" i="76"/>
  <c r="Y85" i="76"/>
  <c r="Y81" i="76"/>
  <c r="Y93" i="76"/>
  <c r="Y90" i="76"/>
  <c r="Y96" i="76"/>
  <c r="Y79" i="76"/>
  <c r="Y92" i="76"/>
  <c r="Y52" i="76"/>
  <c r="Y62" i="76"/>
  <c r="Y84" i="76"/>
  <c r="Y88" i="76"/>
  <c r="Y56" i="76"/>
  <c r="Y73" i="76"/>
  <c r="S60" i="76"/>
  <c r="S65" i="76"/>
  <c r="S70" i="76"/>
  <c r="S75" i="76"/>
  <c r="S80" i="76"/>
  <c r="S86" i="76"/>
  <c r="S54" i="76"/>
  <c r="S59" i="76"/>
  <c r="S64" i="76"/>
  <c r="S74" i="76"/>
  <c r="S53" i="76"/>
  <c r="S58" i="76"/>
  <c r="S63" i="76"/>
  <c r="S67" i="76"/>
  <c r="S77" i="76"/>
  <c r="S89" i="76"/>
  <c r="S94" i="76"/>
  <c r="S81" i="76"/>
  <c r="S57" i="76"/>
  <c r="S66" i="76"/>
  <c r="S71" i="76"/>
  <c r="S96" i="76"/>
  <c r="S85" i="76"/>
  <c r="S90" i="76"/>
  <c r="S76" i="76"/>
  <c r="S93" i="76"/>
  <c r="S84" i="76"/>
  <c r="S79" i="76"/>
  <c r="S52" i="76"/>
  <c r="S88" i="76"/>
  <c r="S92" i="76"/>
  <c r="S62" i="76"/>
  <c r="S73" i="76"/>
  <c r="S56" i="76"/>
  <c r="S69" i="76"/>
  <c r="V57" i="76"/>
  <c r="V66" i="76"/>
  <c r="V71" i="76"/>
  <c r="V76" i="76"/>
  <c r="V81" i="76"/>
  <c r="V93" i="76"/>
  <c r="V60" i="76"/>
  <c r="V65" i="76"/>
  <c r="V70" i="76"/>
  <c r="V75" i="76"/>
  <c r="V54" i="76"/>
  <c r="V59" i="76"/>
  <c r="V64" i="76"/>
  <c r="V74" i="76"/>
  <c r="V85" i="76"/>
  <c r="V90" i="76"/>
  <c r="V96" i="76"/>
  <c r="V53" i="76"/>
  <c r="V77" i="76"/>
  <c r="V58" i="76"/>
  <c r="V63" i="76"/>
  <c r="V67" i="76"/>
  <c r="V89" i="76"/>
  <c r="V86" i="76"/>
  <c r="V80" i="76"/>
  <c r="V94" i="76"/>
  <c r="V88" i="76"/>
  <c r="V84" i="76"/>
  <c r="V62" i="76"/>
  <c r="V92" i="76"/>
  <c r="V79" i="76"/>
  <c r="V52" i="76"/>
  <c r="V56" i="76"/>
  <c r="V73" i="76"/>
  <c r="V69" i="76"/>
  <c r="AD64" i="76"/>
  <c r="AD74" i="76"/>
  <c r="AD54" i="76"/>
  <c r="AD59" i="76"/>
  <c r="AD77" i="76"/>
  <c r="AD53" i="76"/>
  <c r="AD58" i="76"/>
  <c r="AD63" i="76"/>
  <c r="AD67" i="76"/>
  <c r="AD57" i="76"/>
  <c r="AD66" i="76"/>
  <c r="AD71" i="76"/>
  <c r="AD76" i="76"/>
  <c r="AD81" i="76"/>
  <c r="AD93" i="76"/>
  <c r="AD60" i="76"/>
  <c r="AD65" i="76"/>
  <c r="AD94" i="76"/>
  <c r="AD70" i="76"/>
  <c r="AD89" i="76"/>
  <c r="AD96" i="76"/>
  <c r="AD86" i="76"/>
  <c r="AD75" i="76"/>
  <c r="AD80" i="76"/>
  <c r="AD90" i="76"/>
  <c r="AD85" i="76"/>
  <c r="AD79" i="76"/>
  <c r="AD84" i="76"/>
  <c r="AD92" i="76"/>
  <c r="AD62" i="76"/>
  <c r="AD52" i="76"/>
  <c r="AD88" i="76"/>
  <c r="AD73" i="76"/>
  <c r="AD5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0" i="76"/>
  <c r="Q65" i="76"/>
  <c r="Q70" i="76"/>
  <c r="Q75" i="76"/>
  <c r="Q80" i="76"/>
  <c r="Q86" i="76"/>
  <c r="Q56" i="76"/>
  <c r="Q84" i="76"/>
  <c r="Q52" i="76"/>
  <c r="Q92" i="76"/>
  <c r="Q62" i="76"/>
  <c r="Q79" i="76"/>
  <c r="Q88" i="76"/>
  <c r="Q73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60" i="76"/>
  <c r="AC65" i="76"/>
  <c r="AC70" i="76"/>
  <c r="AC75" i="76"/>
  <c r="AC80" i="76"/>
  <c r="AC86" i="76"/>
  <c r="AC84" i="76"/>
  <c r="AC92" i="76"/>
  <c r="AC88" i="76"/>
  <c r="AC62" i="76"/>
  <c r="AC79" i="76"/>
  <c r="AC52" i="76"/>
  <c r="AC73" i="76"/>
  <c r="AC56" i="76"/>
  <c r="Y69" i="76"/>
  <c r="AC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91" i="78" l="1"/>
  <c r="CD83" i="78"/>
  <c r="CD84" i="78"/>
  <c r="CD87" i="78"/>
  <c r="CD85" i="78"/>
  <c r="CD109" i="78"/>
  <c r="CD90" i="78"/>
  <c r="CD97" i="78"/>
  <c r="CD105" i="78"/>
  <c r="CD117" i="78"/>
  <c r="CD94" i="78"/>
  <c r="CD98" i="78"/>
  <c r="CD93" i="78"/>
  <c r="CD86" i="78"/>
  <c r="CD82" i="78"/>
  <c r="CD96" i="78"/>
  <c r="CD95" i="78"/>
  <c r="CD89" i="78"/>
  <c r="CD88" i="78"/>
  <c r="CD101" i="78"/>
  <c r="CD106" i="78"/>
  <c r="CD107" i="78"/>
  <c r="CL107" i="78"/>
  <c r="CD92" i="78"/>
  <c r="CD102" i="78"/>
  <c r="CD104" i="78"/>
  <c r="CD80" i="78"/>
  <c r="CD103" i="78"/>
  <c r="CD100" i="78"/>
  <c r="CP43" i="78"/>
  <c r="CP107" i="78"/>
  <c r="CC80" i="78"/>
  <c r="CB107" i="78"/>
  <c r="CC107" i="78"/>
  <c r="CO6" i="78"/>
  <c r="CO83" i="78" s="1"/>
  <c r="CD43" i="78"/>
  <c r="CE117" i="78"/>
  <c r="CB87" i="78"/>
  <c r="CK1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4" i="78" l="1"/>
  <c r="CO97" i="78"/>
  <c r="CO106" i="78"/>
  <c r="CO85" i="78"/>
  <c r="CO98" i="78"/>
  <c r="CO104" i="78"/>
  <c r="CO103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91" i="78"/>
  <c r="CO87" i="78"/>
  <c r="CO95" i="78"/>
  <c r="CO117" i="78"/>
  <c r="CO109" i="78"/>
  <c r="CN107" i="78"/>
  <c r="CO43" i="78"/>
  <c r="CP117" i="78"/>
  <c r="CM107" i="78"/>
  <c r="CO107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H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35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35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N28" i="80"/>
  <c r="O28" i="80" s="1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H46" i="16" l="1"/>
  <c r="A479" i="76"/>
  <c r="L1" i="16"/>
  <c r="A1" i="16"/>
  <c r="B46" i="16"/>
  <c r="H80" i="16"/>
  <c r="M51" i="75" s="1"/>
  <c r="L39" i="16"/>
  <c r="I46" i="16"/>
  <c r="M152" i="75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E18" i="16"/>
  <c r="C18" i="16"/>
  <c r="Q40" i="80"/>
  <c r="E40" i="80"/>
  <c r="B41" i="80"/>
  <c r="B40" i="80"/>
  <c r="M163" i="75" l="1"/>
  <c r="H36" i="16"/>
  <c r="H27" i="11"/>
  <c r="J27" i="11"/>
  <c r="I27" i="11"/>
  <c r="AB14" i="106"/>
  <c r="Y14" i="106"/>
  <c r="C51" i="18"/>
  <c r="I60" i="18" s="1"/>
  <c r="X14" i="106"/>
  <c r="AC14" i="106"/>
  <c r="AA14" i="106"/>
  <c r="E51" i="18"/>
  <c r="K61" i="18" s="1"/>
  <c r="Z14" i="106"/>
  <c r="F52" i="11"/>
  <c r="F41" i="11"/>
  <c r="D33" i="16"/>
  <c r="H56" i="16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1" i="18" l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F80" i="49" s="1"/>
  <c r="D74" i="49"/>
  <c r="D75" i="49"/>
  <c r="D69" i="49"/>
  <c r="D58" i="49"/>
  <c r="D59" i="49"/>
  <c r="D54" i="49"/>
  <c r="D55" i="49"/>
  <c r="D51" i="49"/>
  <c r="F51" i="49" s="1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C33" i="49" l="1"/>
  <c r="D25" i="49"/>
  <c r="D26" i="49"/>
  <c r="D30" i="49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34" i="16" l="1"/>
  <c r="W54" i="16"/>
  <c r="W72" i="16"/>
  <c r="L54" i="16"/>
  <c r="W34" i="16"/>
  <c r="L72" i="16"/>
  <c r="L50" i="16"/>
  <c r="W30" i="16"/>
  <c r="L68" i="16"/>
  <c r="L30" i="16"/>
  <c r="W50" i="16"/>
  <c r="W68" i="16"/>
  <c r="W46" i="16"/>
  <c r="L46" i="16"/>
  <c r="W26" i="16"/>
  <c r="W64" i="16"/>
  <c r="L64" i="16"/>
  <c r="L26" i="16"/>
  <c r="L33" i="16"/>
  <c r="L71" i="16"/>
  <c r="W53" i="16"/>
  <c r="W71" i="16"/>
  <c r="L53" i="16"/>
  <c r="W33" i="16"/>
  <c r="L70" i="16"/>
  <c r="L32" i="16"/>
  <c r="W32" i="16"/>
  <c r="W52" i="16"/>
  <c r="W70" i="16"/>
  <c r="L52" i="16"/>
  <c r="W31" i="16"/>
  <c r="L69" i="16"/>
  <c r="L31" i="16"/>
  <c r="L51" i="16"/>
  <c r="W69" i="16"/>
  <c r="W51" i="16"/>
  <c r="W67" i="16"/>
  <c r="L49" i="16"/>
  <c r="W29" i="16"/>
  <c r="L67" i="16"/>
  <c r="L29" i="16"/>
  <c r="W49" i="16"/>
  <c r="W66" i="16"/>
  <c r="L48" i="16"/>
  <c r="L66" i="16"/>
  <c r="W28" i="16"/>
  <c r="L28" i="16"/>
  <c r="W48" i="16"/>
  <c r="W47" i="16"/>
  <c r="W65" i="16"/>
  <c r="L47" i="16"/>
  <c r="W27" i="16"/>
  <c r="L65" i="16"/>
  <c r="L27" i="16"/>
  <c r="A51" i="18"/>
  <c r="W56" i="16"/>
  <c r="W74" i="16"/>
  <c r="L56" i="16"/>
  <c r="W36" i="16"/>
  <c r="L74" i="16"/>
  <c r="L36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23" i="76" l="1"/>
  <c r="L70" i="76"/>
  <c r="L49" i="76"/>
  <c r="L96" i="76"/>
  <c r="L23" i="75"/>
  <c r="A87" i="18"/>
  <c r="A96" i="18"/>
  <c r="L18" i="75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9" i="79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109" i="78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339" i="76" l="1"/>
  <c r="A199" i="76"/>
  <c r="A1" i="76"/>
  <c r="A164" i="76"/>
  <c r="A234" i="76"/>
  <c r="A118" i="76"/>
  <c r="A444" i="76"/>
  <c r="A374" i="76"/>
  <c r="A409" i="76"/>
  <c r="A59" i="76"/>
  <c r="A304" i="76"/>
  <c r="A269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B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72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72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X94" i="60" s="1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DD58" i="60"/>
  <c r="DJ58" i="60" s="1"/>
  <c r="DP58" i="60" s="1"/>
  <c r="CX58" i="60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X77" i="60" l="1"/>
  <c r="CR77" i="60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F50" i="49" s="1"/>
  <c r="D52" i="49"/>
  <c r="D53" i="49"/>
  <c r="D56" i="49"/>
  <c r="D57" i="49"/>
  <c r="D60" i="49"/>
  <c r="F60" i="49" s="1"/>
  <c r="C93" i="49"/>
  <c r="C180" i="49" s="1"/>
  <c r="C267" i="49" s="1"/>
  <c r="D93" i="49"/>
  <c r="D180" i="49" s="1"/>
  <c r="D267" i="49" s="1"/>
  <c r="E93" i="49"/>
  <c r="E180" i="49" s="1"/>
  <c r="E267" i="49" s="1"/>
  <c r="F93" i="49"/>
  <c r="F180" i="49" s="1"/>
  <c r="F267" i="49" s="1"/>
  <c r="B93" i="49"/>
  <c r="B180" i="49" s="1"/>
  <c r="B267" i="49" s="1"/>
  <c r="C64" i="49"/>
  <c r="C151" i="49" s="1"/>
  <c r="C238" i="49" s="1"/>
  <c r="D64" i="49"/>
  <c r="D151" i="49" s="1"/>
  <c r="D238" i="49" s="1"/>
  <c r="E64" i="49"/>
  <c r="E151" i="49" s="1"/>
  <c r="E238" i="49" s="1"/>
  <c r="F64" i="49"/>
  <c r="F151" i="49" s="1"/>
  <c r="F238" i="49" s="1"/>
  <c r="B64" i="49"/>
  <c r="B151" i="49" s="1"/>
  <c r="B238" i="49" s="1"/>
  <c r="C35" i="49"/>
  <c r="D35" i="49"/>
  <c r="E35" i="49"/>
  <c r="F35" i="49"/>
  <c r="B35" i="49"/>
  <c r="A33" i="49"/>
  <c r="L41" i="49" l="1" a="1"/>
  <c r="L42" i="49" s="1"/>
  <c r="L19" i="49" a="1"/>
  <c r="L30" i="49" a="1"/>
  <c r="D7" i="49"/>
  <c r="D91" i="49"/>
  <c r="D62" i="49"/>
  <c r="D120" i="49"/>
  <c r="F122" i="49"/>
  <c r="F209" i="49" s="1"/>
  <c r="U35" i="49"/>
  <c r="D122" i="49"/>
  <c r="D209" i="49" s="1"/>
  <c r="S35" i="49"/>
  <c r="E122" i="49"/>
  <c r="E209" i="49" s="1"/>
  <c r="T35" i="49"/>
  <c r="D13" i="49"/>
  <c r="D12" i="49"/>
  <c r="D31" i="49"/>
  <c r="C122" i="49"/>
  <c r="C209" i="49" s="1"/>
  <c r="R35" i="49"/>
  <c r="B122" i="49"/>
  <c r="B209" i="49" s="1"/>
  <c r="Q35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36" i="49"/>
  <c r="N19" i="49" l="1" a="1"/>
  <c r="N27" i="49" s="1"/>
  <c r="N30" i="49" a="1"/>
  <c r="N37" i="49" s="1"/>
  <c r="L46" i="49"/>
  <c r="L43" i="49"/>
  <c r="N41" i="49" a="1"/>
  <c r="N49" i="49" s="1"/>
  <c r="L44" i="49"/>
  <c r="L47" i="49"/>
  <c r="L41" i="49"/>
  <c r="L49" i="49"/>
  <c r="L48" i="49"/>
  <c r="L45" i="49"/>
  <c r="L8" i="49" a="1"/>
  <c r="L30" i="49"/>
  <c r="L35" i="49"/>
  <c r="L37" i="49"/>
  <c r="L33" i="49"/>
  <c r="L34" i="49"/>
  <c r="L32" i="49"/>
  <c r="L31" i="49"/>
  <c r="L38" i="49"/>
  <c r="L36" i="49"/>
  <c r="L19" i="49"/>
  <c r="L26" i="49"/>
  <c r="L20" i="49"/>
  <c r="L27" i="49"/>
  <c r="L25" i="49"/>
  <c r="L24" i="49"/>
  <c r="L23" i="49"/>
  <c r="L22" i="49"/>
  <c r="L21" i="49"/>
  <c r="F91" i="49"/>
  <c r="F120" i="49"/>
  <c r="F62" i="49"/>
  <c r="D33" i="49"/>
  <c r="F9" i="49"/>
  <c r="F10" i="49"/>
  <c r="F18" i="49"/>
  <c r="F13" i="49"/>
  <c r="F19" i="49"/>
  <c r="F24" i="49"/>
  <c r="F14" i="49"/>
  <c r="F21" i="49"/>
  <c r="F31" i="49"/>
  <c r="F20" i="49"/>
  <c r="F8" i="49"/>
  <c r="F23" i="49"/>
  <c r="F27" i="49"/>
  <c r="F15" i="49"/>
  <c r="F7" i="49"/>
  <c r="F28" i="49"/>
  <c r="F12" i="49"/>
  <c r="N19" i="49" l="1"/>
  <c r="N20" i="49"/>
  <c r="N21" i="49"/>
  <c r="N45" i="49"/>
  <c r="N38" i="49"/>
  <c r="N26" i="49"/>
  <c r="N24" i="49"/>
  <c r="N22" i="49"/>
  <c r="N30" i="49"/>
  <c r="N33" i="49"/>
  <c r="N31" i="49"/>
  <c r="N34" i="49"/>
  <c r="N23" i="49"/>
  <c r="N36" i="49"/>
  <c r="N32" i="49"/>
  <c r="N25" i="49"/>
  <c r="N35" i="49"/>
  <c r="N48" i="49"/>
  <c r="N42" i="49"/>
  <c r="N47" i="49"/>
  <c r="N43" i="49"/>
  <c r="N44" i="49"/>
  <c r="N41" i="49"/>
  <c r="N46" i="49"/>
  <c r="L8" i="49"/>
  <c r="L15" i="49"/>
  <c r="L16" i="49"/>
  <c r="L13" i="49"/>
  <c r="L14" i="49"/>
  <c r="L12" i="49"/>
  <c r="L11" i="49"/>
  <c r="L10" i="49"/>
  <c r="L9" i="49"/>
  <c r="N8" i="49" a="1"/>
  <c r="F33" i="49"/>
  <c r="N8" i="49" l="1"/>
  <c r="N15" i="49"/>
  <c r="N10" i="49"/>
  <c r="N9" i="49"/>
  <c r="N11" i="49"/>
  <c r="N14" i="49"/>
  <c r="N16" i="49"/>
  <c r="N13" i="49"/>
  <c r="N12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E38" i="21"/>
  <c r="AF38" i="21"/>
  <c r="AG38" i="2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M2" i="51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43" i="18"/>
  <c r="B39" i="18"/>
  <c r="B34" i="18"/>
  <c r="H89" i="18" s="1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D37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N233" i="21" s="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7" i="76" l="1"/>
  <c r="K7" i="15"/>
  <c r="L7" i="15"/>
  <c r="A51" i="51"/>
  <c r="L9" i="15"/>
  <c r="E3" i="44"/>
  <c r="D89" i="18"/>
  <c r="C89" i="18"/>
  <c r="F3" i="44"/>
  <c r="F10" i="44" s="1"/>
  <c r="E89" i="18"/>
  <c r="F89" i="18"/>
  <c r="B89" i="18"/>
  <c r="B59" i="18"/>
  <c r="L41" i="76"/>
  <c r="L88" i="76"/>
  <c r="A1" i="51"/>
  <c r="L37" i="76"/>
  <c r="L84" i="76"/>
  <c r="L32" i="76"/>
  <c r="L79" i="76"/>
  <c r="L26" i="76"/>
  <c r="L73" i="76"/>
  <c r="L22" i="76"/>
  <c r="L69" i="76"/>
  <c r="L15" i="76"/>
  <c r="L62" i="76"/>
  <c r="L45" i="76"/>
  <c r="L92" i="76"/>
  <c r="L9" i="76"/>
  <c r="L56" i="76"/>
  <c r="N230" i="21"/>
  <c r="H17" i="11"/>
  <c r="C118" i="15"/>
  <c r="N11" i="19" s="1"/>
  <c r="C113" i="15"/>
  <c r="N16" i="19" s="1"/>
  <c r="C109" i="15"/>
  <c r="N20" i="19" s="1"/>
  <c r="C104" i="15"/>
  <c r="N25" i="19" s="1"/>
  <c r="C98" i="15"/>
  <c r="N31" i="19" s="1"/>
  <c r="C93" i="15"/>
  <c r="N36" i="19" s="1"/>
  <c r="C89" i="15"/>
  <c r="N40" i="19" s="1"/>
  <c r="C122" i="15"/>
  <c r="N7" i="19" s="1"/>
  <c r="C117" i="15"/>
  <c r="N12" i="19" s="1"/>
  <c r="C112" i="15"/>
  <c r="N17" i="19" s="1"/>
  <c r="C108" i="15"/>
  <c r="N21" i="19" s="1"/>
  <c r="C103" i="15"/>
  <c r="N26" i="19" s="1"/>
  <c r="C97" i="15"/>
  <c r="N32" i="19" s="1"/>
  <c r="C92" i="15"/>
  <c r="N37" i="19" s="1"/>
  <c r="C114" i="15"/>
  <c r="N15" i="19" s="1"/>
  <c r="C105" i="15"/>
  <c r="N24" i="19" s="1"/>
  <c r="C95" i="15"/>
  <c r="N34" i="19" s="1"/>
  <c r="C120" i="15"/>
  <c r="N9" i="19" s="1"/>
  <c r="C115" i="15"/>
  <c r="N14" i="19" s="1"/>
  <c r="C111" i="15"/>
  <c r="N18" i="19" s="1"/>
  <c r="C107" i="15"/>
  <c r="N22" i="19" s="1"/>
  <c r="C102" i="15"/>
  <c r="N27" i="19" s="1"/>
  <c r="C96" i="15"/>
  <c r="N33" i="19" s="1"/>
  <c r="C91" i="15"/>
  <c r="N38" i="19" s="1"/>
  <c r="C119" i="15"/>
  <c r="N10" i="19" s="1"/>
  <c r="C110" i="15"/>
  <c r="N19" i="19" s="1"/>
  <c r="C100" i="15"/>
  <c r="N29" i="19" s="1"/>
  <c r="C90" i="15"/>
  <c r="N39" i="19" s="1"/>
  <c r="C3" i="44"/>
  <c r="L15" i="15"/>
  <c r="B3" i="44"/>
  <c r="F12" i="44"/>
  <c r="F11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59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A53" i="18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4" i="18"/>
  <c r="H96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E46" i="44" l="1"/>
  <c r="B5" i="44"/>
  <c r="B7" i="44"/>
  <c r="B9" i="44"/>
  <c r="B11" i="44"/>
  <c r="B13" i="44"/>
  <c r="B10" i="44"/>
  <c r="B12" i="44"/>
  <c r="B6" i="44"/>
  <c r="B8" i="44"/>
  <c r="E7" i="44"/>
  <c r="E9" i="44"/>
  <c r="E11" i="44"/>
  <c r="E13" i="44"/>
  <c r="E5" i="44"/>
  <c r="E8" i="44"/>
  <c r="E10" i="44"/>
  <c r="E38" i="44" s="1"/>
  <c r="E12" i="44"/>
  <c r="E54" i="44" s="1"/>
  <c r="E6" i="44"/>
  <c r="C7" i="44"/>
  <c r="C9" i="44"/>
  <c r="C11" i="44"/>
  <c r="C13" i="44"/>
  <c r="C5" i="44"/>
  <c r="C6" i="44"/>
  <c r="C8" i="44"/>
  <c r="C10" i="44"/>
  <c r="C12" i="44"/>
  <c r="D7" i="44"/>
  <c r="D9" i="44"/>
  <c r="D11" i="44"/>
  <c r="D13" i="44"/>
  <c r="D5" i="44"/>
  <c r="D8" i="44"/>
  <c r="D10" i="44"/>
  <c r="F52" i="44" s="1"/>
  <c r="D12" i="44"/>
  <c r="F40" i="44" s="1"/>
  <c r="D6" i="44"/>
  <c r="F5" i="44"/>
  <c r="E33" i="44" s="1"/>
  <c r="F13" i="44"/>
  <c r="F6" i="44"/>
  <c r="A1" i="44"/>
  <c r="F7" i="44"/>
  <c r="F8" i="44"/>
  <c r="F18" i="44"/>
  <c r="F9" i="44"/>
  <c r="E32" i="44"/>
  <c r="E18" i="44"/>
  <c r="C18" i="44"/>
  <c r="C32" i="44"/>
  <c r="B18" i="44"/>
  <c r="L234" i="21"/>
  <c r="L264" i="21" s="1"/>
  <c r="L235" i="21"/>
  <c r="L265" i="21" s="1"/>
  <c r="L233" i="21"/>
  <c r="L263" i="21" s="1"/>
  <c r="L232" i="21"/>
  <c r="L262" i="21" s="1"/>
  <c r="L236" i="21"/>
  <c r="L266" i="21" s="1"/>
  <c r="L231" i="21"/>
  <c r="L261" i="21" s="1"/>
  <c r="B32" i="44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E55" i="44" l="1"/>
  <c r="E50" i="44"/>
  <c r="F33" i="44"/>
  <c r="E49" i="44"/>
  <c r="E40" i="44"/>
  <c r="E52" i="44"/>
  <c r="E36" i="44"/>
  <c r="D48" i="44"/>
  <c r="E35" i="44"/>
  <c r="E51" i="44"/>
  <c r="F50" i="44"/>
  <c r="F49" i="44"/>
  <c r="E48" i="44"/>
  <c r="E47" i="44"/>
  <c r="E34" i="44"/>
  <c r="E15" i="44"/>
  <c r="E24" i="44" s="1"/>
  <c r="E39" i="44"/>
  <c r="E41" i="44"/>
  <c r="E53" i="44"/>
  <c r="D53" i="44"/>
  <c r="F15" i="44"/>
  <c r="F19" i="44" s="1"/>
  <c r="E37" i="44"/>
  <c r="B41" i="44"/>
  <c r="B52" i="44"/>
  <c r="B47" i="44"/>
  <c r="B35" i="44"/>
  <c r="B40" i="44"/>
  <c r="B33" i="44"/>
  <c r="B34" i="44"/>
  <c r="B38" i="44"/>
  <c r="B36" i="44"/>
  <c r="B54" i="44"/>
  <c r="B50" i="44"/>
  <c r="B15" i="44"/>
  <c r="B21" i="44" s="1"/>
  <c r="B48" i="44"/>
  <c r="B53" i="44"/>
  <c r="B39" i="44"/>
  <c r="B55" i="44"/>
  <c r="C41" i="44"/>
  <c r="B37" i="44"/>
  <c r="B51" i="44"/>
  <c r="C15" i="44"/>
  <c r="C20" i="44" s="1"/>
  <c r="B49" i="44"/>
  <c r="C37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E20" i="44" l="1"/>
  <c r="E21" i="44"/>
  <c r="E26" i="44"/>
  <c r="E22" i="44"/>
  <c r="F24" i="44"/>
  <c r="E19" i="44"/>
  <c r="E27" i="44"/>
  <c r="E23" i="44"/>
  <c r="F20" i="44"/>
  <c r="F23" i="44"/>
  <c r="F29" i="44"/>
  <c r="E25" i="44"/>
  <c r="F26" i="44"/>
  <c r="E43" i="44"/>
  <c r="E29" i="44"/>
  <c r="E57" i="44"/>
  <c r="F22" i="44"/>
  <c r="F25" i="44"/>
  <c r="F27" i="44"/>
  <c r="F21" i="44"/>
  <c r="B25" i="44"/>
  <c r="B24" i="44"/>
  <c r="C24" i="44"/>
  <c r="B22" i="44"/>
  <c r="B26" i="44"/>
  <c r="B19" i="44"/>
  <c r="B29" i="44"/>
  <c r="B27" i="44"/>
  <c r="B20" i="44"/>
  <c r="B23" i="44"/>
  <c r="C27" i="44"/>
  <c r="C26" i="44"/>
  <c r="C25" i="44"/>
  <c r="C21" i="44"/>
  <c r="B43" i="44"/>
  <c r="C29" i="44"/>
  <c r="B57" i="44"/>
  <c r="C23" i="44"/>
  <c r="C19" i="44"/>
  <c r="C22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72" i="78"/>
  <c r="U109" i="78" s="1"/>
  <c r="J21" i="71"/>
  <c r="J14" i="71"/>
  <c r="J29" i="71"/>
  <c r="J22" i="71"/>
  <c r="J20" i="71"/>
  <c r="J10" i="71"/>
  <c r="J25" i="71"/>
  <c r="J13" i="71"/>
  <c r="J15" i="71"/>
  <c r="J35" i="71" l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72" i="71" l="1"/>
  <c r="Q64" i="31"/>
  <c r="J109" i="71"/>
  <c r="I47" i="16" l="1"/>
  <c r="I50" i="16"/>
  <c r="I52" i="16"/>
  <c r="I49" i="16"/>
  <c r="I54" i="16"/>
  <c r="C85" i="60"/>
  <c r="I85" i="60" s="1"/>
  <c r="O85" i="60" s="1"/>
  <c r="U85" i="60" s="1"/>
  <c r="J8" i="16" l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J26" i="16" l="1"/>
  <c r="J46" i="16" s="1"/>
  <c r="I56" i="16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9" i="15"/>
  <c r="M10" i="19" s="1"/>
  <c r="B93" i="15"/>
  <c r="M36" i="19" s="1"/>
  <c r="B114" i="15"/>
  <c r="M15" i="19" s="1"/>
  <c r="B110" i="15"/>
  <c r="M19" i="19" s="1"/>
  <c r="B105" i="15"/>
  <c r="M24" i="19" s="1"/>
  <c r="B112" i="15"/>
  <c r="M17" i="19" s="1"/>
  <c r="B108" i="15"/>
  <c r="M21" i="19" s="1"/>
  <c r="B103" i="15"/>
  <c r="M26" i="19" s="1"/>
  <c r="B113" i="15"/>
  <c r="M16" i="19" s="1"/>
  <c r="B118" i="15"/>
  <c r="M11" i="19" s="1"/>
  <c r="B109" i="15"/>
  <c r="M20" i="19" s="1"/>
  <c r="B120" i="15"/>
  <c r="M9" i="19" s="1"/>
  <c r="B104" i="15"/>
  <c r="M25" i="19" s="1"/>
  <c r="B115" i="15"/>
  <c r="M14" i="19" s="1"/>
  <c r="B111" i="15"/>
  <c r="M18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77" i="12"/>
  <c r="B104" i="12"/>
  <c r="B100" i="12"/>
  <c r="B73" i="12"/>
  <c r="B97" i="12"/>
  <c r="B70" i="12"/>
  <c r="B95" i="12"/>
  <c r="B68" i="12"/>
  <c r="B10" i="15"/>
  <c r="B92" i="15" s="1"/>
  <c r="M37" i="19" s="1"/>
  <c r="B101" i="12"/>
  <c r="B74" i="12"/>
  <c r="B90" i="12"/>
  <c r="B8" i="15"/>
  <c r="B90" i="15" s="1"/>
  <c r="M39" i="19" s="1"/>
  <c r="B9" i="15"/>
  <c r="B91" i="15" s="1"/>
  <c r="M38" i="19" s="1"/>
  <c r="B91" i="12"/>
  <c r="B64" i="12"/>
  <c r="B20" i="15"/>
  <c r="B102" i="15" s="1"/>
  <c r="M27" i="19" s="1"/>
  <c r="M8" i="11"/>
  <c r="B48" i="11"/>
  <c r="B78" i="12"/>
  <c r="B105" i="12"/>
  <c r="M5" i="11"/>
  <c r="B45" i="11"/>
  <c r="B14" i="11"/>
  <c r="N268" i="21" s="1"/>
  <c r="B7" i="15"/>
  <c r="B89" i="15" s="1"/>
  <c r="B99" i="12"/>
  <c r="B72" i="12"/>
  <c r="B49" i="11"/>
  <c r="B25" i="15"/>
  <c r="B107" i="15" s="1"/>
  <c r="M22" i="19" s="1"/>
  <c r="M9" i="11"/>
  <c r="B76" i="12"/>
  <c r="B103" i="12"/>
  <c r="B96" i="12"/>
  <c r="B69" i="12"/>
  <c r="B98" i="12"/>
  <c r="B71" i="12"/>
  <c r="B102" i="12"/>
  <c r="B75" i="12"/>
  <c r="B65" i="12"/>
  <c r="B92" i="12"/>
  <c r="B14" i="15"/>
  <c r="B96" i="15" s="1"/>
  <c r="M33" i="19" s="1"/>
  <c r="H54" i="15" l="1"/>
  <c r="M40" i="19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B52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B50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<sst xmlns="http://schemas.openxmlformats.org/spreadsheetml/2006/main" count="3243" uniqueCount="547">
  <si>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</si>
  <si>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</si>
  <si>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</si>
  <si>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</si>
  <si>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</si>
  <si>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</si>
  <si>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</si>
  <si>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</si>
  <si>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</si>
  <si>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</si>
  <si>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</si>
  <si>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</si>
  <si>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</si>
  <si>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</si>
  <si>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</si>
  <si>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</si>
  <si>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</si>
  <si>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</si>
  <si>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</si>
  <si>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</si>
  <si>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</si>
  <si>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</si>
  <si>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</si>
  <si>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</si>
  <si>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</si>
  <si>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</si>
  <si>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</si>
  <si>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</si>
  <si>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</si>
  <si>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</si>
  <si>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</si>
  <si>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</si>
  <si>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</si>
  <si>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</si>
  <si>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</si>
  <si>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</si>
  <si>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% per annum</t>
  </si>
  <si>
    <t>All qualifications</t>
  </si>
  <si>
    <t>Qualification</t>
  </si>
  <si>
    <t>Total Requirement</t>
  </si>
  <si>
    <t>Net Change</t>
  </si>
  <si>
    <t>Growth % per annum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</si>
  <si>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</si>
  <si>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</si>
  <si>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</si>
  <si>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</si>
  <si>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</si>
  <si>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</si>
  <si>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</si>
  <si>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</si>
  <si>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</si>
  <si>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</si>
  <si>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</si>
  <si>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</si>
  <si>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</si>
  <si>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</si>
  <si>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</si>
  <si>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</si>
  <si>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</si>
  <si>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</si>
  <si>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</si>
  <si>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</si>
  <si>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</si>
  <si>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</si>
  <si>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</si>
  <si>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</si>
  <si>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</si>
  <si>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</si>
  <si>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</si>
  <si>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</si>
  <si>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</si>
  <si>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</si>
  <si>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</si>
  <si>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</si>
  <si>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</si>
  <si>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</si>
  <si>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</si>
  <si>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</si>
  <si>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</si>
  <si>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</si>
  <si>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</si>
  <si>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</si>
  <si>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</si>
  <si>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</si>
  <si>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</si>
  <si>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</si>
  <si>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</si>
  <si>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</si>
  <si>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</si>
  <si>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</si>
  <si>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</si>
  <si>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</si>
  <si>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</si>
  <si>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</si>
  <si>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</si>
  <si>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</si>
  <si>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</si>
  <si>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</si>
  <si>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</si>
  <si>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</si>
  <si>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</si>
  <si>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</si>
  <si>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</si>
  <si>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</si>
  <si>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</si>
  <si>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</si>
  <si>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</si>
  <si>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</si>
  <si>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</si>
  <si>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</si>
  <si>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</si>
  <si>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</si>
  <si>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</si>
  <si>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</si>
  <si>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</si>
  <si>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</si>
  <si>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</si>
  <si>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</si>
  <si>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</si>
  <si>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</si>
  <si>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</si>
  <si>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</si>
  <si>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</si>
  <si>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</si>
  <si>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</si>
  <si>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</si>
  <si>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</si>
  <si>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</si>
  <si>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</si>
  <si>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</si>
  <si>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</si>
  <si>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</si>
  <si>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</si>
  <si>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</si>
  <si>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</si>
  <si>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</si>
  <si>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</si>
  <si>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</si>
  <si>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</si>
  <si>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</si>
  <si>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</si>
  <si>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</si>
  <si>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</si>
  <si>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</si>
  <si>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</si>
  <si>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</si>
  <si>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</si>
  <si>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</si>
  <si>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</si>
  <si>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</si>
  <si>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</si>
  <si>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</si>
  <si>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</si>
  <si>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</si>
  <si>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</si>
  <si>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</si>
  <si>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</si>
  <si>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</si>
  <si>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</si>
  <si>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</si>
  <si>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</si>
  <si>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</si>
  <si>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</si>
  <si>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</si>
  <si>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</si>
  <si>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</si>
  <si>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</si>
  <si>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</si>
  <si>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</si>
  <si>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</si>
  <si>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</si>
  <si>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</si>
  <si>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</si>
  <si>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</si>
  <si>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</si>
  <si>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</si>
  <si>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</si>
  <si>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</si>
  <si>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</si>
  <si>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</si>
  <si>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</si>
  <si>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</si>
  <si>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</si>
  <si>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</si>
  <si>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</si>
  <si>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</si>
  <si>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</si>
  <si>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</si>
  <si>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</si>
  <si>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</si>
  <si>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</si>
  <si>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</si>
  <si>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</si>
  <si>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</si>
  <si>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</si>
  <si>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</si>
  <si>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</si>
  <si>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</si>
  <si>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</si>
  <si>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</si>
  <si>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</si>
  <si>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</si>
  <si>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</si>
  <si>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</si>
  <si>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</si>
  <si>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</si>
  <si>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</si>
  <si>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</si>
  <si>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</si>
  <si>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</si>
  <si>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</si>
  <si>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</si>
  <si>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</si>
  <si>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</si>
  <si>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</si>
  <si>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</si>
  <si>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</si>
  <si>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</si>
  <si>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</si>
  <si>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</si>
  <si>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</si>
  <si>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</si>
  <si>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</si>
  <si>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</si>
  <si>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</si>
  <si>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</si>
  <si>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</si>
  <si>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</si>
  <si>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</si>
  <si>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</si>
  <si>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</si>
  <si>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</si>
  <si>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</si>
  <si>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</si>
  <si>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</si>
  <si>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</si>
  <si>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</si>
  <si>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</si>
  <si>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</si>
  <si>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</si>
  <si>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</si>
  <si>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</si>
  <si>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</si>
  <si>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</si>
  <si>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</si>
  <si>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</si>
  <si>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</si>
  <si>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</si>
  <si>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</si>
  <si>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</si>
  <si>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</si>
  <si>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</si>
  <si>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</si>
  <si>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</si>
  <si>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</si>
  <si>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</si>
  <si>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</si>
  <si>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</si>
  <si>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</si>
  <si>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</si>
  <si>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</si>
  <si>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</si>
  <si>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</si>
  <si>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</si>
  <si>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</si>
  <si>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</si>
  <si>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</si>
  <si>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</si>
  <si>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</si>
  <si>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</si>
  <si>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</si>
  <si>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</si>
  <si>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</si>
  <si>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</si>
  <si>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</si>
  <si>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</si>
  <si>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</si>
  <si>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</si>
  <si>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</si>
  <si>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</si>
  <si>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</si>
  <si>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</si>
  <si>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</si>
  <si>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</si>
  <si>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</si>
  <si>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</si>
  <si>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</si>
  <si>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</si>
  <si>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</si>
  <si>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</si>
  <si>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</si>
  <si>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</si>
  <si>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</si>
  <si>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</si>
  <si>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</si>
  <si>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</si>
  <si>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</si>
  <si>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</si>
  <si>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</si>
  <si>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</si>
  <si>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</si>
  <si>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</si>
  <si>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</si>
  <si>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</si>
  <si>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</si>
  <si>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</si>
  <si>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</si>
  <si>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</si>
  <si>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</si>
  <si>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</si>
  <si>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</si>
  <si>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</si>
  <si>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</si>
  <si>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</si>
  <si>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</si>
  <si>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</si>
  <si>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</si>
  <si>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</si>
  <si>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</si>
  <si>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</si>
  <si>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</si>
  <si>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</si>
  <si>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</si>
  <si>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</si>
  <si>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</si>
  <si>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</si>
  <si>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</si>
  <si>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</si>
  <si>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</si>
  <si>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</si>
  <si>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</si>
  <si>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</si>
  <si>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</si>
  <si>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</si>
  <si>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</si>
  <si>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</si>
  <si>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</si>
  <si>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</si>
  <si>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</si>
  <si>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</si>
  <si>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</si>
  <si>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</si>
  <si>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</si>
  <si>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</si>
  <si>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</si>
  <si>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</si>
  <si>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</si>
  <si>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</si>
  <si>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</si>
  <si>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</si>
  <si>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</si>
  <si>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Aggregation of 9-Qualifications to 6-Qualification groups</t>
  </si>
  <si>
    <t>Female</t>
  </si>
  <si>
    <t>Male</t>
  </si>
  <si>
    <t>Total employment</t>
  </si>
  <si>
    <t>Male employment</t>
  </si>
  <si>
    <t>Female employment</t>
  </si>
  <si>
    <t>Industry 22 Total</t>
  </si>
  <si>
    <t>Industry 21 Total</t>
  </si>
  <si>
    <t>Industry 20 Total</t>
  </si>
  <si>
    <t>Industry 17 Total</t>
  </si>
  <si>
    <t>Industry 16 Total</t>
  </si>
  <si>
    <t>Industry 14 Total</t>
  </si>
  <si>
    <t>Industry 13 Total</t>
  </si>
  <si>
    <t>Industry 12 Total</t>
  </si>
  <si>
    <t>Industry 11 Total</t>
  </si>
  <si>
    <t>Industry 10 Total</t>
  </si>
  <si>
    <t>Industry 9 Total</t>
  </si>
  <si>
    <t>Industry 8 Total</t>
  </si>
  <si>
    <t>Industry 7 Total</t>
  </si>
  <si>
    <t>Industry 5 Total</t>
  </si>
  <si>
    <t>Industry 4 Total</t>
  </si>
  <si>
    <t>Industry 3 Total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</si>
  <si>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</si>
  <si>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</si>
  <si>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</si>
  <si>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</si>
  <si>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</si>
  <si>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</si>
  <si>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</si>
  <si>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</si>
  <si>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</si>
  <si>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</si>
  <si>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</si>
  <si>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</si>
  <si>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</si>
  <si>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Ind T3</t>
  </si>
  <si>
    <t>Occ T3</t>
  </si>
  <si>
    <t>Employment by Industry (75 industries)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</si>
  <si>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</si>
  <si>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</si>
  <si>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</si>
  <si>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</si>
  <si>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</si>
  <si>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</si>
  <si>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Employment Status by Industry and Gender (75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</si>
  <si>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</si>
  <si>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</si>
  <si>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</si>
  <si>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</si>
  <si>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</si>
  <si>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</si>
  <si>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Occupation Composition by Gender (9 occupations by 75 industries)</t>
  </si>
  <si>
    <t>Occupation Composition by Employment Status (9 occupations by 75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</si>
  <si>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</si>
  <si>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</si>
  <si>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</si>
  <si>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</si>
  <si>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</si>
  <si>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</si>
  <si>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</si>
  <si>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</si>
  <si>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</si>
  <si>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</si>
  <si>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</si>
  <si>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</si>
  <si>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</si>
  <si>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</si>
  <si>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</si>
  <si>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</si>
  <si>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</si>
  <si>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</si>
  <si>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</si>
  <si>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</si>
  <si>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</si>
  <si>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</si>
  <si>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</si>
  <si>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</si>
  <si>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</si>
  <si>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</si>
  <si>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</si>
  <si>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</si>
  <si>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</si>
  <si>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</si>
  <si>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</si>
  <si>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</si>
  <si>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</si>
  <si>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</si>
  <si>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</si>
  <si>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</si>
  <si>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</si>
  <si>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</si>
  <si>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axis bounds</t>
  </si>
  <si>
    <t>major unit</t>
  </si>
  <si>
    <t>max</t>
  </si>
  <si>
    <t>min</t>
  </si>
  <si>
    <t>Scenario</t>
  </si>
  <si>
    <t>.Main</t>
  </si>
  <si>
    <t>MDM version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</si>
  <si>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</si>
  <si>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</si>
  <si>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RQF7 Other higher degree</t>
  </si>
  <si>
    <t>RQF6 First degree</t>
  </si>
  <si>
    <t>RQF5 Foundation degree;Nursing;Teaching</t>
  </si>
  <si>
    <t>RQF4 HE below degree level</t>
  </si>
  <si>
    <t>RQF3 A level &amp; equivalent</t>
  </si>
  <si>
    <t>RQF2 GCSE(A-C) &amp; equivalent</t>
  </si>
  <si>
    <t>RQF1 GCSE(below grade C) &amp; equivalent</t>
  </si>
  <si>
    <t>RQF 7-8</t>
  </si>
  <si>
    <t>RQF 4-6</t>
  </si>
  <si>
    <t>6-Qualification groups (RQF)</t>
  </si>
  <si>
    <t>6-Qualifications (RQF)</t>
  </si>
  <si>
    <t>Non-marketed services</t>
  </si>
  <si>
    <t>Shares (%)</t>
  </si>
  <si>
    <t>Shares of all occupations (%)</t>
  </si>
  <si>
    <t>Shares of all qualifications (%)</t>
  </si>
  <si>
    <t>Qualification levels (000s)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</si>
  <si>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</si>
  <si>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</si>
  <si>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</si>
  <si>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</si>
  <si>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</si>
  <si>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</si>
  <si>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</si>
  <si>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26-Occupation</t>
  </si>
  <si>
    <t>11 Corporate managers and directors</t>
  </si>
  <si>
    <t>12 Other managers and proprietors</t>
  </si>
  <si>
    <t>21 Science, research, engineering and technology professionals</t>
  </si>
  <si>
    <t>Associate professional occupations</t>
  </si>
  <si>
    <t>22 Health professionals</t>
  </si>
  <si>
    <t>Administrative and secretarial occupations</t>
  </si>
  <si>
    <t>23 Teaching and other educational professionals</t>
  </si>
  <si>
    <t>24 Business, media and public service professionals</t>
  </si>
  <si>
    <t>Caring, leisure and other service occupations</t>
  </si>
  <si>
    <t>31 Science, engineering and technology associate professionals</t>
  </si>
  <si>
    <t>Sales and customer service occupations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</si>
  <si>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</si>
  <si>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</si>
  <si>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</si>
  <si>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</si>
  <si>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</si>
  <si>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</si>
  <si>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</si>
  <si>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</si>
  <si>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</si>
  <si>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</si>
  <si>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</si>
  <si>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</si>
  <si>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</si>
  <si>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</si>
  <si>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</si>
  <si>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</si>
  <si>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</si>
  <si>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</si>
  <si>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</si>
  <si>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Aggregation of 26-Sub major occupation groups to 9-Major occupation groups</t>
  </si>
  <si>
    <t>9-Occupation (SOC2020)</t>
  </si>
  <si>
    <t>SOC2020 Sub-Major Groups</t>
  </si>
  <si>
    <t>Aggregation 26 occupations to 9 Major group names: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</si>
  <si>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</si>
  <si>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</si>
  <si>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</si>
  <si>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</si>
  <si>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</si>
  <si>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</si>
  <si>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</si>
  <si>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</si>
  <si>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</si>
  <si>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</si>
  <si>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Nuffield - Rev 13547</t>
  </si>
  <si>
    <t>Date database created</t>
  </si>
  <si>
    <t>26-Occupation (SOC2020)</t>
  </si>
  <si>
    <t>Region/Nation</t>
  </si>
  <si>
    <t>Region/Nation name</t>
  </si>
  <si>
    <t>Copyright:  Warwick Institute for Employment Research / Cambridge Econometrics, 2023</t>
  </si>
  <si>
    <t>M:\IE\Projects\Nuffield via NFER AI and automation\Data\Results\Workbooks\GB\v2 Main\GB_Database.Main.xlsx</t>
  </si>
  <si>
    <t>M:\IE\Projects\Nuffield via NFER AI and automation\Data\Results\Workbooks\UK\v2 Main\UK_Database.Main.xlsx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</si>
  <si>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</si>
  <si>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</si>
  <si>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</si>
  <si>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</si>
  <si>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</si>
  <si>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</si>
  <si>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75 Industries</t>
  </si>
  <si>
    <t>6 + 22 Industries</t>
  </si>
  <si>
    <t>9 Occupations by 75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</si>
  <si>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</si>
  <si>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</si>
  <si>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</si>
  <si>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</si>
  <si>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</si>
  <si>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</si>
  <si>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</si>
  <si>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automation/Data/Results/Workbooks/EM/EM_Database.Main.xlsx</t>
  </si>
  <si>
    <t>6. East Midlands</t>
  </si>
  <si>
    <t>East Midlands</t>
  </si>
  <si>
    <t>02 10 2023 04:59:20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</si>
</sst>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89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0" fontId="5" fillId="0" borderId="1" xfId="0" applyFont="1" applyBorder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0" fontId="3" fillId="0" borderId="7" xfId="0" applyFont="1" applyBorder="1"/>
    <xf numFmtId="0" fontId="3" fillId="0" borderId="2" xfId="0" applyFont="1" applyBorder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0" applyNumberFormat="1" applyFont="1" applyAlignment="1">
      <alignment wrapText="1"/>
    </xf>
    <xf numFmtId="0" fontId="10" fillId="0" borderId="10" xfId="0" applyFont="1" applyBorder="1"/>
    <xf numFmtId="1" fontId="3" fillId="0" borderId="0" xfId="0" applyNumberFormat="1" applyFont="1" applyAlignment="1">
      <alignment horizontal="right" wrapText="1"/>
    </xf>
    <xf numFmtId="167" fontId="3" fillId="0" borderId="10" xfId="10" applyNumberFormat="1" applyFont="1" applyBorder="1" applyAlignment="1">
      <alignment wrapText="1"/>
    </xf>
    <xf numFmtId="1" fontId="3" fillId="0" borderId="0" xfId="0" applyNumberFormat="1" applyFont="1" applyAlignment="1">
      <alignment horizontal="right"/>
    </xf>
    <xf numFmtId="0" fontId="27" fillId="0" borderId="0" xfId="7" applyFont="1" applyAlignment="1">
      <alignment horizont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168" fontId="0" fillId="0" borderId="10" xfId="1" applyNumberFormat="1" applyFont="1" applyBorder="1" applyAlignment="1"/>
    <xf numFmtId="168" fontId="3" fillId="0" borderId="10" xfId="1" applyNumberFormat="1" applyFont="1" applyBorder="1" applyAlignment="1">
      <alignment wrapText="1"/>
    </xf>
    <xf numFmtId="4" fontId="5" fillId="0" borderId="0" xfId="0" applyNumberFormat="1" applyFont="1"/>
    <xf numFmtId="0" fontId="1" fillId="0" borderId="0" xfId="7" applyFont="1" applyAlignment="1">
      <alignment horizontal="center" vertical="center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7" fillId="0" borderId="0" xfId="7" applyFont="1" applyAlignment="1">
      <alignment horizont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1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D000000}"/>
    <cellStyle name="Normal_WarningSheet" xfId="13" xr:uid="{00000000-0005-0000-0000-00000E000000}"/>
    <cellStyle name="Percent" xfId="11" builtinId="5"/>
    <cellStyle name="Percent 2" xfId="10" xr:uid="{00000000-0005-0000-0000-000010000000}"/>
  </cellStyles>
  <dxfs count="15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1.1157126085032942</c:v>
                </c:pt>
                <c:pt idx="2">
                  <c:v>0.30894178464342392</c:v>
                </c:pt>
                <c:pt idx="3">
                  <c:v>0.52476318849139503</c:v>
                </c:pt>
                <c:pt idx="4">
                  <c:v>1.1767458888519711</c:v>
                </c:pt>
                <c:pt idx="5">
                  <c:v>0.50881840595056183</c:v>
                </c:pt>
                <c:pt idx="7">
                  <c:v>4.5067425362002034</c:v>
                </c:pt>
                <c:pt idx="8">
                  <c:v>-0.70008057555128733</c:v>
                </c:pt>
                <c:pt idx="9">
                  <c:v>-2.6996722702106402</c:v>
                </c:pt>
                <c:pt idx="10">
                  <c:v>5.6934614539879025</c:v>
                </c:pt>
                <c:pt idx="11">
                  <c:v>7.377720917097097</c:v>
                </c:pt>
                <c:pt idx="12">
                  <c:v>1.3949871919499035</c:v>
                </c:pt>
                <c:pt idx="13">
                  <c:v>0.75394662076677665</c:v>
                </c:pt>
                <c:pt idx="14">
                  <c:v>0.96480894327848343</c:v>
                </c:pt>
                <c:pt idx="15">
                  <c:v>1.5519396564085186</c:v>
                </c:pt>
                <c:pt idx="17">
                  <c:v>1.6202931638874096</c:v>
                </c:pt>
                <c:pt idx="18">
                  <c:v>6.6080037528324809</c:v>
                </c:pt>
                <c:pt idx="19">
                  <c:v>0.11474527843577942</c:v>
                </c:pt>
                <c:pt idx="20">
                  <c:v>1.8096111539413373</c:v>
                </c:pt>
                <c:pt idx="22">
                  <c:v>0.24175926860092734</c:v>
                </c:pt>
                <c:pt idx="24">
                  <c:v>0.72583665477417014</c:v>
                </c:pt>
                <c:pt idx="25">
                  <c:v>-5.0933316776867628</c:v>
                </c:pt>
                <c:pt idx="26">
                  <c:v>-0.12237122343132789</c:v>
                </c:pt>
                <c:pt idx="27">
                  <c:v>-0.15175520892835026</c:v>
                </c:pt>
                <c:pt idx="29">
                  <c:v>0.61341928385543198</c:v>
                </c:pt>
                <c:pt idx="30">
                  <c:v>-3.741159138526573</c:v>
                </c:pt>
                <c:pt idx="31">
                  <c:v>-6.1709074877681065</c:v>
                </c:pt>
                <c:pt idx="32">
                  <c:v>7.992810632766445</c:v>
                </c:pt>
                <c:pt idx="33">
                  <c:v>2.6495547554463039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0.28925885184050149</c:v>
                </c:pt>
                <c:pt idx="2">
                  <c:v>0.8263717343517607</c:v>
                </c:pt>
                <c:pt idx="3">
                  <c:v>-0.11109491977920882</c:v>
                </c:pt>
                <c:pt idx="4">
                  <c:v>0.97214374101770584</c:v>
                </c:pt>
                <c:pt idx="5">
                  <c:v>0.51590881526228927</c:v>
                </c:pt>
                <c:pt idx="7">
                  <c:v>-0.47367271170984937</c:v>
                </c:pt>
                <c:pt idx="8">
                  <c:v>-0.37611675117814602</c:v>
                </c:pt>
                <c:pt idx="9">
                  <c:v>0.81749024184467611</c:v>
                </c:pt>
                <c:pt idx="10">
                  <c:v>0.57338975232432698</c:v>
                </c:pt>
                <c:pt idx="11">
                  <c:v>0.2574766139615825</c:v>
                </c:pt>
                <c:pt idx="12">
                  <c:v>-0.50453932293708093</c:v>
                </c:pt>
                <c:pt idx="13">
                  <c:v>0.95065227916140138</c:v>
                </c:pt>
                <c:pt idx="14">
                  <c:v>-7.7202200693959888E-3</c:v>
                </c:pt>
                <c:pt idx="15">
                  <c:v>0.40220956458576484</c:v>
                </c:pt>
                <c:pt idx="17">
                  <c:v>0.40781034387984416</c:v>
                </c:pt>
                <c:pt idx="18">
                  <c:v>0.30129395725082553</c:v>
                </c:pt>
                <c:pt idx="19">
                  <c:v>0.27774238685975838</c:v>
                </c:pt>
                <c:pt idx="20">
                  <c:v>0.31143495933443344</c:v>
                </c:pt>
                <c:pt idx="22">
                  <c:v>0.44718781921486705</c:v>
                </c:pt>
                <c:pt idx="24">
                  <c:v>-0.99312209377682148</c:v>
                </c:pt>
                <c:pt idx="25">
                  <c:v>-1.3248626357906912</c:v>
                </c:pt>
                <c:pt idx="26">
                  <c:v>1.2050439707365301</c:v>
                </c:pt>
                <c:pt idx="27">
                  <c:v>-0.51452860889750207</c:v>
                </c:pt>
                <c:pt idx="29">
                  <c:v>0.58784219438701157</c:v>
                </c:pt>
                <c:pt idx="30">
                  <c:v>1.421565676347214E-2</c:v>
                </c:pt>
                <c:pt idx="31">
                  <c:v>-3.1747729608764819</c:v>
                </c:pt>
                <c:pt idx="32">
                  <c:v>-0.29476338291910542</c:v>
                </c:pt>
                <c:pt idx="33">
                  <c:v>-0.18427175294098985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24.337000000027519</c:v>
                </c:pt>
                <c:pt idx="1">
                  <c:v>40.31599999964417</c:v>
                </c:pt>
                <c:pt idx="2">
                  <c:v>42.136999999900041</c:v>
                </c:pt>
                <c:pt idx="3">
                  <c:v>32.189999999927302</c:v>
                </c:pt>
                <c:pt idx="4">
                  <c:v>22.002999999769301</c:v>
                </c:pt>
                <c:pt idx="5">
                  <c:v>27.710999999905233</c:v>
                </c:pt>
                <c:pt idx="6">
                  <c:v>28.663999999927473</c:v>
                </c:pt>
                <c:pt idx="7">
                  <c:v>36.458000000057474</c:v>
                </c:pt>
                <c:pt idx="8">
                  <c:v>29.904000000188383</c:v>
                </c:pt>
                <c:pt idx="9">
                  <c:v>28.427000000194997</c:v>
                </c:pt>
                <c:pt idx="10">
                  <c:v>40.702999999819355</c:v>
                </c:pt>
                <c:pt idx="11">
                  <c:v>40.64099999981562</c:v>
                </c:pt>
                <c:pt idx="12">
                  <c:v>40.599999999849807</c:v>
                </c:pt>
                <c:pt idx="13">
                  <c:v>40.54899999980254</c:v>
                </c:pt>
                <c:pt idx="14">
                  <c:v>40.425999999690127</c:v>
                </c:pt>
                <c:pt idx="15">
                  <c:v>40.257999999791139</c:v>
                </c:pt>
                <c:pt idx="16">
                  <c:v>40.124999999712948</c:v>
                </c:pt>
                <c:pt idx="17">
                  <c:v>39.985999999929589</c:v>
                </c:pt>
                <c:pt idx="18">
                  <c:v>39.839999999867963</c:v>
                </c:pt>
                <c:pt idx="19">
                  <c:v>39.693999999951878</c:v>
                </c:pt>
                <c:pt idx="20">
                  <c:v>39.572999999905889</c:v>
                </c:pt>
                <c:pt idx="21">
                  <c:v>39.449000000071301</c:v>
                </c:pt>
                <c:pt idx="22">
                  <c:v>39.324000000036037</c:v>
                </c:pt>
                <c:pt idx="23">
                  <c:v>39.198000000057419</c:v>
                </c:pt>
                <c:pt idx="24" formatCode="#,##0.00">
                  <c:v>39.069999999772783</c:v>
                </c:pt>
                <c:pt idx="25">
                  <c:v>38.939999999747165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5.2470000000248618</c:v>
                </c:pt>
                <c:pt idx="1">
                  <c:v>5.8149999999841313</c:v>
                </c:pt>
                <c:pt idx="2">
                  <c:v>5.7569999999878396</c:v>
                </c:pt>
                <c:pt idx="3">
                  <c:v>3.9179999999864337</c:v>
                </c:pt>
                <c:pt idx="4">
                  <c:v>3.1099999999738408</c:v>
                </c:pt>
                <c:pt idx="5">
                  <c:v>5.5839999999539556</c:v>
                </c:pt>
                <c:pt idx="6">
                  <c:v>4.6899999999942557</c:v>
                </c:pt>
                <c:pt idx="7">
                  <c:v>4.502000000021888</c:v>
                </c:pt>
                <c:pt idx="8">
                  <c:v>4.5600000000217218</c:v>
                </c:pt>
                <c:pt idx="9">
                  <c:v>4.039999999997776</c:v>
                </c:pt>
                <c:pt idx="10">
                  <c:v>4.0610000000043804</c:v>
                </c:pt>
                <c:pt idx="11">
                  <c:v>3.8680000000010191</c:v>
                </c:pt>
                <c:pt idx="12">
                  <c:v>3.794000000014965</c:v>
                </c:pt>
                <c:pt idx="13">
                  <c:v>3.6230000000125386</c:v>
                </c:pt>
                <c:pt idx="14">
                  <c:v>3.4510000000100183</c:v>
                </c:pt>
                <c:pt idx="15">
                  <c:v>3.3150000000162803</c:v>
                </c:pt>
                <c:pt idx="16">
                  <c:v>3.2090000000118151</c:v>
                </c:pt>
                <c:pt idx="17">
                  <c:v>3.1040000000100703</c:v>
                </c:pt>
                <c:pt idx="18">
                  <c:v>3.0090000000087289</c:v>
                </c:pt>
                <c:pt idx="19">
                  <c:v>2.9230000000035408</c:v>
                </c:pt>
                <c:pt idx="20">
                  <c:v>2.8480000000065151</c:v>
                </c:pt>
                <c:pt idx="21">
                  <c:v>2.7670000000207566</c:v>
                </c:pt>
                <c:pt idx="22">
                  <c:v>2.6920000000188047</c:v>
                </c:pt>
                <c:pt idx="23">
                  <c:v>2.6230000000166096</c:v>
                </c:pt>
                <c:pt idx="24" formatCode="#,##0.00">
                  <c:v>2.5600000000115055</c:v>
                </c:pt>
                <c:pt idx="25">
                  <c:v>2.5030000000094232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11.468999999962378</c:v>
                </c:pt>
                <c:pt idx="1">
                  <c:v>6.7690000000077406</c:v>
                </c:pt>
                <c:pt idx="2">
                  <c:v>13.699999999904959</c:v>
                </c:pt>
                <c:pt idx="3">
                  <c:v>12.781999999910022</c:v>
                </c:pt>
                <c:pt idx="4">
                  <c:v>8.5610000000245137</c:v>
                </c:pt>
                <c:pt idx="5">
                  <c:v>17.00700000003021</c:v>
                </c:pt>
                <c:pt idx="6">
                  <c:v>15.981999999870112</c:v>
                </c:pt>
                <c:pt idx="7">
                  <c:v>18.750999999959021</c:v>
                </c:pt>
                <c:pt idx="8">
                  <c:v>16.959999999952284</c:v>
                </c:pt>
                <c:pt idx="9">
                  <c:v>16.459999999861971</c:v>
                </c:pt>
                <c:pt idx="10">
                  <c:v>14.054999999894086</c:v>
                </c:pt>
                <c:pt idx="11">
                  <c:v>14.041999999889118</c:v>
                </c:pt>
                <c:pt idx="12">
                  <c:v>13.847999999989163</c:v>
                </c:pt>
                <c:pt idx="13">
                  <c:v>13.805999999984234</c:v>
                </c:pt>
                <c:pt idx="14">
                  <c:v>13.819999999916238</c:v>
                </c:pt>
                <c:pt idx="15">
                  <c:v>13.825000000009407</c:v>
                </c:pt>
                <c:pt idx="16">
                  <c:v>13.82499999996881</c:v>
                </c:pt>
                <c:pt idx="17">
                  <c:v>13.835999999941649</c:v>
                </c:pt>
                <c:pt idx="18">
                  <c:v>13.848999999974213</c:v>
                </c:pt>
                <c:pt idx="19">
                  <c:v>13.866999999973418</c:v>
                </c:pt>
                <c:pt idx="20">
                  <c:v>13.895999999972231</c:v>
                </c:pt>
                <c:pt idx="21">
                  <c:v>13.929999999905338</c:v>
                </c:pt>
                <c:pt idx="22">
                  <c:v>13.964999999925961</c:v>
                </c:pt>
                <c:pt idx="23">
                  <c:v>14.002999999945542</c:v>
                </c:pt>
                <c:pt idx="24" formatCode="#,##0.00">
                  <c:v>14.042999999950498</c:v>
                </c:pt>
                <c:pt idx="25">
                  <c:v>14.084999999828621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14.023000000061195</c:v>
                </c:pt>
                <c:pt idx="1">
                  <c:v>12.665999999908552</c:v>
                </c:pt>
                <c:pt idx="2">
                  <c:v>12.368999999985133</c:v>
                </c:pt>
                <c:pt idx="3">
                  <c:v>14.901999999957319</c:v>
                </c:pt>
                <c:pt idx="4">
                  <c:v>15.015999999852957</c:v>
                </c:pt>
                <c:pt idx="5">
                  <c:v>13.719999999876247</c:v>
                </c:pt>
                <c:pt idx="6">
                  <c:v>13.392999999985022</c:v>
                </c:pt>
                <c:pt idx="7">
                  <c:v>15.49600000008264</c:v>
                </c:pt>
                <c:pt idx="8">
                  <c:v>16.584000000091947</c:v>
                </c:pt>
                <c:pt idx="9">
                  <c:v>15.13399999999243</c:v>
                </c:pt>
                <c:pt idx="10">
                  <c:v>14.146000000013986</c:v>
                </c:pt>
                <c:pt idx="11">
                  <c:v>13.810999999994316</c:v>
                </c:pt>
                <c:pt idx="12">
                  <c:v>13.704000000063592</c:v>
                </c:pt>
                <c:pt idx="13">
                  <c:v>13.846000000057423</c:v>
                </c:pt>
                <c:pt idx="14">
                  <c:v>14.375000000067441</c:v>
                </c:pt>
                <c:pt idx="15">
                  <c:v>14.679000000128806</c:v>
                </c:pt>
                <c:pt idx="16">
                  <c:v>14.88200000011731</c:v>
                </c:pt>
                <c:pt idx="17">
                  <c:v>15.023000000123245</c:v>
                </c:pt>
                <c:pt idx="18">
                  <c:v>15.115000000098702</c:v>
                </c:pt>
                <c:pt idx="19">
                  <c:v>15.193000000090459</c:v>
                </c:pt>
                <c:pt idx="20">
                  <c:v>15.251000000112755</c:v>
                </c:pt>
                <c:pt idx="21">
                  <c:v>15.300000000149724</c:v>
                </c:pt>
                <c:pt idx="22">
                  <c:v>15.336000000151632</c:v>
                </c:pt>
                <c:pt idx="23">
                  <c:v>15.378000000149667</c:v>
                </c:pt>
                <c:pt idx="24" formatCode="#,##0.00">
                  <c:v>15.403000000129655</c:v>
                </c:pt>
                <c:pt idx="25">
                  <c:v>15.446000000059801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708868519262555"/>
          <c:y val="0.9404955394969049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56.335000000020777</c:v>
                </c:pt>
                <c:pt idx="1">
                  <c:v>52.755999999199517</c:v>
                </c:pt>
                <c:pt idx="2">
                  <c:v>54.798000000041036</c:v>
                </c:pt>
                <c:pt idx="3">
                  <c:v>59.121999999879506</c:v>
                </c:pt>
                <c:pt idx="4">
                  <c:v>55.266999999155544</c:v>
                </c:pt>
                <c:pt idx="5">
                  <c:v>57.5069999997772</c:v>
                </c:pt>
                <c:pt idx="6">
                  <c:v>62.001000000139769</c:v>
                </c:pt>
                <c:pt idx="7">
                  <c:v>59.504000000422778</c:v>
                </c:pt>
                <c:pt idx="8">
                  <c:v>64.52800000037827</c:v>
                </c:pt>
                <c:pt idx="9">
                  <c:v>58.852999999795728</c:v>
                </c:pt>
                <c:pt idx="10">
                  <c:v>57.156000000340526</c:v>
                </c:pt>
                <c:pt idx="11">
                  <c:v>58.393000000098979</c:v>
                </c:pt>
                <c:pt idx="12">
                  <c:v>59.808000000534804</c:v>
                </c:pt>
                <c:pt idx="13">
                  <c:v>60.779000000532179</c:v>
                </c:pt>
                <c:pt idx="14">
                  <c:v>61.588000000233073</c:v>
                </c:pt>
                <c:pt idx="15">
                  <c:v>62.283000000784199</c:v>
                </c:pt>
                <c:pt idx="16">
                  <c:v>62.888000000630676</c:v>
                </c:pt>
                <c:pt idx="17">
                  <c:v>63.487000000588516</c:v>
                </c:pt>
                <c:pt idx="18">
                  <c:v>64.092000000633391</c:v>
                </c:pt>
                <c:pt idx="19">
                  <c:v>64.682000000656416</c:v>
                </c:pt>
                <c:pt idx="20">
                  <c:v>65.323000000673616</c:v>
                </c:pt>
                <c:pt idx="21">
                  <c:v>65.965000001058584</c:v>
                </c:pt>
                <c:pt idx="22">
                  <c:v>66.596000001085955</c:v>
                </c:pt>
                <c:pt idx="23">
                  <c:v>67.214000001086305</c:v>
                </c:pt>
                <c:pt idx="24" formatCode="#,##0.00">
                  <c:v>67.816000001019503</c:v>
                </c:pt>
                <c:pt idx="25">
                  <c:v>68.406000000164298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29.052999999970179</c:v>
                </c:pt>
                <c:pt idx="1">
                  <c:v>33.750999999834967</c:v>
                </c:pt>
                <c:pt idx="2">
                  <c:v>36.893999999866253</c:v>
                </c:pt>
                <c:pt idx="3">
                  <c:v>36.217999999850527</c:v>
                </c:pt>
                <c:pt idx="4">
                  <c:v>33.008999999834039</c:v>
                </c:pt>
                <c:pt idx="5">
                  <c:v>37.410999999920257</c:v>
                </c:pt>
                <c:pt idx="6">
                  <c:v>31.670999999874269</c:v>
                </c:pt>
                <c:pt idx="7">
                  <c:v>32.43800000004866</c:v>
                </c:pt>
                <c:pt idx="8">
                  <c:v>39.890000000062187</c:v>
                </c:pt>
                <c:pt idx="9">
                  <c:v>30.664999999911629</c:v>
                </c:pt>
                <c:pt idx="10">
                  <c:v>28.80599999994547</c:v>
                </c:pt>
                <c:pt idx="11">
                  <c:v>29.413999999910253</c:v>
                </c:pt>
                <c:pt idx="12">
                  <c:v>28.96300000006547</c:v>
                </c:pt>
                <c:pt idx="13">
                  <c:v>28.819000000055976</c:v>
                </c:pt>
                <c:pt idx="14">
                  <c:v>28.528000000018853</c:v>
                </c:pt>
                <c:pt idx="15">
                  <c:v>28.23300000015599</c:v>
                </c:pt>
                <c:pt idx="16">
                  <c:v>27.734000000125029</c:v>
                </c:pt>
                <c:pt idx="17">
                  <c:v>27.241000000136555</c:v>
                </c:pt>
                <c:pt idx="18">
                  <c:v>26.750000000118074</c:v>
                </c:pt>
                <c:pt idx="19">
                  <c:v>26.270000000124014</c:v>
                </c:pt>
                <c:pt idx="20">
                  <c:v>25.824000000151749</c:v>
                </c:pt>
                <c:pt idx="21">
                  <c:v>25.370000000187137</c:v>
                </c:pt>
                <c:pt idx="22">
                  <c:v>24.918000000197921</c:v>
                </c:pt>
                <c:pt idx="23">
                  <c:v>24.467000000200279</c:v>
                </c:pt>
                <c:pt idx="24" formatCode="#,##0.00">
                  <c:v>24.024000000173398</c:v>
                </c:pt>
                <c:pt idx="25">
                  <c:v>23.583000000040801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185.88800000037364</c:v>
                </c:pt>
                <c:pt idx="1">
                  <c:v>182.58699999835704</c:v>
                </c:pt>
                <c:pt idx="2">
                  <c:v>184.42699999970253</c:v>
                </c:pt>
                <c:pt idx="3">
                  <c:v>175.41999999937025</c:v>
                </c:pt>
                <c:pt idx="4">
                  <c:v>173.38399999825964</c:v>
                </c:pt>
                <c:pt idx="5">
                  <c:v>185.59299999910246</c:v>
                </c:pt>
                <c:pt idx="6">
                  <c:v>188.60999999989056</c:v>
                </c:pt>
                <c:pt idx="7">
                  <c:v>199.86400000095333</c:v>
                </c:pt>
                <c:pt idx="8">
                  <c:v>192.63400000085332</c:v>
                </c:pt>
                <c:pt idx="9">
                  <c:v>196.15099999975763</c:v>
                </c:pt>
                <c:pt idx="10">
                  <c:v>192.42700000019445</c:v>
                </c:pt>
                <c:pt idx="11">
                  <c:v>189.99699999968098</c:v>
                </c:pt>
                <c:pt idx="12">
                  <c:v>187.08100000074322</c:v>
                </c:pt>
                <c:pt idx="13">
                  <c:v>184.00800000065254</c:v>
                </c:pt>
                <c:pt idx="14">
                  <c:v>181.81300000043623</c:v>
                </c:pt>
                <c:pt idx="15">
                  <c:v>179.72300000121771</c:v>
                </c:pt>
                <c:pt idx="16">
                  <c:v>178.15900000097997</c:v>
                </c:pt>
                <c:pt idx="17">
                  <c:v>176.51600000109022</c:v>
                </c:pt>
                <c:pt idx="18">
                  <c:v>174.94800000092363</c:v>
                </c:pt>
                <c:pt idx="19">
                  <c:v>173.42600000091997</c:v>
                </c:pt>
                <c:pt idx="20">
                  <c:v>172.03900000108732</c:v>
                </c:pt>
                <c:pt idx="21">
                  <c:v>170.6250000015834</c:v>
                </c:pt>
                <c:pt idx="22">
                  <c:v>169.27100000159245</c:v>
                </c:pt>
                <c:pt idx="23">
                  <c:v>167.98300000158198</c:v>
                </c:pt>
                <c:pt idx="24" formatCode="#,##0.00">
                  <c:v>166.76200000132101</c:v>
                </c:pt>
                <c:pt idx="25">
                  <c:v>165.67100000037502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143.76500000078263</c:v>
                </c:pt>
                <c:pt idx="1">
                  <c:v>146.91099999819184</c:v>
                </c:pt>
                <c:pt idx="2">
                  <c:v>152.75999999961212</c:v>
                </c:pt>
                <c:pt idx="3">
                  <c:v>133.29999999910362</c:v>
                </c:pt>
                <c:pt idx="4">
                  <c:v>142.59999999702188</c:v>
                </c:pt>
                <c:pt idx="5">
                  <c:v>146.13199999695033</c:v>
                </c:pt>
                <c:pt idx="6">
                  <c:v>161.7569999985142</c:v>
                </c:pt>
                <c:pt idx="7">
                  <c:v>152.69200000085459</c:v>
                </c:pt>
                <c:pt idx="8">
                  <c:v>156.96200000110989</c:v>
                </c:pt>
                <c:pt idx="9">
                  <c:v>153.65000000114503</c:v>
                </c:pt>
                <c:pt idx="10">
                  <c:v>147.90699999913386</c:v>
                </c:pt>
                <c:pt idx="11">
                  <c:v>145.7429999980983</c:v>
                </c:pt>
                <c:pt idx="12">
                  <c:v>146.63899999686788</c:v>
                </c:pt>
                <c:pt idx="13">
                  <c:v>148.65199999671694</c:v>
                </c:pt>
                <c:pt idx="14">
                  <c:v>150.34999999642466</c:v>
                </c:pt>
                <c:pt idx="15">
                  <c:v>151.27099999665484</c:v>
                </c:pt>
                <c:pt idx="16">
                  <c:v>152.03899999661905</c:v>
                </c:pt>
                <c:pt idx="17">
                  <c:v>152.49199999676867</c:v>
                </c:pt>
                <c:pt idx="18">
                  <c:v>153.0979999958042</c:v>
                </c:pt>
                <c:pt idx="19">
                  <c:v>153.62499999675777</c:v>
                </c:pt>
                <c:pt idx="20">
                  <c:v>154.31699999602284</c:v>
                </c:pt>
                <c:pt idx="21">
                  <c:v>155.03899999837168</c:v>
                </c:pt>
                <c:pt idx="22">
                  <c:v>155.79199999766649</c:v>
                </c:pt>
                <c:pt idx="23">
                  <c:v>156.56199999792611</c:v>
                </c:pt>
                <c:pt idx="24" formatCode="#,##0.00">
                  <c:v>157.34899999712721</c:v>
                </c:pt>
                <c:pt idx="25">
                  <c:v>158.14499999768623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353.53199999736051</c:v>
                </c:pt>
                <c:pt idx="1">
                  <c:v>366.04399999213553</c:v>
                </c:pt>
                <c:pt idx="2">
                  <c:v>376.74599999838114</c:v>
                </c:pt>
                <c:pt idx="3">
                  <c:v>344.34099999796774</c:v>
                </c:pt>
                <c:pt idx="4">
                  <c:v>355.81299999922993</c:v>
                </c:pt>
                <c:pt idx="5">
                  <c:v>363.624000005651</c:v>
                </c:pt>
                <c:pt idx="6">
                  <c:v>384.35600000505718</c:v>
                </c:pt>
                <c:pt idx="7">
                  <c:v>377.83800000719071</c:v>
                </c:pt>
                <c:pt idx="8">
                  <c:v>356.03300000542612</c:v>
                </c:pt>
                <c:pt idx="9">
                  <c:v>387.14900000081963</c:v>
                </c:pt>
                <c:pt idx="10">
                  <c:v>365.71500000646409</c:v>
                </c:pt>
                <c:pt idx="11">
                  <c:v>368.94499999937847</c:v>
                </c:pt>
                <c:pt idx="12">
                  <c:v>370.27000000772983</c:v>
                </c:pt>
                <c:pt idx="13">
                  <c:v>370.55600000902496</c:v>
                </c:pt>
                <c:pt idx="14">
                  <c:v>371.51700000443975</c:v>
                </c:pt>
                <c:pt idx="15">
                  <c:v>372.71100000772367</c:v>
                </c:pt>
                <c:pt idx="16">
                  <c:v>373.59200000520269</c:v>
                </c:pt>
                <c:pt idx="17">
                  <c:v>374.38500000453791</c:v>
                </c:pt>
                <c:pt idx="18">
                  <c:v>375.13800000652549</c:v>
                </c:pt>
                <c:pt idx="19">
                  <c:v>375.8790000064335</c:v>
                </c:pt>
                <c:pt idx="20">
                  <c:v>376.70200000501018</c:v>
                </c:pt>
                <c:pt idx="21">
                  <c:v>377.56000000870779</c:v>
                </c:pt>
                <c:pt idx="22">
                  <c:v>378.40500000830122</c:v>
                </c:pt>
                <c:pt idx="23">
                  <c:v>379.38500000814986</c:v>
                </c:pt>
                <c:pt idx="24" formatCode="#,##0.00">
                  <c:v>380.32900000836503</c:v>
                </c:pt>
                <c:pt idx="25">
                  <c:v>381.25099999911185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115.55199999977846</c:v>
                </c:pt>
                <c:pt idx="1">
                  <c:v>117.62599999775425</c:v>
                </c:pt>
                <c:pt idx="2">
                  <c:v>113.98499999967488</c:v>
                </c:pt>
                <c:pt idx="3">
                  <c:v>120.12299999972939</c:v>
                </c:pt>
                <c:pt idx="4">
                  <c:v>107.63099999803873</c:v>
                </c:pt>
                <c:pt idx="5">
                  <c:v>117.80199999919714</c:v>
                </c:pt>
                <c:pt idx="6">
                  <c:v>120.30600000091079</c:v>
                </c:pt>
                <c:pt idx="7">
                  <c:v>129.15300000068936</c:v>
                </c:pt>
                <c:pt idx="8">
                  <c:v>130.2190000007071</c:v>
                </c:pt>
                <c:pt idx="9">
                  <c:v>139.11599999913906</c:v>
                </c:pt>
                <c:pt idx="10">
                  <c:v>162.21900000183697</c:v>
                </c:pt>
                <c:pt idx="11">
                  <c:v>167.98600000157307</c:v>
                </c:pt>
                <c:pt idx="12">
                  <c:v>166.6140000029902</c:v>
                </c:pt>
                <c:pt idx="13">
                  <c:v>166.65000000299469</c:v>
                </c:pt>
                <c:pt idx="14">
                  <c:v>167.29100000222743</c:v>
                </c:pt>
                <c:pt idx="15">
                  <c:v>167.66100000316038</c:v>
                </c:pt>
                <c:pt idx="16">
                  <c:v>167.90400000278893</c:v>
                </c:pt>
                <c:pt idx="17">
                  <c:v>168.12100000264616</c:v>
                </c:pt>
                <c:pt idx="18">
                  <c:v>168.32200000306131</c:v>
                </c:pt>
                <c:pt idx="19">
                  <c:v>168.51800000263873</c:v>
                </c:pt>
                <c:pt idx="20">
                  <c:v>168.75600000284612</c:v>
                </c:pt>
                <c:pt idx="21">
                  <c:v>168.95300000409222</c:v>
                </c:pt>
                <c:pt idx="22">
                  <c:v>169.148000004137</c:v>
                </c:pt>
                <c:pt idx="23">
                  <c:v>169.34200000385653</c:v>
                </c:pt>
                <c:pt idx="24" formatCode="#,##0.00">
                  <c:v>169.52300000365921</c:v>
                </c:pt>
                <c:pt idx="25">
                  <c:v>169.70700000184658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118.92199999943041</c:v>
                </c:pt>
                <c:pt idx="1">
                  <c:v>119.97099999772934</c:v>
                </c:pt>
                <c:pt idx="2">
                  <c:v>122.71200000008946</c:v>
                </c:pt>
                <c:pt idx="3">
                  <c:v>131.70599999990623</c:v>
                </c:pt>
                <c:pt idx="4">
                  <c:v>122.37499999945413</c:v>
                </c:pt>
                <c:pt idx="5">
                  <c:v>132.54800000205535</c:v>
                </c:pt>
                <c:pt idx="6">
                  <c:v>149.49300000183928</c:v>
                </c:pt>
                <c:pt idx="7">
                  <c:v>153.27600000300393</c:v>
                </c:pt>
                <c:pt idx="8">
                  <c:v>150.52200000208228</c:v>
                </c:pt>
                <c:pt idx="9">
                  <c:v>145.89900000038691</c:v>
                </c:pt>
                <c:pt idx="10">
                  <c:v>143.64000000242572</c:v>
                </c:pt>
                <c:pt idx="11">
                  <c:v>134.43299999986874</c:v>
                </c:pt>
                <c:pt idx="12">
                  <c:v>136.77900000273749</c:v>
                </c:pt>
                <c:pt idx="13">
                  <c:v>138.43300000331993</c:v>
                </c:pt>
                <c:pt idx="14">
                  <c:v>140.92100000142261</c:v>
                </c:pt>
                <c:pt idx="15">
                  <c:v>142.6610000024487</c:v>
                </c:pt>
                <c:pt idx="16">
                  <c:v>144.04400000145955</c:v>
                </c:pt>
                <c:pt idx="17">
                  <c:v>145.25900000134138</c:v>
                </c:pt>
                <c:pt idx="18">
                  <c:v>146.38200000233564</c:v>
                </c:pt>
                <c:pt idx="19">
                  <c:v>147.43600000235341</c:v>
                </c:pt>
                <c:pt idx="20">
                  <c:v>148.44900000170381</c:v>
                </c:pt>
                <c:pt idx="21">
                  <c:v>149.39600000317429</c:v>
                </c:pt>
                <c:pt idx="22">
                  <c:v>150.29000000300269</c:v>
                </c:pt>
                <c:pt idx="23">
                  <c:v>151.14300000300975</c:v>
                </c:pt>
                <c:pt idx="24" formatCode="#,##0.00">
                  <c:v>151.94200000333126</c:v>
                </c:pt>
                <c:pt idx="25">
                  <c:v>152.68199999921001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10.172999999971033</c:v>
                </c:pt>
                <c:pt idx="1">
                  <c:v>9.5560000000668825</c:v>
                </c:pt>
                <c:pt idx="2">
                  <c:v>10.010999999964808</c:v>
                </c:pt>
                <c:pt idx="3">
                  <c:v>11.710999999981579</c:v>
                </c:pt>
                <c:pt idx="4">
                  <c:v>12.662000000101559</c:v>
                </c:pt>
                <c:pt idx="5">
                  <c:v>8.2350000000653409</c:v>
                </c:pt>
                <c:pt idx="6">
                  <c:v>10.046999999981258</c:v>
                </c:pt>
                <c:pt idx="7">
                  <c:v>11.980999999940959</c:v>
                </c:pt>
                <c:pt idx="8">
                  <c:v>5.8189999999988862</c:v>
                </c:pt>
                <c:pt idx="9">
                  <c:v>11.626000000056054</c:v>
                </c:pt>
                <c:pt idx="10">
                  <c:v>8.6399999999464896</c:v>
                </c:pt>
                <c:pt idx="11">
                  <c:v>8.5449999999424797</c:v>
                </c:pt>
                <c:pt idx="12">
                  <c:v>8.5160000000251284</c:v>
                </c:pt>
                <c:pt idx="13">
                  <c:v>8.4860000000288576</c:v>
                </c:pt>
                <c:pt idx="14">
                  <c:v>8.4680000000496065</c:v>
                </c:pt>
                <c:pt idx="15">
                  <c:v>8.4940000000726599</c:v>
                </c:pt>
                <c:pt idx="16">
                  <c:v>8.5080000000667582</c:v>
                </c:pt>
                <c:pt idx="17">
                  <c:v>8.5240000001071845</c:v>
                </c:pt>
                <c:pt idx="18">
                  <c:v>8.5410000001090012</c:v>
                </c:pt>
                <c:pt idx="19">
                  <c:v>8.5540000001126906</c:v>
                </c:pt>
                <c:pt idx="20">
                  <c:v>8.5670000001240521</c:v>
                </c:pt>
                <c:pt idx="21">
                  <c:v>8.5800000000741115</c:v>
                </c:pt>
                <c:pt idx="22">
                  <c:v>8.5920000000922574</c:v>
                </c:pt>
                <c:pt idx="23">
                  <c:v>8.6050000001001195</c:v>
                </c:pt>
                <c:pt idx="24" formatCode="#,##0.00">
                  <c:v>8.6160000000751484</c:v>
                </c:pt>
                <c:pt idx="25">
                  <c:v>8.6300000000032373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47.353999999747401</c:v>
                </c:pt>
                <c:pt idx="1">
                  <c:v>43.616000000542485</c:v>
                </c:pt>
                <c:pt idx="2">
                  <c:v>34.686999999598221</c:v>
                </c:pt>
                <c:pt idx="3">
                  <c:v>48.039999999598216</c:v>
                </c:pt>
                <c:pt idx="4">
                  <c:v>48.046000000745693</c:v>
                </c:pt>
                <c:pt idx="5">
                  <c:v>44.996000000155043</c:v>
                </c:pt>
                <c:pt idx="6">
                  <c:v>44.95699999935735</c:v>
                </c:pt>
                <c:pt idx="7">
                  <c:v>58.918999999293689</c:v>
                </c:pt>
                <c:pt idx="8">
                  <c:v>58.711999999308432</c:v>
                </c:pt>
                <c:pt idx="9">
                  <c:v>51.616999999546536</c:v>
                </c:pt>
                <c:pt idx="10">
                  <c:v>46.717999999053148</c:v>
                </c:pt>
                <c:pt idx="11">
                  <c:v>47.946999999211563</c:v>
                </c:pt>
                <c:pt idx="12">
                  <c:v>48.30899999952058</c:v>
                </c:pt>
                <c:pt idx="13">
                  <c:v>49.13299999948201</c:v>
                </c:pt>
                <c:pt idx="14">
                  <c:v>49.751999999611272</c:v>
                </c:pt>
                <c:pt idx="15">
                  <c:v>50.24699999977507</c:v>
                </c:pt>
                <c:pt idx="16">
                  <c:v>50.700999999767895</c:v>
                </c:pt>
                <c:pt idx="17">
                  <c:v>51.086999999842348</c:v>
                </c:pt>
                <c:pt idx="18">
                  <c:v>51.444999999788536</c:v>
                </c:pt>
                <c:pt idx="19">
                  <c:v>51.802999999878679</c:v>
                </c:pt>
                <c:pt idx="20">
                  <c:v>52.179999999992447</c:v>
                </c:pt>
                <c:pt idx="21">
                  <c:v>52.545999999122969</c:v>
                </c:pt>
                <c:pt idx="22">
                  <c:v>52.899999999297926</c:v>
                </c:pt>
                <c:pt idx="23">
                  <c:v>53.23899999944306</c:v>
                </c:pt>
                <c:pt idx="24" formatCode="#,##0.00">
                  <c:v>53.552999999530861</c:v>
                </c:pt>
                <c:pt idx="25">
                  <c:v>53.841999999295119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35.021999999789337</c:v>
                </c:pt>
                <c:pt idx="1">
                  <c:v>43.501000000129977</c:v>
                </c:pt>
                <c:pt idx="2">
                  <c:v>38.388999999658452</c:v>
                </c:pt>
                <c:pt idx="3">
                  <c:v>32.452999999725456</c:v>
                </c:pt>
                <c:pt idx="4">
                  <c:v>38.498000000206062</c:v>
                </c:pt>
                <c:pt idx="5">
                  <c:v>41.772000000069056</c:v>
                </c:pt>
                <c:pt idx="6">
                  <c:v>34.999999999630916</c:v>
                </c:pt>
                <c:pt idx="7">
                  <c:v>39.656999999728562</c:v>
                </c:pt>
                <c:pt idx="8">
                  <c:v>38.160999999701779</c:v>
                </c:pt>
                <c:pt idx="9">
                  <c:v>39.803999999771619</c:v>
                </c:pt>
                <c:pt idx="10">
                  <c:v>44.767999999405667</c:v>
                </c:pt>
                <c:pt idx="11">
                  <c:v>45.459999999405539</c:v>
                </c:pt>
                <c:pt idx="12">
                  <c:v>45.17499999988511</c:v>
                </c:pt>
                <c:pt idx="13">
                  <c:v>44.835999999866665</c:v>
                </c:pt>
                <c:pt idx="14">
                  <c:v>44.431000000087359</c:v>
                </c:pt>
                <c:pt idx="15">
                  <c:v>44.137000000458109</c:v>
                </c:pt>
                <c:pt idx="16">
                  <c:v>43.886000000514713</c:v>
                </c:pt>
                <c:pt idx="17">
                  <c:v>43.635000000656781</c:v>
                </c:pt>
                <c:pt idx="18">
                  <c:v>43.378000000488001</c:v>
                </c:pt>
                <c:pt idx="19">
                  <c:v>43.123000000633397</c:v>
                </c:pt>
                <c:pt idx="20">
                  <c:v>42.870000000758964</c:v>
                </c:pt>
                <c:pt idx="21">
                  <c:v>42.59300000020226</c:v>
                </c:pt>
                <c:pt idx="22">
                  <c:v>42.317000000353858</c:v>
                </c:pt>
                <c:pt idx="23">
                  <c:v>42.045000000450194</c:v>
                </c:pt>
                <c:pt idx="24" formatCode="#,##0.00">
                  <c:v>41.768000000487213</c:v>
                </c:pt>
                <c:pt idx="25">
                  <c:v>41.496999999939959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30.03399999987024</c:v>
                </c:pt>
                <c:pt idx="1">
                  <c:v>24.469000000037003</c:v>
                </c:pt>
                <c:pt idx="2">
                  <c:v>24.548999999873907</c:v>
                </c:pt>
                <c:pt idx="3">
                  <c:v>25.58899999984348</c:v>
                </c:pt>
                <c:pt idx="4">
                  <c:v>27.809000000045067</c:v>
                </c:pt>
                <c:pt idx="5">
                  <c:v>27.166000000009245</c:v>
                </c:pt>
                <c:pt idx="6">
                  <c:v>27.614999999819656</c:v>
                </c:pt>
                <c:pt idx="7">
                  <c:v>26.713999999921349</c:v>
                </c:pt>
                <c:pt idx="8">
                  <c:v>30.010999999893624</c:v>
                </c:pt>
                <c:pt idx="9">
                  <c:v>36.995999999929118</c:v>
                </c:pt>
                <c:pt idx="10">
                  <c:v>38.778999999762249</c:v>
                </c:pt>
                <c:pt idx="11">
                  <c:v>38.113999999787559</c:v>
                </c:pt>
                <c:pt idx="12">
                  <c:v>37.387000000031904</c:v>
                </c:pt>
                <c:pt idx="13">
                  <c:v>36.902000000031997</c:v>
                </c:pt>
                <c:pt idx="14">
                  <c:v>36.690000000023879</c:v>
                </c:pt>
                <c:pt idx="15">
                  <c:v>36.874000000281022</c:v>
                </c:pt>
                <c:pt idx="16">
                  <c:v>37.151000000258534</c:v>
                </c:pt>
                <c:pt idx="17">
                  <c:v>37.47400000029571</c:v>
                </c:pt>
                <c:pt idx="18">
                  <c:v>37.817000000296858</c:v>
                </c:pt>
                <c:pt idx="19">
                  <c:v>38.171000000343788</c:v>
                </c:pt>
                <c:pt idx="20">
                  <c:v>38.530000000395333</c:v>
                </c:pt>
                <c:pt idx="21">
                  <c:v>38.89100000020251</c:v>
                </c:pt>
                <c:pt idx="22">
                  <c:v>39.252000000286465</c:v>
                </c:pt>
                <c:pt idx="23">
                  <c:v>39.60800000032544</c:v>
                </c:pt>
                <c:pt idx="24" formatCode="#,##0.00">
                  <c:v>39.959000000330093</c:v>
                </c:pt>
                <c:pt idx="25">
                  <c:v>40.303999999940245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129.2549999992778</c:v>
                </c:pt>
                <c:pt idx="1">
                  <c:v>123.53500000211595</c:v>
                </c:pt>
                <c:pt idx="2">
                  <c:v>123.4859999985197</c:v>
                </c:pt>
                <c:pt idx="3">
                  <c:v>141.18699999854445</c:v>
                </c:pt>
                <c:pt idx="4">
                  <c:v>167.40400000288147</c:v>
                </c:pt>
                <c:pt idx="5">
                  <c:v>155.69900000005237</c:v>
                </c:pt>
                <c:pt idx="6">
                  <c:v>165.05699999752485</c:v>
                </c:pt>
                <c:pt idx="7">
                  <c:v>154.47799999774566</c:v>
                </c:pt>
                <c:pt idx="8">
                  <c:v>149.31699999818207</c:v>
                </c:pt>
                <c:pt idx="9">
                  <c:v>188.2799999992435</c:v>
                </c:pt>
                <c:pt idx="10">
                  <c:v>205.36499999595713</c:v>
                </c:pt>
                <c:pt idx="11">
                  <c:v>207.77299999662606</c:v>
                </c:pt>
                <c:pt idx="12">
                  <c:v>208.43299999849509</c:v>
                </c:pt>
                <c:pt idx="13">
                  <c:v>209.75699999838616</c:v>
                </c:pt>
                <c:pt idx="14">
                  <c:v>211.17900000092482</c:v>
                </c:pt>
                <c:pt idx="15">
                  <c:v>212.28900000194432</c:v>
                </c:pt>
                <c:pt idx="16">
                  <c:v>213.29500000266009</c:v>
                </c:pt>
                <c:pt idx="17">
                  <c:v>214.35500000359036</c:v>
                </c:pt>
                <c:pt idx="18">
                  <c:v>215.45100000228248</c:v>
                </c:pt>
                <c:pt idx="19">
                  <c:v>216.59900000308232</c:v>
                </c:pt>
                <c:pt idx="20">
                  <c:v>217.81500000401743</c:v>
                </c:pt>
                <c:pt idx="21">
                  <c:v>219.00600000030482</c:v>
                </c:pt>
                <c:pt idx="22">
                  <c:v>220.19800000117982</c:v>
                </c:pt>
                <c:pt idx="23">
                  <c:v>221.39100000173431</c:v>
                </c:pt>
                <c:pt idx="24" formatCode="#,##0.00">
                  <c:v>222.57300000215332</c:v>
                </c:pt>
                <c:pt idx="25">
                  <c:v>223.75500000025235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177.10699999982637</c:v>
                </c:pt>
                <c:pt idx="1">
                  <c:v>187.20399999863136</c:v>
                </c:pt>
                <c:pt idx="2">
                  <c:v>186.75100000050057</c:v>
                </c:pt>
                <c:pt idx="3">
                  <c:v>186.43800000008684</c:v>
                </c:pt>
                <c:pt idx="4">
                  <c:v>207.9999999985298</c:v>
                </c:pt>
                <c:pt idx="5">
                  <c:v>224.21700000051536</c:v>
                </c:pt>
                <c:pt idx="6">
                  <c:v>201.33200000056806</c:v>
                </c:pt>
                <c:pt idx="7">
                  <c:v>189.36700000086461</c:v>
                </c:pt>
                <c:pt idx="8">
                  <c:v>190.34100000089651</c:v>
                </c:pt>
                <c:pt idx="9">
                  <c:v>194.1669999998698</c:v>
                </c:pt>
                <c:pt idx="10">
                  <c:v>195.54200000063364</c:v>
                </c:pt>
                <c:pt idx="11">
                  <c:v>198.89900000027248</c:v>
                </c:pt>
                <c:pt idx="12">
                  <c:v>202.75000000117072</c:v>
                </c:pt>
                <c:pt idx="13">
                  <c:v>205.13000000120795</c:v>
                </c:pt>
                <c:pt idx="14">
                  <c:v>206.69700000044259</c:v>
                </c:pt>
                <c:pt idx="15">
                  <c:v>207.87400000127505</c:v>
                </c:pt>
                <c:pt idx="16">
                  <c:v>209.22400000090474</c:v>
                </c:pt>
                <c:pt idx="17">
                  <c:v>210.54700000108161</c:v>
                </c:pt>
                <c:pt idx="18">
                  <c:v>211.85200000134972</c:v>
                </c:pt>
                <c:pt idx="19">
                  <c:v>213.15800000126106</c:v>
                </c:pt>
                <c:pt idx="20">
                  <c:v>214.50300000123195</c:v>
                </c:pt>
                <c:pt idx="21">
                  <c:v>215.79100000164209</c:v>
                </c:pt>
                <c:pt idx="22">
                  <c:v>217.07900000173231</c:v>
                </c:pt>
                <c:pt idx="23">
                  <c:v>218.36300000165838</c:v>
                </c:pt>
                <c:pt idx="24" formatCode="#,##0.00">
                  <c:v>219.653000001208</c:v>
                </c:pt>
                <c:pt idx="25">
                  <c:v>220.94200000003082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52.233999999903844</c:v>
                </c:pt>
                <c:pt idx="1">
                  <c:v>61.594000000150125</c:v>
                </c:pt>
                <c:pt idx="2">
                  <c:v>54.470000000031199</c:v>
                </c:pt>
                <c:pt idx="3">
                  <c:v>50.97999999984949</c:v>
                </c:pt>
                <c:pt idx="4">
                  <c:v>54.070000000185068</c:v>
                </c:pt>
                <c:pt idx="5">
                  <c:v>58.840000000436149</c:v>
                </c:pt>
                <c:pt idx="6">
                  <c:v>54.048000000002553</c:v>
                </c:pt>
                <c:pt idx="7">
                  <c:v>58.699999999887282</c:v>
                </c:pt>
                <c:pt idx="8">
                  <c:v>62.481000000080179</c:v>
                </c:pt>
                <c:pt idx="9">
                  <c:v>63.907000000180211</c:v>
                </c:pt>
                <c:pt idx="10">
                  <c:v>56.808999999831137</c:v>
                </c:pt>
                <c:pt idx="11">
                  <c:v>55.976999999777441</c:v>
                </c:pt>
                <c:pt idx="12">
                  <c:v>53.219000000374223</c:v>
                </c:pt>
                <c:pt idx="13">
                  <c:v>52.353000000414525</c:v>
                </c:pt>
                <c:pt idx="14">
                  <c:v>52.793000000651475</c:v>
                </c:pt>
                <c:pt idx="15">
                  <c:v>52.877000000806248</c:v>
                </c:pt>
                <c:pt idx="16">
                  <c:v>53.057000000813119</c:v>
                </c:pt>
                <c:pt idx="17">
                  <c:v>53.166000001086225</c:v>
                </c:pt>
                <c:pt idx="18">
                  <c:v>53.24500000107038</c:v>
                </c:pt>
                <c:pt idx="19">
                  <c:v>53.296000001067796</c:v>
                </c:pt>
                <c:pt idx="20">
                  <c:v>53.361000001190668</c:v>
                </c:pt>
                <c:pt idx="21">
                  <c:v>53.434000000923582</c:v>
                </c:pt>
                <c:pt idx="22">
                  <c:v>53.509000001052669</c:v>
                </c:pt>
                <c:pt idx="23">
                  <c:v>53.579000001070902</c:v>
                </c:pt>
                <c:pt idx="24" formatCode="#,##0.00">
                  <c:v>53.637000000944667</c:v>
                </c:pt>
                <c:pt idx="25">
                  <c:v>53.687000000441721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61.910999999638783</c:v>
                </c:pt>
                <c:pt idx="1">
                  <c:v>61.480999999797568</c:v>
                </c:pt>
                <c:pt idx="2">
                  <c:v>63.183999999626785</c:v>
                </c:pt>
                <c:pt idx="3">
                  <c:v>70.083999999608366</c:v>
                </c:pt>
                <c:pt idx="4">
                  <c:v>79.482999999821786</c:v>
                </c:pt>
                <c:pt idx="5">
                  <c:v>55.255000000383255</c:v>
                </c:pt>
                <c:pt idx="6">
                  <c:v>72.379999999660683</c:v>
                </c:pt>
                <c:pt idx="7">
                  <c:v>58.042999999626126</c:v>
                </c:pt>
                <c:pt idx="8">
                  <c:v>70.310000000268133</c:v>
                </c:pt>
                <c:pt idx="9">
                  <c:v>67.966000000298777</c:v>
                </c:pt>
                <c:pt idx="10">
                  <c:v>68.879999999477434</c:v>
                </c:pt>
                <c:pt idx="11">
                  <c:v>66.677999999458166</c:v>
                </c:pt>
                <c:pt idx="12">
                  <c:v>65.322000000298758</c:v>
                </c:pt>
                <c:pt idx="13">
                  <c:v>65.224000000347189</c:v>
                </c:pt>
                <c:pt idx="14">
                  <c:v>65.210000000245913</c:v>
                </c:pt>
                <c:pt idx="15">
                  <c:v>65.063000000413254</c:v>
                </c:pt>
                <c:pt idx="16">
                  <c:v>64.887000000188692</c:v>
                </c:pt>
                <c:pt idx="17">
                  <c:v>64.722000001109379</c:v>
                </c:pt>
                <c:pt idx="18">
                  <c:v>64.575000001204231</c:v>
                </c:pt>
                <c:pt idx="19">
                  <c:v>64.450000001165193</c:v>
                </c:pt>
                <c:pt idx="20">
                  <c:v>64.363000001113647</c:v>
                </c:pt>
                <c:pt idx="21">
                  <c:v>64.293000001069331</c:v>
                </c:pt>
                <c:pt idx="22">
                  <c:v>64.240000001202077</c:v>
                </c:pt>
                <c:pt idx="23">
                  <c:v>64.198000001298723</c:v>
                </c:pt>
                <c:pt idx="24" formatCode="#,##0.00">
                  <c:v>64.164000000507102</c:v>
                </c:pt>
                <c:pt idx="25">
                  <c:v>64.145000000060094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100.28200000004674</c:v>
                </c:pt>
                <c:pt idx="1">
                  <c:v>94.144000000920698</c:v>
                </c:pt>
                <c:pt idx="2">
                  <c:v>86.273999999450865</c:v>
                </c:pt>
                <c:pt idx="3">
                  <c:v>81.863999999543751</c:v>
                </c:pt>
                <c:pt idx="4">
                  <c:v>81.862000000445306</c:v>
                </c:pt>
                <c:pt idx="5">
                  <c:v>75.665999999336734</c:v>
                </c:pt>
                <c:pt idx="6">
                  <c:v>76.082999999227368</c:v>
                </c:pt>
                <c:pt idx="7">
                  <c:v>76.342999999185452</c:v>
                </c:pt>
                <c:pt idx="8">
                  <c:v>76.460999999350847</c:v>
                </c:pt>
                <c:pt idx="9">
                  <c:v>77.918999999931529</c:v>
                </c:pt>
                <c:pt idx="10">
                  <c:v>80.2239999989512</c:v>
                </c:pt>
                <c:pt idx="11">
                  <c:v>81.226999999186759</c:v>
                </c:pt>
                <c:pt idx="12">
                  <c:v>82.85399999944535</c:v>
                </c:pt>
                <c:pt idx="13">
                  <c:v>84.093999999375711</c:v>
                </c:pt>
                <c:pt idx="14">
                  <c:v>85.661000000078587</c:v>
                </c:pt>
                <c:pt idx="15">
                  <c:v>86.404000000294957</c:v>
                </c:pt>
                <c:pt idx="16">
                  <c:v>87.032000000508944</c:v>
                </c:pt>
                <c:pt idx="17">
                  <c:v>87.672000000742571</c:v>
                </c:pt>
                <c:pt idx="18">
                  <c:v>88.313000000306189</c:v>
                </c:pt>
                <c:pt idx="19">
                  <c:v>88.959000000516724</c:v>
                </c:pt>
                <c:pt idx="20">
                  <c:v>89.610000000738552</c:v>
                </c:pt>
                <c:pt idx="21">
                  <c:v>90.246999999891784</c:v>
                </c:pt>
                <c:pt idx="22">
                  <c:v>90.878000000066592</c:v>
                </c:pt>
                <c:pt idx="23">
                  <c:v>91.509000000191378</c:v>
                </c:pt>
                <c:pt idx="24" formatCode="#,##0.00">
                  <c:v>92.135000000249192</c:v>
                </c:pt>
                <c:pt idx="25">
                  <c:v>92.753000000063949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182.07600000115315</c:v>
                </c:pt>
                <c:pt idx="1">
                  <c:v>187.31100000771235</c:v>
                </c:pt>
                <c:pt idx="2">
                  <c:v>197.23300000212342</c:v>
                </c:pt>
                <c:pt idx="3">
                  <c:v>199.5720000030006</c:v>
                </c:pt>
                <c:pt idx="4">
                  <c:v>204.81500000438621</c:v>
                </c:pt>
                <c:pt idx="5">
                  <c:v>204.37499999959886</c:v>
                </c:pt>
                <c:pt idx="6">
                  <c:v>199.33099999832669</c:v>
                </c:pt>
                <c:pt idx="7">
                  <c:v>199.00899999353848</c:v>
                </c:pt>
                <c:pt idx="8">
                  <c:v>201.34099999540561</c:v>
                </c:pt>
                <c:pt idx="9">
                  <c:v>210.96600000147009</c:v>
                </c:pt>
                <c:pt idx="10">
                  <c:v>209.79399999727281</c:v>
                </c:pt>
                <c:pt idx="11">
                  <c:v>207.40300000372829</c:v>
                </c:pt>
                <c:pt idx="12">
                  <c:v>205.29099999344106</c:v>
                </c:pt>
                <c:pt idx="13">
                  <c:v>204.70099999269615</c:v>
                </c:pt>
                <c:pt idx="14">
                  <c:v>204.5569999965245</c:v>
                </c:pt>
                <c:pt idx="15">
                  <c:v>204.86899999060074</c:v>
                </c:pt>
                <c:pt idx="16">
                  <c:v>204.92699999304298</c:v>
                </c:pt>
                <c:pt idx="17">
                  <c:v>204.99099999332179</c:v>
                </c:pt>
                <c:pt idx="18">
                  <c:v>205.06399999286288</c:v>
                </c:pt>
                <c:pt idx="19">
                  <c:v>205.17299999232571</c:v>
                </c:pt>
                <c:pt idx="20">
                  <c:v>205.42599999284249</c:v>
                </c:pt>
                <c:pt idx="21">
                  <c:v>205.65999999027028</c:v>
                </c:pt>
                <c:pt idx="22">
                  <c:v>205.85999999020714</c:v>
                </c:pt>
                <c:pt idx="23">
                  <c:v>206.04499999008786</c:v>
                </c:pt>
                <c:pt idx="24" formatCode="#,##0.00">
                  <c:v>206.20399998995106</c:v>
                </c:pt>
                <c:pt idx="25">
                  <c:v>206.32500000142213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257.64800000237477</c:v>
                </c:pt>
                <c:pt idx="1">
                  <c:v>263.43700000497955</c:v>
                </c:pt>
                <c:pt idx="2">
                  <c:v>266.12900000144089</c:v>
                </c:pt>
                <c:pt idx="3">
                  <c:v>263.48000000178394</c:v>
                </c:pt>
                <c:pt idx="4">
                  <c:v>275.19100000127162</c:v>
                </c:pt>
                <c:pt idx="5">
                  <c:v>273.63099999618714</c:v>
                </c:pt>
                <c:pt idx="6">
                  <c:v>286.09899999828832</c:v>
                </c:pt>
                <c:pt idx="7">
                  <c:v>301.5979999966213</c:v>
                </c:pt>
                <c:pt idx="8">
                  <c:v>295.57599999617634</c:v>
                </c:pt>
                <c:pt idx="9">
                  <c:v>286.59199999750564</c:v>
                </c:pt>
                <c:pt idx="10">
                  <c:v>277.88399999797457</c:v>
                </c:pt>
                <c:pt idx="11">
                  <c:v>283.25500000113368</c:v>
                </c:pt>
                <c:pt idx="12">
                  <c:v>287.0939999969309</c:v>
                </c:pt>
                <c:pt idx="13">
                  <c:v>290.47299999621237</c:v>
                </c:pt>
                <c:pt idx="14">
                  <c:v>294.37299999749996</c:v>
                </c:pt>
                <c:pt idx="15">
                  <c:v>297.05199999668764</c:v>
                </c:pt>
                <c:pt idx="16">
                  <c:v>299.1219999978141</c:v>
                </c:pt>
                <c:pt idx="17">
                  <c:v>301.01299999562224</c:v>
                </c:pt>
                <c:pt idx="18">
                  <c:v>302.82499999482894</c:v>
                </c:pt>
                <c:pt idx="19">
                  <c:v>304.59299999443743</c:v>
                </c:pt>
                <c:pt idx="20">
                  <c:v>306.3199999950449</c:v>
                </c:pt>
                <c:pt idx="21">
                  <c:v>307.98399999323078</c:v>
                </c:pt>
                <c:pt idx="22">
                  <c:v>309.60599999314502</c:v>
                </c:pt>
                <c:pt idx="23">
                  <c:v>311.21499999271555</c:v>
                </c:pt>
                <c:pt idx="24" formatCode="#,##0.00">
                  <c:v>312.81299999431883</c:v>
                </c:pt>
                <c:pt idx="25">
                  <c:v>314.39499999974026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55.076000000075958</c:v>
                </c:pt>
                <c:pt idx="1">
                  <c:v>65.565999999544601</c:v>
                </c:pt>
                <c:pt idx="2">
                  <c:v>73.962999999777978</c:v>
                </c:pt>
                <c:pt idx="3">
                  <c:v>63.791999999781076</c:v>
                </c:pt>
                <c:pt idx="4">
                  <c:v>48.689999999620618</c:v>
                </c:pt>
                <c:pt idx="5">
                  <c:v>64.02199999976564</c:v>
                </c:pt>
                <c:pt idx="6">
                  <c:v>62.72899999977686</c:v>
                </c:pt>
                <c:pt idx="7">
                  <c:v>75.207000000121027</c:v>
                </c:pt>
                <c:pt idx="8">
                  <c:v>68.008000000254341</c:v>
                </c:pt>
                <c:pt idx="9">
                  <c:v>64.061000000047173</c:v>
                </c:pt>
                <c:pt idx="10">
                  <c:v>72.964999999731816</c:v>
                </c:pt>
                <c:pt idx="11">
                  <c:v>72.36199999970006</c:v>
                </c:pt>
                <c:pt idx="12">
                  <c:v>71.945999999917532</c:v>
                </c:pt>
                <c:pt idx="13">
                  <c:v>71.823999999856738</c:v>
                </c:pt>
                <c:pt idx="14">
                  <c:v>72.071999999683825</c:v>
                </c:pt>
                <c:pt idx="15">
                  <c:v>72.076999999945642</c:v>
                </c:pt>
                <c:pt idx="16">
                  <c:v>72.040999999810879</c:v>
                </c:pt>
                <c:pt idx="17">
                  <c:v>71.949000000004546</c:v>
                </c:pt>
                <c:pt idx="18">
                  <c:v>71.812999999949596</c:v>
                </c:pt>
                <c:pt idx="19">
                  <c:v>71.677000000019291</c:v>
                </c:pt>
                <c:pt idx="20">
                  <c:v>71.567999999997397</c:v>
                </c:pt>
                <c:pt idx="21">
                  <c:v>71.446000000147123</c:v>
                </c:pt>
                <c:pt idx="22">
                  <c:v>71.317000000132438</c:v>
                </c:pt>
                <c:pt idx="23">
                  <c:v>71.202000000169235</c:v>
                </c:pt>
                <c:pt idx="24">
                  <c:v>71.075999999864436</c:v>
                </c:pt>
                <c:pt idx="25">
                  <c:v>70.973999999645002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271.2760000003646</c:v>
                </c:pt>
                <c:pt idx="1">
                  <c:v>269.09399999739151</c:v>
                </c:pt>
                <c:pt idx="2">
                  <c:v>276.11899999960985</c:v>
                </c:pt>
                <c:pt idx="3">
                  <c:v>270.75999999910027</c:v>
                </c:pt>
                <c:pt idx="4">
                  <c:v>261.6599999972492</c:v>
                </c:pt>
                <c:pt idx="5">
                  <c:v>280.51099999879989</c:v>
                </c:pt>
                <c:pt idx="6">
                  <c:v>282.2819999999046</c:v>
                </c:pt>
                <c:pt idx="7">
                  <c:v>291.80600000142476</c:v>
                </c:pt>
                <c:pt idx="8">
                  <c:v>297.05200000129378</c:v>
                </c:pt>
                <c:pt idx="9">
                  <c:v>285.66899999946497</c:v>
                </c:pt>
                <c:pt idx="10">
                  <c:v>278.38900000048045</c:v>
                </c:pt>
                <c:pt idx="11">
                  <c:v>277.80399999969018</c:v>
                </c:pt>
                <c:pt idx="12">
                  <c:v>275.85200000134353</c:v>
                </c:pt>
                <c:pt idx="13">
                  <c:v>273.60600000124072</c:v>
                </c:pt>
                <c:pt idx="14">
                  <c:v>271.92900000068818</c:v>
                </c:pt>
                <c:pt idx="15">
                  <c:v>270.23900000215792</c:v>
                </c:pt>
                <c:pt idx="16">
                  <c:v>268.78100000173566</c:v>
                </c:pt>
                <c:pt idx="17">
                  <c:v>267.24400000181527</c:v>
                </c:pt>
                <c:pt idx="18">
                  <c:v>265.79000000167508</c:v>
                </c:pt>
                <c:pt idx="19">
                  <c:v>264.3780000017004</c:v>
                </c:pt>
                <c:pt idx="20">
                  <c:v>263.1860000019127</c:v>
                </c:pt>
                <c:pt idx="21">
                  <c:v>261.96000000282913</c:v>
                </c:pt>
                <c:pt idx="22">
                  <c:v>260.78500000287636</c:v>
                </c:pt>
                <c:pt idx="23">
                  <c:v>259.66400000286853</c:v>
                </c:pt>
                <c:pt idx="24">
                  <c:v>258.60200000251393</c:v>
                </c:pt>
                <c:pt idx="25">
                  <c:v>257.66000000058011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143.76500000078263</c:v>
                </c:pt>
                <c:pt idx="1">
                  <c:v>146.91099999819184</c:v>
                </c:pt>
                <c:pt idx="2">
                  <c:v>152.75999999961212</c:v>
                </c:pt>
                <c:pt idx="3">
                  <c:v>133.29999999910362</c:v>
                </c:pt>
                <c:pt idx="4">
                  <c:v>142.59999999702188</c:v>
                </c:pt>
                <c:pt idx="5">
                  <c:v>146.13199999695033</c:v>
                </c:pt>
                <c:pt idx="6">
                  <c:v>161.7569999985142</c:v>
                </c:pt>
                <c:pt idx="7">
                  <c:v>152.69200000085459</c:v>
                </c:pt>
                <c:pt idx="8">
                  <c:v>156.96200000110989</c:v>
                </c:pt>
                <c:pt idx="9">
                  <c:v>153.65000000114503</c:v>
                </c:pt>
                <c:pt idx="10">
                  <c:v>147.90699999913386</c:v>
                </c:pt>
                <c:pt idx="11">
                  <c:v>145.7429999980983</c:v>
                </c:pt>
                <c:pt idx="12">
                  <c:v>146.63899999686788</c:v>
                </c:pt>
                <c:pt idx="13">
                  <c:v>148.65199999671694</c:v>
                </c:pt>
                <c:pt idx="14">
                  <c:v>150.34999999642466</c:v>
                </c:pt>
                <c:pt idx="15">
                  <c:v>151.27099999665484</c:v>
                </c:pt>
                <c:pt idx="16">
                  <c:v>152.03899999661905</c:v>
                </c:pt>
                <c:pt idx="17">
                  <c:v>152.49199999676867</c:v>
                </c:pt>
                <c:pt idx="18">
                  <c:v>153.0979999958042</c:v>
                </c:pt>
                <c:pt idx="19">
                  <c:v>153.62499999675777</c:v>
                </c:pt>
                <c:pt idx="20">
                  <c:v>154.31699999602284</c:v>
                </c:pt>
                <c:pt idx="21">
                  <c:v>155.03899999837168</c:v>
                </c:pt>
                <c:pt idx="22">
                  <c:v>155.79199999766649</c:v>
                </c:pt>
                <c:pt idx="23">
                  <c:v>156.56199999792611</c:v>
                </c:pt>
                <c:pt idx="24" formatCode="#,##0.00">
                  <c:v>157.34899999712721</c:v>
                </c:pt>
                <c:pt idx="25">
                  <c:v>158.14499999768623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588.00599999656936</c:v>
                </c:pt>
                <c:pt idx="1">
                  <c:v>603.64099998761913</c:v>
                </c:pt>
                <c:pt idx="2">
                  <c:v>613.44299999814552</c:v>
                </c:pt>
                <c:pt idx="3">
                  <c:v>596.16999999760333</c:v>
                </c:pt>
                <c:pt idx="4">
                  <c:v>585.81899999672282</c:v>
                </c:pt>
                <c:pt idx="5">
                  <c:v>613.97400000690345</c:v>
                </c:pt>
                <c:pt idx="6">
                  <c:v>654.1550000078073</c:v>
                </c:pt>
                <c:pt idx="7">
                  <c:v>660.26700001088398</c:v>
                </c:pt>
                <c:pt idx="8">
                  <c:v>636.77400000821558</c:v>
                </c:pt>
                <c:pt idx="9">
                  <c:v>672.1640000003456</c:v>
                </c:pt>
                <c:pt idx="10">
                  <c:v>671.57400001072676</c:v>
                </c:pt>
                <c:pt idx="11">
                  <c:v>671.3640000008204</c:v>
                </c:pt>
                <c:pt idx="12">
                  <c:v>673.66300001345746</c:v>
                </c:pt>
                <c:pt idx="13">
                  <c:v>675.63900001533966</c:v>
                </c:pt>
                <c:pt idx="14">
                  <c:v>679.72900000808977</c:v>
                </c:pt>
                <c:pt idx="15">
                  <c:v>683.03300001333264</c:v>
                </c:pt>
                <c:pt idx="16">
                  <c:v>685.54000000945121</c:v>
                </c:pt>
                <c:pt idx="17">
                  <c:v>687.76500000852548</c:v>
                </c:pt>
                <c:pt idx="18">
                  <c:v>689.84200001192244</c:v>
                </c:pt>
                <c:pt idx="19">
                  <c:v>691.83300001142561</c:v>
                </c:pt>
                <c:pt idx="20">
                  <c:v>693.90700000956008</c:v>
                </c:pt>
                <c:pt idx="21">
                  <c:v>695.90900001597436</c:v>
                </c:pt>
                <c:pt idx="22">
                  <c:v>697.84300001544091</c:v>
                </c:pt>
                <c:pt idx="23">
                  <c:v>699.8700000150161</c:v>
                </c:pt>
                <c:pt idx="24">
                  <c:v>701.79400001535555</c:v>
                </c:pt>
                <c:pt idx="25">
                  <c:v>703.64000000016847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543.08999999802484</c:v>
                </c:pt>
                <c:pt idx="1">
                  <c:v>554.95600000147124</c:v>
                </c:pt>
                <c:pt idx="2">
                  <c:v>535.5269999977736</c:v>
                </c:pt>
                <c:pt idx="3">
                  <c:v>566.48199999723795</c:v>
                </c:pt>
                <c:pt idx="4">
                  <c:v>635.97200000251644</c:v>
                </c:pt>
                <c:pt idx="5">
                  <c:v>616.18000000168581</c:v>
                </c:pt>
                <c:pt idx="6">
                  <c:v>610.43599999654521</c:v>
                </c:pt>
                <c:pt idx="7">
                  <c:v>597.85899999700825</c:v>
                </c:pt>
                <c:pt idx="8">
                  <c:v>605.15199999832953</c:v>
                </c:pt>
                <c:pt idx="9">
                  <c:v>654.36299999889559</c:v>
                </c:pt>
                <c:pt idx="10">
                  <c:v>665.50099999406689</c:v>
                </c:pt>
                <c:pt idx="11">
                  <c:v>669.39299999448133</c:v>
                </c:pt>
                <c:pt idx="12">
                  <c:v>669.11099999980149</c:v>
                </c:pt>
                <c:pt idx="13">
                  <c:v>671.82099999976549</c:v>
                </c:pt>
                <c:pt idx="14">
                  <c:v>675.22000000203684</c:v>
                </c:pt>
                <c:pt idx="15">
                  <c:v>677.85500000502566</c:v>
                </c:pt>
                <c:pt idx="16">
                  <c:v>680.70900000517452</c:v>
                </c:pt>
                <c:pt idx="17">
                  <c:v>683.51000000776958</c:v>
                </c:pt>
                <c:pt idx="18">
                  <c:v>686.30400000658915</c:v>
                </c:pt>
                <c:pt idx="19">
                  <c:v>689.15400000754494</c:v>
                </c:pt>
                <c:pt idx="20">
                  <c:v>692.18900000882445</c:v>
                </c:pt>
                <c:pt idx="21">
                  <c:v>695.1340000035417</c:v>
                </c:pt>
                <c:pt idx="22">
                  <c:v>698.0870000051973</c:v>
                </c:pt>
                <c:pt idx="23">
                  <c:v>701.02800000608113</c:v>
                </c:pt>
                <c:pt idx="24">
                  <c:v>703.92300000523653</c:v>
                </c:pt>
                <c:pt idx="25">
                  <c:v>706.80199999996353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540.00600000357463</c:v>
                </c:pt>
                <c:pt idx="1">
                  <c:v>544.89200001361269</c:v>
                </c:pt>
                <c:pt idx="2">
                  <c:v>549.63600000301517</c:v>
                </c:pt>
                <c:pt idx="3">
                  <c:v>544.91600000432823</c:v>
                </c:pt>
                <c:pt idx="4">
                  <c:v>561.8680000061031</c:v>
                </c:pt>
                <c:pt idx="5">
                  <c:v>553.67199999512275</c:v>
                </c:pt>
                <c:pt idx="6">
                  <c:v>561.51299999584239</c:v>
                </c:pt>
                <c:pt idx="7">
                  <c:v>576.9499999893452</c:v>
                </c:pt>
                <c:pt idx="8">
                  <c:v>573.37799999093272</c:v>
                </c:pt>
                <c:pt idx="9">
                  <c:v>575.47699999890733</c:v>
                </c:pt>
                <c:pt idx="10">
                  <c:v>567.9019999941986</c:v>
                </c:pt>
                <c:pt idx="11">
                  <c:v>571.88500000404872</c:v>
                </c:pt>
                <c:pt idx="12">
                  <c:v>575.23899998981733</c:v>
                </c:pt>
                <c:pt idx="13">
                  <c:v>579.26799998828426</c:v>
                </c:pt>
                <c:pt idx="14">
                  <c:v>584.59099999410307</c:v>
                </c:pt>
                <c:pt idx="15">
                  <c:v>588.3249999875834</c:v>
                </c:pt>
                <c:pt idx="16">
                  <c:v>591.08099999136607</c:v>
                </c:pt>
                <c:pt idx="17">
                  <c:v>593.6759999896866</c:v>
                </c:pt>
                <c:pt idx="18">
                  <c:v>596.20199998799808</c:v>
                </c:pt>
                <c:pt idx="19">
                  <c:v>598.72499998727994</c:v>
                </c:pt>
                <c:pt idx="20">
                  <c:v>601.35599998862597</c:v>
                </c:pt>
                <c:pt idx="21">
                  <c:v>603.89099998339282</c:v>
                </c:pt>
                <c:pt idx="22">
                  <c:v>606.34399998341883</c:v>
                </c:pt>
                <c:pt idx="23">
                  <c:v>608.76899998299473</c:v>
                </c:pt>
                <c:pt idx="24">
                  <c:v>611.15199998451908</c:v>
                </c:pt>
                <c:pt idx="25">
                  <c:v>613.47300000122641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24.342677108650275</c:v>
                </c:pt>
                <c:pt idx="1">
                  <c:v>23.620872808540213</c:v>
                </c:pt>
                <c:pt idx="2">
                  <c:v>24.434399413126602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27.090896380855977</c:v>
                </c:pt>
                <c:pt idx="1">
                  <c:v>27.680329484623691</c:v>
                </c:pt>
                <c:pt idx="2">
                  <c:v>28.151658465753655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26.993907648221597</c:v>
                </c:pt>
                <c:pt idx="1">
                  <c:v>27.93292511020918</c:v>
                </c:pt>
                <c:pt idx="2">
                  <c:v>28.02571719215377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6.424822080940304</c:v>
                </c:pt>
                <c:pt idx="1">
                  <c:v>6.1519283864258059</c:v>
                </c:pt>
                <c:pt idx="2">
                  <c:v>6.2988560134262572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12.332913166018031</c:v>
                </c:pt>
                <c:pt idx="1">
                  <c:v>11.579094914924095</c:v>
                </c:pt>
                <c:pt idx="2">
                  <c:v>10.262501125212992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2.814783615313817</c:v>
                </c:pt>
                <c:pt idx="1">
                  <c:v>3.0348492952770165</c:v>
                </c:pt>
                <c:pt idx="2">
                  <c:v>2.8268677903267245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14.229999999075858</c:v>
                </c:pt>
                <c:pt idx="1">
                  <c:v>49.320999992381303</c:v>
                </c:pt>
                <c:pt idx="2">
                  <c:v>57.600000003823425</c:v>
                </c:pt>
                <c:pt idx="3">
                  <c:v>1.7750000021835319</c:v>
                </c:pt>
                <c:pt idx="4">
                  <c:v>-2.1219999983195521</c:v>
                </c:pt>
                <c:pt idx="5">
                  <c:v>8.9429999999661618</c:v>
                </c:pt>
                <c:pt idx="7">
                  <c:v>129.74699999911081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45.571000007027806</c:v>
                </c:pt>
                <c:pt idx="1">
                  <c:v>41.301000005896412</c:v>
                </c:pt>
                <c:pt idx="2">
                  <c:v>32.065999989441593</c:v>
                </c:pt>
                <c:pt idx="3">
                  <c:v>10.237999998552368</c:v>
                </c:pt>
                <c:pt idx="4">
                  <c:v>-20.728999999900282</c:v>
                </c:pt>
                <c:pt idx="5">
                  <c:v>-1.9910000000868138</c:v>
                </c:pt>
                <c:pt idx="7">
                  <c:v>106.45600000093108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0.28925885184052369</c:v>
                </c:pt>
                <c:pt idx="2">
                  <c:v>-0.45042236148963299</c:v>
                </c:pt>
                <c:pt idx="3">
                  <c:v>-1.6081373684155631</c:v>
                </c:pt>
                <c:pt idx="4">
                  <c:v>-0.64284102520940634</c:v>
                </c:pt>
                <c:pt idx="6">
                  <c:v>0.15002531237895411</c:v>
                </c:pt>
                <c:pt idx="7">
                  <c:v>1.1585495788117628</c:v>
                </c:pt>
                <c:pt idx="8">
                  <c:v>0.61234877452847059</c:v>
                </c:pt>
                <c:pt idx="10">
                  <c:v>2.4911346256979661</c:v>
                </c:pt>
                <c:pt idx="11">
                  <c:v>-0.85012606715892947</c:v>
                </c:pt>
                <c:pt idx="12">
                  <c:v>-3.8826123578483696E-2</c:v>
                </c:pt>
                <c:pt idx="14">
                  <c:v>-0.59912840817828439</c:v>
                </c:pt>
                <c:pt idx="15">
                  <c:v>0.15814754583474144</c:v>
                </c:pt>
                <c:pt idx="16">
                  <c:v>1.0797130460473703</c:v>
                </c:pt>
                <c:pt idx="17">
                  <c:v>0.86282029835396123</c:v>
                </c:pt>
                <c:pt idx="19">
                  <c:v>-0.8761274543655162</c:v>
                </c:pt>
                <c:pt idx="20">
                  <c:v>-0.75761307864201655</c:v>
                </c:pt>
                <c:pt idx="21">
                  <c:v>-0.65607274430817819</c:v>
                </c:pt>
                <c:pt idx="22">
                  <c:v>-0.16486577793266566</c:v>
                </c:pt>
                <c:pt idx="23">
                  <c:v>-0.6368112207248644</c:v>
                </c:pt>
                <c:pt idx="25">
                  <c:v>-1.2196675458392203</c:v>
                </c:pt>
                <c:pt idx="26">
                  <c:v>-0.95083303144160025</c:v>
                </c:pt>
                <c:pt idx="27">
                  <c:v>-0.99818800017190679</c:v>
                </c:pt>
                <c:pt idx="29">
                  <c:v>-3.475064431593955E-2</c:v>
                </c:pt>
                <c:pt idx="30">
                  <c:v>-1.8459143798976729E-2</c:v>
                </c:pt>
                <c:pt idx="31">
                  <c:v>2.206523081509415</c:v>
                </c:pt>
                <c:pt idx="32">
                  <c:v>0.69641310546697532</c:v>
                </c:pt>
                <c:pt idx="33">
                  <c:v>-0.53193425260152916</c:v>
                </c:pt>
                <c:pt idx="34">
                  <c:v>0.23371579413067334</c:v>
                </c:pt>
                <c:pt idx="36">
                  <c:v>1.5278006457507542</c:v>
                </c:pt>
                <c:pt idx="37">
                  <c:v>0.2311573726335725</c:v>
                </c:pt>
                <c:pt idx="38">
                  <c:v>1.0739945851860222</c:v>
                </c:pt>
                <c:pt idx="39">
                  <c:v>1.0848490001600153</c:v>
                </c:pt>
                <c:pt idx="40">
                  <c:v>1.0771501729611943</c:v>
                </c:pt>
                <c:pt idx="42">
                  <c:v>2.3267871551273966</c:v>
                </c:pt>
                <c:pt idx="43">
                  <c:v>6.0428117746491594E-2</c:v>
                </c:pt>
                <c:pt idx="44">
                  <c:v>0.83491361200913605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1.115712608503272</c:v>
                </c:pt>
                <c:pt idx="2">
                  <c:v>-2.2034610695766399</c:v>
                </c:pt>
                <c:pt idx="3">
                  <c:v>-3.1895830395356151</c:v>
                </c:pt>
                <c:pt idx="4">
                  <c:v>-2.3831691825608403</c:v>
                </c:pt>
                <c:pt idx="6">
                  <c:v>2.5002516992214119</c:v>
                </c:pt>
                <c:pt idx="7">
                  <c:v>-2.9406197949755963</c:v>
                </c:pt>
                <c:pt idx="8">
                  <c:v>-0.12071516026116447</c:v>
                </c:pt>
                <c:pt idx="10">
                  <c:v>1.9800802806441364</c:v>
                </c:pt>
                <c:pt idx="11">
                  <c:v>-1.8107653629982234</c:v>
                </c:pt>
                <c:pt idx="12">
                  <c:v>-1.111995614768535</c:v>
                </c:pt>
                <c:pt idx="14">
                  <c:v>1.2797998716970849</c:v>
                </c:pt>
                <c:pt idx="15">
                  <c:v>3.6179238936282054</c:v>
                </c:pt>
                <c:pt idx="16">
                  <c:v>-0.1998161609227167</c:v>
                </c:pt>
                <c:pt idx="17">
                  <c:v>0.61900913426777837</c:v>
                </c:pt>
                <c:pt idx="19">
                  <c:v>-3.2279393649460864</c:v>
                </c:pt>
                <c:pt idx="20">
                  <c:v>-4.5368522939296714</c:v>
                </c:pt>
                <c:pt idx="21">
                  <c:v>-2.3721024118824041</c:v>
                </c:pt>
                <c:pt idx="22">
                  <c:v>4.4585801144174431</c:v>
                </c:pt>
                <c:pt idx="23">
                  <c:v>-2.1697255514382952</c:v>
                </c:pt>
                <c:pt idx="25">
                  <c:v>-0.9889909078993453</c:v>
                </c:pt>
                <c:pt idx="26">
                  <c:v>1.1552858285445833</c:v>
                </c:pt>
                <c:pt idx="27">
                  <c:v>0.75086893452342984</c:v>
                </c:pt>
                <c:pt idx="29">
                  <c:v>2.8720658531207865</c:v>
                </c:pt>
                <c:pt idx="30">
                  <c:v>0.22265068089779572</c:v>
                </c:pt>
                <c:pt idx="31">
                  <c:v>1.3786218791278504</c:v>
                </c:pt>
                <c:pt idx="32">
                  <c:v>3.018232505760654</c:v>
                </c:pt>
                <c:pt idx="33">
                  <c:v>5.7977216071058546</c:v>
                </c:pt>
                <c:pt idx="34">
                  <c:v>2.8839336511390146</c:v>
                </c:pt>
                <c:pt idx="36">
                  <c:v>6.41370300231352</c:v>
                </c:pt>
                <c:pt idx="37">
                  <c:v>2.5281257822568071</c:v>
                </c:pt>
                <c:pt idx="38">
                  <c:v>2.8335550947052646</c:v>
                </c:pt>
                <c:pt idx="39">
                  <c:v>4.3415980395241416</c:v>
                </c:pt>
                <c:pt idx="40">
                  <c:v>4.2956739999366444</c:v>
                </c:pt>
                <c:pt idx="42">
                  <c:v>2.9955489346220832</c:v>
                </c:pt>
                <c:pt idx="43">
                  <c:v>4.7606957530791139</c:v>
                </c:pt>
                <c:pt idx="44">
                  <c:v>4.1992887318633043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37.61024140493231</c:v>
                </c:pt>
                <c:pt idx="1">
                  <c:v>11.021749985135529</c:v>
                </c:pt>
                <c:pt idx="2">
                  <c:v>27.979429186025953</c:v>
                </c:pt>
                <c:pt idx="3">
                  <c:v>12.735917903601973</c:v>
                </c:pt>
                <c:pt idx="4">
                  <c:v>10.948135708580594</c:v>
                </c:pt>
                <c:pt idx="5">
                  <c:v>42.311162507998603</c:v>
                </c:pt>
                <c:pt idx="6">
                  <c:v>12.007543728039799</c:v>
                </c:pt>
                <c:pt idx="7">
                  <c:v>6.0523372463894844</c:v>
                </c:pt>
                <c:pt idx="8">
                  <c:v>1.7484046243858486</c:v>
                </c:pt>
                <c:pt idx="9">
                  <c:v>0.35975218392246688</c:v>
                </c:pt>
                <c:pt idx="10">
                  <c:v>18.706601580079294</c:v>
                </c:pt>
                <c:pt idx="11">
                  <c:v>11.54667796915453</c:v>
                </c:pt>
                <c:pt idx="12">
                  <c:v>-2.2968663491230856</c:v>
                </c:pt>
                <c:pt idx="13">
                  <c:v>6.6839723120618153</c:v>
                </c:pt>
                <c:pt idx="14">
                  <c:v>-11.041627694449076</c:v>
                </c:pt>
                <c:pt idx="15">
                  <c:v>-13.021099844614973</c:v>
                </c:pt>
                <c:pt idx="16">
                  <c:v>-6.8262491796784062</c:v>
                </c:pt>
                <c:pt idx="17">
                  <c:v>-1.9615397818745919</c:v>
                </c:pt>
                <c:pt idx="18">
                  <c:v>9.6038520266498111</c:v>
                </c:pt>
                <c:pt idx="19">
                  <c:v>0.15726888259049465</c:v>
                </c:pt>
                <c:pt idx="20">
                  <c:v>-15.132596793173633</c:v>
                </c:pt>
                <c:pt idx="21">
                  <c:v>3.736372632167928</c:v>
                </c:pt>
                <c:pt idx="22">
                  <c:v>-13.355545295976114</c:v>
                </c:pt>
                <c:pt idx="23">
                  <c:v>12.215807113549445</c:v>
                </c:pt>
                <c:pt idx="24">
                  <c:v>-7.8181804232440228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1.6500236073523524</c:v>
                </c:pt>
                <c:pt idx="1">
                  <c:v>33.097628852973102</c:v>
                </c:pt>
                <c:pt idx="2">
                  <c:v>25.67688798472264</c:v>
                </c:pt>
                <c:pt idx="3">
                  <c:v>16.975632419535273</c:v>
                </c:pt>
                <c:pt idx="4">
                  <c:v>3.2875298033721805</c:v>
                </c:pt>
                <c:pt idx="5">
                  <c:v>40.446055642649213</c:v>
                </c:pt>
                <c:pt idx="6">
                  <c:v>-3.7594773908632746</c:v>
                </c:pt>
                <c:pt idx="7">
                  <c:v>4.8062922900845848</c:v>
                </c:pt>
                <c:pt idx="8">
                  <c:v>10.23442948222765</c:v>
                </c:pt>
                <c:pt idx="9">
                  <c:v>-8.9959419088181392E-2</c:v>
                </c:pt>
                <c:pt idx="10">
                  <c:v>-0.73683918638468526</c:v>
                </c:pt>
                <c:pt idx="11">
                  <c:v>-27.620228858618731</c:v>
                </c:pt>
                <c:pt idx="12">
                  <c:v>-7.5790947725288689</c:v>
                </c:pt>
                <c:pt idx="13">
                  <c:v>-0.8338560063895315</c:v>
                </c:pt>
                <c:pt idx="14">
                  <c:v>-8.1397176405314298</c:v>
                </c:pt>
                <c:pt idx="15">
                  <c:v>-5.3721486918589818</c:v>
                </c:pt>
                <c:pt idx="16">
                  <c:v>-4.7346675090944146</c:v>
                </c:pt>
                <c:pt idx="17">
                  <c:v>34.111733326376708</c:v>
                </c:pt>
                <c:pt idx="18">
                  <c:v>1.4149467715841837</c:v>
                </c:pt>
                <c:pt idx="19">
                  <c:v>-0.22004823664294504</c:v>
                </c:pt>
                <c:pt idx="20">
                  <c:v>-19.012667928112734</c:v>
                </c:pt>
                <c:pt idx="21">
                  <c:v>17.861603125939403</c:v>
                </c:pt>
                <c:pt idx="22">
                  <c:v>15.650931746062696</c:v>
                </c:pt>
                <c:pt idx="23">
                  <c:v>2.3916672735362425</c:v>
                </c:pt>
                <c:pt idx="24">
                  <c:v>-9.5919149612556183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8315200485707968"/>
              <c:y val="0.9497821224051539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48.63199139006781</c:v>
                </c:pt>
                <c:pt idx="1">
                  <c:v>93.974645306207151</c:v>
                </c:pt>
                <c:pt idx="2">
                  <c:v>38.874639362816936</c:v>
                </c:pt>
                <c:pt idx="3">
                  <c:v>9.2498116200314655</c:v>
                </c:pt>
                <c:pt idx="4">
                  <c:v>-24.205004406680644</c:v>
                </c:pt>
                <c:pt idx="5">
                  <c:v>7.7995811273657409</c:v>
                </c:pt>
                <c:pt idx="6">
                  <c:v>-11.396224161005705</c:v>
                </c:pt>
                <c:pt idx="7">
                  <c:v>-1.1397381824266972</c:v>
                </c:pt>
                <c:pt idx="8">
                  <c:v>-32.042702057267093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6-49AD-83CA-ED2B408A2B3B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34.747652460325469</c:v>
                </c:pt>
                <c:pt idx="1">
                  <c:v>86.38610585027925</c:v>
                </c:pt>
                <c:pt idx="2">
                  <c:v>10.454445775976069</c:v>
                </c:pt>
                <c:pt idx="3">
                  <c:v>-35.199323631147621</c:v>
                </c:pt>
                <c:pt idx="4">
                  <c:v>-19.080389847874358</c:v>
                </c:pt>
                <c:pt idx="5">
                  <c:v>35.306631861317896</c:v>
                </c:pt>
                <c:pt idx="6">
                  <c:v>-1.1510648021733232</c:v>
                </c:pt>
                <c:pt idx="7">
                  <c:v>18.042599019598953</c:v>
                </c:pt>
                <c:pt idx="8">
                  <c:v>-23.050656685368153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6-49AD-83CA-ED2B408A2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121.36204899769251</c:v>
                </c:pt>
                <c:pt idx="1">
                  <c:v>133.37120697251515</c:v>
                </c:pt>
                <c:pt idx="2">
                  <c:v>137.63940703126633</c:v>
                </c:pt>
                <c:pt idx="3">
                  <c:v>134.93508776074805</c:v>
                </c:pt>
                <c:pt idx="4">
                  <c:v>134.64793320045516</c:v>
                </c:pt>
                <c:pt idx="5">
                  <c:v>143.65805606021732</c:v>
                </c:pt>
                <c:pt idx="6">
                  <c:v>154.68112331364111</c:v>
                </c:pt>
                <c:pt idx="7">
                  <c:v>159.62860898336498</c:v>
                </c:pt>
                <c:pt idx="8">
                  <c:v>161.0682532600996</c:v>
                </c:pt>
                <c:pt idx="9">
                  <c:v>174.21928226313696</c:v>
                </c:pt>
                <c:pt idx="10">
                  <c:v>181.26829746514963</c:v>
                </c:pt>
                <c:pt idx="11">
                  <c:v>161.39484692546628</c:v>
                </c:pt>
                <c:pt idx="12">
                  <c:v>162.77477851735725</c:v>
                </c:pt>
                <c:pt idx="13">
                  <c:v>164.34202710004496</c:v>
                </c:pt>
                <c:pt idx="14">
                  <c:v>166.16973545202595</c:v>
                </c:pt>
                <c:pt idx="15">
                  <c:v>167.75005991181814</c:v>
                </c:pt>
                <c:pt idx="16">
                  <c:v>169.25664827658039</c:v>
                </c:pt>
                <c:pt idx="17">
                  <c:v>170.72320942090448</c:v>
                </c:pt>
                <c:pt idx="18">
                  <c:v>172.17515786431636</c:v>
                </c:pt>
                <c:pt idx="19">
                  <c:v>173.63507579216233</c:v>
                </c:pt>
                <c:pt idx="20">
                  <c:v>175.18651793257649</c:v>
                </c:pt>
                <c:pt idx="21">
                  <c:v>176.71852849496722</c:v>
                </c:pt>
                <c:pt idx="22">
                  <c:v>178.20713141489898</c:v>
                </c:pt>
                <c:pt idx="23">
                  <c:v>179.71502678076118</c:v>
                </c:pt>
                <c:pt idx="24">
                  <c:v>181.29887262316257</c:v>
                </c:pt>
                <c:pt idx="25">
                  <c:v>182.91832107250198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59.861200549786702</c:v>
                </c:pt>
                <c:pt idx="1">
                  <c:v>65.841548276032995</c:v>
                </c:pt>
                <c:pt idx="2">
                  <c:v>67.842611722532183</c:v>
                </c:pt>
                <c:pt idx="3">
                  <c:v>66.102569650836415</c:v>
                </c:pt>
                <c:pt idx="4">
                  <c:v>71.589453327693661</c:v>
                </c:pt>
                <c:pt idx="5">
                  <c:v>69.308890456575654</c:v>
                </c:pt>
                <c:pt idx="6">
                  <c:v>67.485888654239673</c:v>
                </c:pt>
                <c:pt idx="7">
                  <c:v>71.516385980923204</c:v>
                </c:pt>
                <c:pt idx="8">
                  <c:v>69.039956019203657</c:v>
                </c:pt>
                <c:pt idx="9">
                  <c:v>77.184594003851032</c:v>
                </c:pt>
                <c:pt idx="10">
                  <c:v>80.330640441711182</c:v>
                </c:pt>
                <c:pt idx="11">
                  <c:v>93.282688717250494</c:v>
                </c:pt>
                <c:pt idx="12">
                  <c:v>94.492247224636117</c:v>
                </c:pt>
                <c:pt idx="13">
                  <c:v>95.850302230292868</c:v>
                </c:pt>
                <c:pt idx="14">
                  <c:v>97.460791486180426</c:v>
                </c:pt>
                <c:pt idx="15">
                  <c:v>98.883023906201075</c:v>
                </c:pt>
                <c:pt idx="16">
                  <c:v>100.27559527514853</c:v>
                </c:pt>
                <c:pt idx="17">
                  <c:v>101.72484783526671</c:v>
                </c:pt>
                <c:pt idx="18">
                  <c:v>103.13274485942318</c:v>
                </c:pt>
                <c:pt idx="19">
                  <c:v>104.51596177045093</c:v>
                </c:pt>
                <c:pt idx="20">
                  <c:v>105.95925864130442</c:v>
                </c:pt>
                <c:pt idx="21">
                  <c:v>107.45981120160499</c:v>
                </c:pt>
                <c:pt idx="22">
                  <c:v>108.91073584532867</c:v>
                </c:pt>
                <c:pt idx="23">
                  <c:v>110.37840477006405</c:v>
                </c:pt>
                <c:pt idx="24">
                  <c:v>111.88362732467967</c:v>
                </c:pt>
                <c:pt idx="25">
                  <c:v>113.42826929468428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111.46153692182338</c:v>
                </c:pt>
                <c:pt idx="1">
                  <c:v>104.29905729826477</c:v>
                </c:pt>
                <c:pt idx="2">
                  <c:v>106.29556822128735</c:v>
                </c:pt>
                <c:pt idx="3">
                  <c:v>107.43727983972583</c:v>
                </c:pt>
                <c:pt idx="4">
                  <c:v>115.40016064072408</c:v>
                </c:pt>
                <c:pt idx="5">
                  <c:v>118.17350877122848</c:v>
                </c:pt>
                <c:pt idx="6">
                  <c:v>123.41674473004348</c:v>
                </c:pt>
                <c:pt idx="7">
                  <c:v>122.81392847936647</c:v>
                </c:pt>
                <c:pt idx="8">
                  <c:v>132.13329546161668</c:v>
                </c:pt>
                <c:pt idx="9">
                  <c:v>139.32948990430606</c:v>
                </c:pt>
                <c:pt idx="10">
                  <c:v>146.15293795725444</c:v>
                </c:pt>
                <c:pt idx="11">
                  <c:v>146.72892375800836</c:v>
                </c:pt>
                <c:pt idx="12">
                  <c:v>148.25091575498132</c:v>
                </c:pt>
                <c:pt idx="13">
                  <c:v>150.18068018364144</c:v>
                </c:pt>
                <c:pt idx="14">
                  <c:v>152.28606020898772</c:v>
                </c:pt>
                <c:pt idx="15">
                  <c:v>154.11944030831137</c:v>
                </c:pt>
                <c:pt idx="16">
                  <c:v>155.84668534636612</c:v>
                </c:pt>
                <c:pt idx="17">
                  <c:v>157.51635306402341</c:v>
                </c:pt>
                <c:pt idx="18">
                  <c:v>159.25432131313136</c:v>
                </c:pt>
                <c:pt idx="19">
                  <c:v>160.98963042641088</c:v>
                </c:pt>
                <c:pt idx="20">
                  <c:v>162.80670021475325</c:v>
                </c:pt>
                <c:pt idx="21">
                  <c:v>164.6146128152669</c:v>
                </c:pt>
                <c:pt idx="22">
                  <c:v>166.39879550283112</c:v>
                </c:pt>
                <c:pt idx="23">
                  <c:v>168.18249293666867</c:v>
                </c:pt>
                <c:pt idx="24">
                  <c:v>169.98792148397217</c:v>
                </c:pt>
                <c:pt idx="25">
                  <c:v>171.82982594197708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75.75689528459948</c:v>
                </c:pt>
                <c:pt idx="1">
                  <c:v>81.008865596738886</c:v>
                </c:pt>
                <c:pt idx="2">
                  <c:v>83.432060866652961</c:v>
                </c:pt>
                <c:pt idx="3">
                  <c:v>81.360962878524788</c:v>
                </c:pt>
                <c:pt idx="4">
                  <c:v>85.903212934879122</c:v>
                </c:pt>
                <c:pt idx="5">
                  <c:v>84.941490204701466</c:v>
                </c:pt>
                <c:pt idx="6">
                  <c:v>90.168193907388357</c:v>
                </c:pt>
                <c:pt idx="7">
                  <c:v>96.449243146480839</c:v>
                </c:pt>
                <c:pt idx="8">
                  <c:v>95.74480460255316</c:v>
                </c:pt>
                <c:pt idx="9">
                  <c:v>97.766943133398073</c:v>
                </c:pt>
                <c:pt idx="10">
                  <c:v>97.677408108303439</c:v>
                </c:pt>
                <c:pt idx="11">
                  <c:v>100.7838010825873</c:v>
                </c:pt>
                <c:pt idx="12">
                  <c:v>101.69318622213503</c:v>
                </c:pt>
                <c:pt idx="13">
                  <c:v>102.8629730483912</c:v>
                </c:pt>
                <c:pt idx="14">
                  <c:v>104.12579391008974</c:v>
                </c:pt>
                <c:pt idx="15">
                  <c:v>105.14697949418867</c:v>
                </c:pt>
                <c:pt idx="16">
                  <c:v>106.0749289518412</c:v>
                </c:pt>
                <c:pt idx="17">
                  <c:v>107.10103388225048</c:v>
                </c:pt>
                <c:pt idx="18">
                  <c:v>108.10869326627159</c:v>
                </c:pt>
                <c:pt idx="19">
                  <c:v>109.00018938912881</c:v>
                </c:pt>
                <c:pt idx="20">
                  <c:v>109.97641665628876</c:v>
                </c:pt>
                <c:pt idx="21">
                  <c:v>110.90488562448782</c:v>
                </c:pt>
                <c:pt idx="22">
                  <c:v>111.84570533959577</c:v>
                </c:pt>
                <c:pt idx="23">
                  <c:v>112.76520766549166</c:v>
                </c:pt>
                <c:pt idx="24">
                  <c:v>113.65617120301729</c:v>
                </c:pt>
                <c:pt idx="25">
                  <c:v>114.65304052783871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80.383182624117381</c:v>
                </c:pt>
                <c:pt idx="1">
                  <c:v>81.990055223937077</c:v>
                </c:pt>
                <c:pt idx="2">
                  <c:v>83.948973352793658</c:v>
                </c:pt>
                <c:pt idx="3">
                  <c:v>83.83323276601179</c:v>
                </c:pt>
                <c:pt idx="4">
                  <c:v>85.349793815950989</c:v>
                </c:pt>
                <c:pt idx="5">
                  <c:v>82.340741240666205</c:v>
                </c:pt>
                <c:pt idx="6">
                  <c:v>83.42666587745984</c:v>
                </c:pt>
                <c:pt idx="7">
                  <c:v>79.569527028120774</c:v>
                </c:pt>
                <c:pt idx="8">
                  <c:v>82.034031808940654</c:v>
                </c:pt>
                <c:pt idx="9">
                  <c:v>89.482943742768015</c:v>
                </c:pt>
                <c:pt idx="10">
                  <c:v>93.288876949246799</c:v>
                </c:pt>
                <c:pt idx="11">
                  <c:v>92.276639733001545</c:v>
                </c:pt>
                <c:pt idx="12">
                  <c:v>91.739239506019786</c:v>
                </c:pt>
                <c:pt idx="13">
                  <c:v>91.957841085317611</c:v>
                </c:pt>
                <c:pt idx="14">
                  <c:v>92.377065741861188</c:v>
                </c:pt>
                <c:pt idx="15">
                  <c:v>92.704014323923289</c:v>
                </c:pt>
                <c:pt idx="16">
                  <c:v>93.025384416972969</c:v>
                </c:pt>
                <c:pt idx="17">
                  <c:v>93.328772744968887</c:v>
                </c:pt>
                <c:pt idx="18">
                  <c:v>93.711167647404167</c:v>
                </c:pt>
                <c:pt idx="19">
                  <c:v>94.134795316199273</c:v>
                </c:pt>
                <c:pt idx="20">
                  <c:v>94.670326350373074</c:v>
                </c:pt>
                <c:pt idx="21">
                  <c:v>95.099185143485542</c:v>
                </c:pt>
                <c:pt idx="22">
                  <c:v>95.46820373029496</c:v>
                </c:pt>
                <c:pt idx="23">
                  <c:v>95.839988877765705</c:v>
                </c:pt>
                <c:pt idx="24">
                  <c:v>96.207492125316406</c:v>
                </c:pt>
                <c:pt idx="25">
                  <c:v>96.576406752618979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118.17573520902478</c:v>
                </c:pt>
                <c:pt idx="1">
                  <c:v>112.15404246196574</c:v>
                </c:pt>
                <c:pt idx="2">
                  <c:v>109.27226843133013</c:v>
                </c:pt>
                <c:pt idx="3">
                  <c:v>112.44479044076489</c:v>
                </c:pt>
                <c:pt idx="4">
                  <c:v>121.89430831214999</c:v>
                </c:pt>
                <c:pt idx="5">
                  <c:v>116.06575968813439</c:v>
                </c:pt>
                <c:pt idx="6">
                  <c:v>126.8542729427093</c:v>
                </c:pt>
                <c:pt idx="7">
                  <c:v>123.72622048668713</c:v>
                </c:pt>
                <c:pt idx="8">
                  <c:v>130.67295062028697</c:v>
                </c:pt>
                <c:pt idx="9">
                  <c:v>139.66744187115961</c:v>
                </c:pt>
                <c:pt idx="10">
                  <c:v>158.37692219613299</c:v>
                </c:pt>
                <c:pt idx="11">
                  <c:v>166.87196793349375</c:v>
                </c:pt>
                <c:pt idx="12">
                  <c:v>168.68999014917603</c:v>
                </c:pt>
                <c:pt idx="13">
                  <c:v>171.0287365905877</c:v>
                </c:pt>
                <c:pt idx="14">
                  <c:v>173.67372696638714</c:v>
                </c:pt>
                <c:pt idx="15">
                  <c:v>175.98910824681568</c:v>
                </c:pt>
                <c:pt idx="16">
                  <c:v>178.24890907395425</c:v>
                </c:pt>
                <c:pt idx="17">
                  <c:v>180.45912598676668</c:v>
                </c:pt>
                <c:pt idx="18">
                  <c:v>182.67615211356687</c:v>
                </c:pt>
                <c:pt idx="19">
                  <c:v>184.9337387232429</c:v>
                </c:pt>
                <c:pt idx="20">
                  <c:v>187.27050767589424</c:v>
                </c:pt>
                <c:pt idx="21">
                  <c:v>189.65811673006849</c:v>
                </c:pt>
                <c:pt idx="22">
                  <c:v>191.89056978450776</c:v>
                </c:pt>
                <c:pt idx="23">
                  <c:v>194.17119891790557</c:v>
                </c:pt>
                <c:pt idx="24">
                  <c:v>196.48652278504832</c:v>
                </c:pt>
                <c:pt idx="25">
                  <c:v>198.82297783878221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9684729480371306"/>
          <c:w val="0.97366171734883677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38.869479584463562</c:v>
                </c:pt>
                <c:pt idx="1">
                  <c:v>36.925538380523676</c:v>
                </c:pt>
                <c:pt idx="2">
                  <c:v>38.526543148445136</c:v>
                </c:pt>
                <c:pt idx="3">
                  <c:v>39.016195022653378</c:v>
                </c:pt>
                <c:pt idx="4">
                  <c:v>37.32411930124286</c:v>
                </c:pt>
                <c:pt idx="5">
                  <c:v>36.888897619733804</c:v>
                </c:pt>
                <c:pt idx="6">
                  <c:v>39.0616846002644</c:v>
                </c:pt>
                <c:pt idx="7">
                  <c:v>42.963544859898654</c:v>
                </c:pt>
                <c:pt idx="8">
                  <c:v>44.391448621398247</c:v>
                </c:pt>
                <c:pt idx="9">
                  <c:v>44.133048124382675</c:v>
                </c:pt>
                <c:pt idx="10">
                  <c:v>48.896441347773603</c:v>
                </c:pt>
                <c:pt idx="11">
                  <c:v>41.197837064116712</c:v>
                </c:pt>
                <c:pt idx="12">
                  <c:v>41.446341360827184</c:v>
                </c:pt>
                <c:pt idx="13">
                  <c:v>41.743681661437257</c:v>
                </c:pt>
                <c:pt idx="14">
                  <c:v>42.106746382785254</c:v>
                </c:pt>
                <c:pt idx="15">
                  <c:v>42.416594537763693</c:v>
                </c:pt>
                <c:pt idx="16">
                  <c:v>42.683325069213801</c:v>
                </c:pt>
                <c:pt idx="17">
                  <c:v>42.912761427879595</c:v>
                </c:pt>
                <c:pt idx="18">
                  <c:v>43.134750248130288</c:v>
                </c:pt>
                <c:pt idx="19">
                  <c:v>43.348161797387711</c:v>
                </c:pt>
                <c:pt idx="20">
                  <c:v>43.636706131815927</c:v>
                </c:pt>
                <c:pt idx="21">
                  <c:v>43.921866678827328</c:v>
                </c:pt>
                <c:pt idx="22">
                  <c:v>44.203466960878437</c:v>
                </c:pt>
                <c:pt idx="23">
                  <c:v>44.516002315020501</c:v>
                </c:pt>
                <c:pt idx="24">
                  <c:v>44.815781133490923</c:v>
                </c:pt>
                <c:pt idx="25">
                  <c:v>45.136963956910328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28.846493260599598</c:v>
                </c:pt>
                <c:pt idx="1">
                  <c:v>37.6075132302188</c:v>
                </c:pt>
                <c:pt idx="2">
                  <c:v>37.557009327448839</c:v>
                </c:pt>
                <c:pt idx="3">
                  <c:v>35.994064894883692</c:v>
                </c:pt>
                <c:pt idx="4">
                  <c:v>37.879085773478756</c:v>
                </c:pt>
                <c:pt idx="5">
                  <c:v>37.756201665299528</c:v>
                </c:pt>
                <c:pt idx="6">
                  <c:v>39.04981467307929</c:v>
                </c:pt>
                <c:pt idx="7">
                  <c:v>40.102500662221175</c:v>
                </c:pt>
                <c:pt idx="8">
                  <c:v>43.600634484780265</c:v>
                </c:pt>
                <c:pt idx="9">
                  <c:v>43.058878031001939</c:v>
                </c:pt>
                <c:pt idx="10">
                  <c:v>43.808538911689013</c:v>
                </c:pt>
                <c:pt idx="11">
                  <c:v>42.440926857339271</c:v>
                </c:pt>
                <c:pt idx="12">
                  <c:v>42.844044003964349</c:v>
                </c:pt>
                <c:pt idx="13">
                  <c:v>43.366000964898632</c:v>
                </c:pt>
                <c:pt idx="14">
                  <c:v>43.928361523826084</c:v>
                </c:pt>
                <c:pt idx="15">
                  <c:v>44.397697953395529</c:v>
                </c:pt>
                <c:pt idx="16">
                  <c:v>44.814470697913741</c:v>
                </c:pt>
                <c:pt idx="17">
                  <c:v>45.224650539000116</c:v>
                </c:pt>
                <c:pt idx="18">
                  <c:v>45.602018060599086</c:v>
                </c:pt>
                <c:pt idx="19">
                  <c:v>46.001343511581332</c:v>
                </c:pt>
                <c:pt idx="20">
                  <c:v>46.478313282063148</c:v>
                </c:pt>
                <c:pt idx="21">
                  <c:v>46.974119819805125</c:v>
                </c:pt>
                <c:pt idx="22">
                  <c:v>47.402816362212477</c:v>
                </c:pt>
                <c:pt idx="23">
                  <c:v>47.805322950622767</c:v>
                </c:pt>
                <c:pt idx="24">
                  <c:v>48.215449718100835</c:v>
                </c:pt>
                <c:pt idx="25">
                  <c:v>48.614831201773598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24.192283051242807</c:v>
                </c:pt>
                <c:pt idx="1">
                  <c:v>27.14070909882215</c:v>
                </c:pt>
                <c:pt idx="2">
                  <c:v>26.493201012446946</c:v>
                </c:pt>
                <c:pt idx="3">
                  <c:v>24.094820254450212</c:v>
                </c:pt>
                <c:pt idx="4">
                  <c:v>24.928042057479015</c:v>
                </c:pt>
                <c:pt idx="5">
                  <c:v>24.674740515945114</c:v>
                </c:pt>
                <c:pt idx="6">
                  <c:v>25.76334624089672</c:v>
                </c:pt>
                <c:pt idx="7">
                  <c:v>24.412602192673514</c:v>
                </c:pt>
                <c:pt idx="8">
                  <c:v>25.09038477206423</c:v>
                </c:pt>
                <c:pt idx="9">
                  <c:v>25.28536445042619</c:v>
                </c:pt>
                <c:pt idx="10">
                  <c:v>26.423145140330963</c:v>
                </c:pt>
                <c:pt idx="11">
                  <c:v>29.352332706359093</c:v>
                </c:pt>
                <c:pt idx="12">
                  <c:v>30.020314697736605</c:v>
                </c:pt>
                <c:pt idx="13">
                  <c:v>30.672568043942771</c:v>
                </c:pt>
                <c:pt idx="14">
                  <c:v>31.420568882452301</c:v>
                </c:pt>
                <c:pt idx="15">
                  <c:v>31.950231148342091</c:v>
                </c:pt>
                <c:pt idx="16">
                  <c:v>32.453778162503198</c:v>
                </c:pt>
                <c:pt idx="17">
                  <c:v>32.925771290936247</c:v>
                </c:pt>
                <c:pt idx="18">
                  <c:v>33.39222088866191</c:v>
                </c:pt>
                <c:pt idx="19">
                  <c:v>33.863240909818757</c:v>
                </c:pt>
                <c:pt idx="20">
                  <c:v>34.321877618939347</c:v>
                </c:pt>
                <c:pt idx="21">
                  <c:v>34.748028789331251</c:v>
                </c:pt>
                <c:pt idx="22">
                  <c:v>35.161910717017669</c:v>
                </c:pt>
                <c:pt idx="23">
                  <c:v>35.647285831510352</c:v>
                </c:pt>
                <c:pt idx="24">
                  <c:v>36.147291719580586</c:v>
                </c:pt>
                <c:pt idx="25">
                  <c:v>36.657574622558613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22.075024879386316</c:v>
                </c:pt>
                <c:pt idx="1">
                  <c:v>27.54144845546751</c:v>
                </c:pt>
                <c:pt idx="2">
                  <c:v>28.110296946778082</c:v>
                </c:pt>
                <c:pt idx="3">
                  <c:v>26.816718075554256</c:v>
                </c:pt>
                <c:pt idx="4">
                  <c:v>28.265753442876239</c:v>
                </c:pt>
                <c:pt idx="5">
                  <c:v>32.171809576694734</c:v>
                </c:pt>
                <c:pt idx="6">
                  <c:v>31.610816991731376</c:v>
                </c:pt>
                <c:pt idx="7">
                  <c:v>35.193989056896363</c:v>
                </c:pt>
                <c:pt idx="8">
                  <c:v>30.874332940492881</c:v>
                </c:pt>
                <c:pt idx="9">
                  <c:v>31.492602905030143</c:v>
                </c:pt>
                <c:pt idx="10">
                  <c:v>32.531561760617201</c:v>
                </c:pt>
                <c:pt idx="11">
                  <c:v>29.656002261432139</c:v>
                </c:pt>
                <c:pt idx="12">
                  <c:v>29.359027941115798</c:v>
                </c:pt>
                <c:pt idx="13">
                  <c:v>29.44648852374948</c:v>
                </c:pt>
                <c:pt idx="14">
                  <c:v>29.757864094665639</c:v>
                </c:pt>
                <c:pt idx="15">
                  <c:v>30.025971833268073</c:v>
                </c:pt>
                <c:pt idx="16">
                  <c:v>30.256679095370785</c:v>
                </c:pt>
                <c:pt idx="17">
                  <c:v>30.476124357435005</c:v>
                </c:pt>
                <c:pt idx="18">
                  <c:v>30.7128942232508</c:v>
                </c:pt>
                <c:pt idx="19">
                  <c:v>30.96331077227309</c:v>
                </c:pt>
                <c:pt idx="20">
                  <c:v>31.23202671055347</c:v>
                </c:pt>
                <c:pt idx="21">
                  <c:v>31.539050083050025</c:v>
                </c:pt>
                <c:pt idx="22">
                  <c:v>31.76670602374784</c:v>
                </c:pt>
                <c:pt idx="23">
                  <c:v>31.983962211678048</c:v>
                </c:pt>
                <c:pt idx="24">
                  <c:v>32.217222863862048</c:v>
                </c:pt>
                <c:pt idx="25">
                  <c:v>32.44160234152902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120.74853840700302</c:v>
                </c:pt>
                <c:pt idx="1">
                  <c:v>113.33666489961116</c:v>
                </c:pt>
                <c:pt idx="2">
                  <c:v>116.92902534435652</c:v>
                </c:pt>
                <c:pt idx="3">
                  <c:v>113.22484817394857</c:v>
                </c:pt>
                <c:pt idx="4">
                  <c:v>121.88375396969411</c:v>
                </c:pt>
                <c:pt idx="5">
                  <c:v>122.99499019364232</c:v>
                </c:pt>
                <c:pt idx="6">
                  <c:v>123.59553583193774</c:v>
                </c:pt>
                <c:pt idx="7">
                  <c:v>126.88381317140043</c:v>
                </c:pt>
                <c:pt idx="8">
                  <c:v>126.1619682504906</c:v>
                </c:pt>
                <c:pt idx="9">
                  <c:v>133.76386601170375</c:v>
                </c:pt>
                <c:pt idx="10">
                  <c:v>141.70159177372162</c:v>
                </c:pt>
                <c:pt idx="11">
                  <c:v>132.79714453639497</c:v>
                </c:pt>
                <c:pt idx="12">
                  <c:v>133.31415734198504</c:v>
                </c:pt>
                <c:pt idx="13">
                  <c:v>134.05147541462253</c:v>
                </c:pt>
                <c:pt idx="14">
                  <c:v>134.98543825120748</c:v>
                </c:pt>
                <c:pt idx="15">
                  <c:v>135.62987732758296</c:v>
                </c:pt>
                <c:pt idx="16">
                  <c:v>136.19469385717522</c:v>
                </c:pt>
                <c:pt idx="17">
                  <c:v>136.70378946719359</c:v>
                </c:pt>
                <c:pt idx="18">
                  <c:v>137.16774276883268</c:v>
                </c:pt>
                <c:pt idx="19">
                  <c:v>137.65016665231346</c:v>
                </c:pt>
                <c:pt idx="20">
                  <c:v>138.17309531381605</c:v>
                </c:pt>
                <c:pt idx="21">
                  <c:v>138.70610336290881</c:v>
                </c:pt>
                <c:pt idx="22">
                  <c:v>139.20443126392107</c:v>
                </c:pt>
                <c:pt idx="23">
                  <c:v>139.74623612407464</c:v>
                </c:pt>
                <c:pt idx="24">
                  <c:v>140.32910132778048</c:v>
                </c:pt>
                <c:pt idx="25">
                  <c:v>140.96475258733693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182.68025836609678</c:v>
                </c:pt>
                <c:pt idx="1">
                  <c:v>187.93690502163071</c:v>
                </c:pt>
                <c:pt idx="2">
                  <c:v>189.54045044304607</c:v>
                </c:pt>
                <c:pt idx="3">
                  <c:v>183.5271341536934</c:v>
                </c:pt>
                <c:pt idx="4">
                  <c:v>188.35731256517661</c:v>
                </c:pt>
                <c:pt idx="5">
                  <c:v>195.32738677630536</c:v>
                </c:pt>
                <c:pt idx="6">
                  <c:v>190.35377164914715</c:v>
                </c:pt>
                <c:pt idx="7">
                  <c:v>197.9318079691823</c:v>
                </c:pt>
                <c:pt idx="8">
                  <c:v>193.37761192681998</c:v>
                </c:pt>
                <c:pt idx="9">
                  <c:v>196.95581737867408</c:v>
                </c:pt>
                <c:pt idx="10">
                  <c:v>206.87406474545989</c:v>
                </c:pt>
                <c:pt idx="11">
                  <c:v>192.09235936801346</c:v>
                </c:pt>
                <c:pt idx="12">
                  <c:v>191.05602753857002</c:v>
                </c:pt>
                <c:pt idx="13">
                  <c:v>190.36684244566618</c:v>
                </c:pt>
                <c:pt idx="14">
                  <c:v>190.10784331672369</c:v>
                </c:pt>
                <c:pt idx="15">
                  <c:v>189.33593582652153</c:v>
                </c:pt>
                <c:pt idx="16">
                  <c:v>188.54317313468403</c:v>
                </c:pt>
                <c:pt idx="17">
                  <c:v>187.67279779184832</c:v>
                </c:pt>
                <c:pt idx="18">
                  <c:v>186.5911021554958</c:v>
                </c:pt>
                <c:pt idx="19">
                  <c:v>185.52788249321088</c:v>
                </c:pt>
                <c:pt idx="20">
                  <c:v>184.56759198819631</c:v>
                </c:pt>
                <c:pt idx="21">
                  <c:v>183.58854949777955</c:v>
                </c:pt>
                <c:pt idx="22">
                  <c:v>182.58436281746893</c:v>
                </c:pt>
                <c:pt idx="23">
                  <c:v>181.56048908848473</c:v>
                </c:pt>
                <c:pt idx="24">
                  <c:v>180.48404720866651</c:v>
                </c:pt>
                <c:pt idx="25">
                  <c:v>179.25383588684116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51.947930380920972</c:v>
                </c:pt>
                <c:pt idx="1">
                  <c:v>48.940097871437295</c:v>
                </c:pt>
                <c:pt idx="2">
                  <c:v>48.704237356400213</c:v>
                </c:pt>
                <c:pt idx="3">
                  <c:v>51.402635255015085</c:v>
                </c:pt>
                <c:pt idx="4">
                  <c:v>50.808257041582529</c:v>
                </c:pt>
                <c:pt idx="5">
                  <c:v>47.376562530143858</c:v>
                </c:pt>
                <c:pt idx="6">
                  <c:v>45.749008735254726</c:v>
                </c:pt>
                <c:pt idx="7">
                  <c:v>47.705589094109634</c:v>
                </c:pt>
                <c:pt idx="8">
                  <c:v>48.28420625388366</c:v>
                </c:pt>
                <c:pt idx="9">
                  <c:v>45.592550373804556</c:v>
                </c:pt>
                <c:pt idx="10">
                  <c:v>45.079696181020772</c:v>
                </c:pt>
                <c:pt idx="11">
                  <c:v>49.902476677029703</c:v>
                </c:pt>
                <c:pt idx="12">
                  <c:v>49.180885579718513</c:v>
                </c:pt>
                <c:pt idx="13">
                  <c:v>48.503862754867164</c:v>
                </c:pt>
                <c:pt idx="14">
                  <c:v>47.990541306424923</c:v>
                </c:pt>
                <c:pt idx="15">
                  <c:v>47.331757540504917</c:v>
                </c:pt>
                <c:pt idx="16">
                  <c:v>46.57223629992469</c:v>
                </c:pt>
                <c:pt idx="17">
                  <c:v>45.81353909219844</c:v>
                </c:pt>
                <c:pt idx="18">
                  <c:v>45.185029447758239</c:v>
                </c:pt>
                <c:pt idx="19">
                  <c:v>44.351886057075966</c:v>
                </c:pt>
                <c:pt idx="20">
                  <c:v>43.138748372210884</c:v>
                </c:pt>
                <c:pt idx="21">
                  <c:v>41.683726702000023</c:v>
                </c:pt>
                <c:pt idx="22">
                  <c:v>40.798964541591253</c:v>
                </c:pt>
                <c:pt idx="23">
                  <c:v>39.849810394013957</c:v>
                </c:pt>
                <c:pt idx="24">
                  <c:v>38.714353437370285</c:v>
                </c:pt>
                <c:pt idx="25">
                  <c:v>37.500601408491903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24.099915139219718</c:v>
                </c:pt>
                <c:pt idx="1">
                  <c:v>35.962463043136808</c:v>
                </c:pt>
                <c:pt idx="2">
                  <c:v>33.986519327446565</c:v>
                </c:pt>
                <c:pt idx="3">
                  <c:v>27.460218448259379</c:v>
                </c:pt>
                <c:pt idx="4">
                  <c:v>23.022840906063955</c:v>
                </c:pt>
                <c:pt idx="5">
                  <c:v>27.425453405239896</c:v>
                </c:pt>
                <c:pt idx="6">
                  <c:v>29.183813698410511</c:v>
                </c:pt>
                <c:pt idx="7">
                  <c:v>32.489284424300479</c:v>
                </c:pt>
                <c:pt idx="8">
                  <c:v>26.32943220058333</c:v>
                </c:pt>
                <c:pt idx="9">
                  <c:v>28.29610204825973</c:v>
                </c:pt>
                <c:pt idx="10">
                  <c:v>34.109425717301711</c:v>
                </c:pt>
                <c:pt idx="11">
                  <c:v>32.766672609566541</c:v>
                </c:pt>
                <c:pt idx="12">
                  <c:v>32.63204114403257</c:v>
                </c:pt>
                <c:pt idx="13">
                  <c:v>32.605655381992392</c:v>
                </c:pt>
                <c:pt idx="14">
                  <c:v>32.636625137815528</c:v>
                </c:pt>
                <c:pt idx="15">
                  <c:v>32.649710758365593</c:v>
                </c:pt>
                <c:pt idx="16">
                  <c:v>32.639697450842313</c:v>
                </c:pt>
                <c:pt idx="17">
                  <c:v>32.581563069709347</c:v>
                </c:pt>
                <c:pt idx="18">
                  <c:v>32.609685303672485</c:v>
                </c:pt>
                <c:pt idx="19">
                  <c:v>32.685088953339296</c:v>
                </c:pt>
                <c:pt idx="20">
                  <c:v>32.772811233465625</c:v>
                </c:pt>
                <c:pt idx="21">
                  <c:v>32.861010967167815</c:v>
                </c:pt>
                <c:pt idx="22">
                  <c:v>32.946709072468266</c:v>
                </c:pt>
                <c:pt idx="23">
                  <c:v>33.056519380214795</c:v>
                </c:pt>
                <c:pt idx="24">
                  <c:v>33.165390388324681</c:v>
                </c:pt>
                <c:pt idx="25">
                  <c:v>33.27556971091218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92.856426980572024</c:v>
                </c:pt>
                <c:pt idx="1">
                  <c:v>94.370501539616512</c:v>
                </c:pt>
                <c:pt idx="2">
                  <c:v>95.509231155892479</c:v>
                </c:pt>
                <c:pt idx="3">
                  <c:v>89.583598999240238</c:v>
                </c:pt>
                <c:pt idx="4">
                  <c:v>97.237386156411233</c:v>
                </c:pt>
                <c:pt idx="5">
                  <c:v>97.618362867403548</c:v>
                </c:pt>
                <c:pt idx="6">
                  <c:v>97.378525915213203</c:v>
                </c:pt>
                <c:pt idx="7">
                  <c:v>98.824214336535491</c:v>
                </c:pt>
                <c:pt idx="8">
                  <c:v>94.956488949530083</c:v>
                </c:pt>
                <c:pt idx="9">
                  <c:v>99.211343361153794</c:v>
                </c:pt>
                <c:pt idx="10">
                  <c:v>86.576735172954471</c:v>
                </c:pt>
                <c:pt idx="11">
                  <c:v>86.529624127261059</c:v>
                </c:pt>
                <c:pt idx="12">
                  <c:v>85.848709927747194</c:v>
                </c:pt>
                <c:pt idx="13">
                  <c:v>85.196923186750141</c:v>
                </c:pt>
                <c:pt idx="14">
                  <c:v>84.70475134653573</c:v>
                </c:pt>
                <c:pt idx="15">
                  <c:v>84.192599870846522</c:v>
                </c:pt>
                <c:pt idx="16">
                  <c:v>83.647596262934258</c:v>
                </c:pt>
                <c:pt idx="17">
                  <c:v>83.053770390278061</c:v>
                </c:pt>
                <c:pt idx="18">
                  <c:v>82.472385943876162</c:v>
                </c:pt>
                <c:pt idx="19">
                  <c:v>81.88972032437043</c:v>
                </c:pt>
                <c:pt idx="20">
                  <c:v>81.337143026939032</c:v>
                </c:pt>
                <c:pt idx="21">
                  <c:v>80.762865959092807</c:v>
                </c:pt>
                <c:pt idx="22">
                  <c:v>80.176344119213738</c:v>
                </c:pt>
                <c:pt idx="23">
                  <c:v>79.594852166552116</c:v>
                </c:pt>
                <c:pt idx="24">
                  <c:v>79.005639789889628</c:v>
                </c:pt>
                <c:pt idx="25">
                  <c:v>78.437017532423042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67.10228482432052</c:v>
                </c:pt>
                <c:pt idx="1">
                  <c:v>66.227171143937355</c:v>
                </c:pt>
                <c:pt idx="2">
                  <c:v>69.800102642883374</c:v>
                </c:pt>
                <c:pt idx="3">
                  <c:v>62.781158110283087</c:v>
                </c:pt>
                <c:pt idx="4">
                  <c:v>64.293401606576467</c:v>
                </c:pt>
                <c:pt idx="5">
                  <c:v>62.851513007293811</c:v>
                </c:pt>
                <c:pt idx="6">
                  <c:v>65.227258902084742</c:v>
                </c:pt>
                <c:pt idx="7">
                  <c:v>65.871313303015498</c:v>
                </c:pt>
                <c:pt idx="8">
                  <c:v>65.295188545127374</c:v>
                </c:pt>
                <c:pt idx="9">
                  <c:v>62.508631996104207</c:v>
                </c:pt>
                <c:pt idx="10">
                  <c:v>49.830413162678838</c:v>
                </c:pt>
                <c:pt idx="11">
                  <c:v>53.330578691300332</c:v>
                </c:pt>
                <c:pt idx="12">
                  <c:v>52.481777410933873</c:v>
                </c:pt>
                <c:pt idx="13">
                  <c:v>51.741245223332449</c:v>
                </c:pt>
                <c:pt idx="14">
                  <c:v>51.136976480333828</c:v>
                </c:pt>
                <c:pt idx="15">
                  <c:v>50.552266960065431</c:v>
                </c:pt>
                <c:pt idx="16">
                  <c:v>49.973043027932505</c:v>
                </c:pt>
                <c:pt idx="17">
                  <c:v>49.369338525302915</c:v>
                </c:pt>
                <c:pt idx="18">
                  <c:v>48.741136134160108</c:v>
                </c:pt>
                <c:pt idx="19">
                  <c:v>48.103973630004802</c:v>
                </c:pt>
                <c:pt idx="20">
                  <c:v>47.469716265251726</c:v>
                </c:pt>
                <c:pt idx="21">
                  <c:v>46.846399782772899</c:v>
                </c:pt>
                <c:pt idx="22">
                  <c:v>46.235590063504617</c:v>
                </c:pt>
                <c:pt idx="23">
                  <c:v>45.6402868860986</c:v>
                </c:pt>
                <c:pt idx="24">
                  <c:v>45.046221726582687</c:v>
                </c:pt>
                <c:pt idx="25">
                  <c:v>44.458264470819856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41.106122350200145</c:v>
                </c:pt>
                <c:pt idx="1">
                  <c:v>42.559709640291942</c:v>
                </c:pt>
                <c:pt idx="2">
                  <c:v>43.235569598418941</c:v>
                </c:pt>
                <c:pt idx="3">
                  <c:v>43.07764067374471</c:v>
                </c:pt>
                <c:pt idx="4">
                  <c:v>41.94600142188029</c:v>
                </c:pt>
                <c:pt idx="5">
                  <c:v>45.114830155462691</c:v>
                </c:pt>
                <c:pt idx="6">
                  <c:v>45.144628769216318</c:v>
                </c:pt>
                <c:pt idx="7">
                  <c:v>44.274307792535467</c:v>
                </c:pt>
                <c:pt idx="8">
                  <c:v>42.219189717797178</c:v>
                </c:pt>
                <c:pt idx="9">
                  <c:v>39.678369253428116</c:v>
                </c:pt>
                <c:pt idx="10">
                  <c:v>38.288580975784285</c:v>
                </c:pt>
                <c:pt idx="11">
                  <c:v>37.618973989132755</c:v>
                </c:pt>
                <c:pt idx="12">
                  <c:v>37.250406524291868</c:v>
                </c:pt>
                <c:pt idx="13">
                  <c:v>36.875685149115476</c:v>
                </c:pt>
                <c:pt idx="14">
                  <c:v>36.619673916063057</c:v>
                </c:pt>
                <c:pt idx="15">
                  <c:v>36.385886110582405</c:v>
                </c:pt>
                <c:pt idx="16">
                  <c:v>36.163008633327088</c:v>
                </c:pt>
                <c:pt idx="17">
                  <c:v>35.875988848501599</c:v>
                </c:pt>
                <c:pt idx="18">
                  <c:v>35.552125343936282</c:v>
                </c:pt>
                <c:pt idx="19">
                  <c:v>35.207065838165114</c:v>
                </c:pt>
                <c:pt idx="20">
                  <c:v>34.905740416583377</c:v>
                </c:pt>
                <c:pt idx="21">
                  <c:v>34.646695808679198</c:v>
                </c:pt>
                <c:pt idx="22">
                  <c:v>34.379133663446339</c:v>
                </c:pt>
                <c:pt idx="23">
                  <c:v>34.11325574640427</c:v>
                </c:pt>
                <c:pt idx="24">
                  <c:v>33.836685885700874</c:v>
                </c:pt>
                <c:pt idx="25">
                  <c:v>33.55391346668987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80239952009598059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177.68288788508673</c:v>
                </c:pt>
                <c:pt idx="1">
                  <c:v>174.30704150472579</c:v>
                </c:pt>
                <c:pt idx="2">
                  <c:v>179.57010548369189</c:v>
                </c:pt>
                <c:pt idx="3">
                  <c:v>182.00610204563196</c:v>
                </c:pt>
                <c:pt idx="4">
                  <c:v>194.83419304412251</c:v>
                </c:pt>
                <c:pt idx="5">
                  <c:v>197.12063317402581</c:v>
                </c:pt>
                <c:pt idx="6">
                  <c:v>201.96255374978381</c:v>
                </c:pt>
                <c:pt idx="7">
                  <c:v>206.72574274281146</c:v>
                </c:pt>
                <c:pt idx="8">
                  <c:v>200.94049736168043</c:v>
                </c:pt>
                <c:pt idx="9">
                  <c:v>202.10183802163635</c:v>
                </c:pt>
                <c:pt idx="10">
                  <c:v>195.15909339215122</c:v>
                </c:pt>
                <c:pt idx="11">
                  <c:v>202.83641776277236</c:v>
                </c:pt>
                <c:pt idx="12">
                  <c:v>204.70533059445771</c:v>
                </c:pt>
                <c:pt idx="13">
                  <c:v>206.95515494361737</c:v>
                </c:pt>
                <c:pt idx="14">
                  <c:v>209.3689932357928</c:v>
                </c:pt>
                <c:pt idx="15">
                  <c:v>211.46434592725529</c:v>
                </c:pt>
                <c:pt idx="16">
                  <c:v>213.28179148082395</c:v>
                </c:pt>
                <c:pt idx="17">
                  <c:v>214.99433660768307</c:v>
                </c:pt>
                <c:pt idx="18">
                  <c:v>216.66193717682589</c:v>
                </c:pt>
                <c:pt idx="19">
                  <c:v>218.37112505025851</c:v>
                </c:pt>
                <c:pt idx="20">
                  <c:v>220.12275647270874</c:v>
                </c:pt>
                <c:pt idx="21">
                  <c:v>221.91126614737303</c:v>
                </c:pt>
                <c:pt idx="22">
                  <c:v>223.75299497884575</c:v>
                </c:pt>
                <c:pt idx="23">
                  <c:v>225.56689243775233</c:v>
                </c:pt>
                <c:pt idx="24">
                  <c:v>227.42362161590859</c:v>
                </c:pt>
                <c:pt idx="25">
                  <c:v>229.27082671852793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49.388526914241254</c:v>
                </c:pt>
                <c:pt idx="1">
                  <c:v>54.166087732299594</c:v>
                </c:pt>
                <c:pt idx="2">
                  <c:v>52.075902868928686</c:v>
                </c:pt>
                <c:pt idx="3">
                  <c:v>59.394833218938039</c:v>
                </c:pt>
                <c:pt idx="4">
                  <c:v>57.78345070649889</c:v>
                </c:pt>
                <c:pt idx="5">
                  <c:v>49.385317241689229</c:v>
                </c:pt>
                <c:pt idx="6">
                  <c:v>61.933982860366477</c:v>
                </c:pt>
                <c:pt idx="7">
                  <c:v>53.830934933026391</c:v>
                </c:pt>
                <c:pt idx="8">
                  <c:v>53.480615549432379</c:v>
                </c:pt>
                <c:pt idx="9">
                  <c:v>61.937701893020744</c:v>
                </c:pt>
                <c:pt idx="10">
                  <c:v>58.98916926833904</c:v>
                </c:pt>
                <c:pt idx="11">
                  <c:v>58.318554959521443</c:v>
                </c:pt>
                <c:pt idx="12">
                  <c:v>58.14089126488782</c:v>
                </c:pt>
                <c:pt idx="13">
                  <c:v>58.323723035387907</c:v>
                </c:pt>
                <c:pt idx="14">
                  <c:v>58.666016822681982</c:v>
                </c:pt>
                <c:pt idx="15">
                  <c:v>58.928533381600666</c:v>
                </c:pt>
                <c:pt idx="16">
                  <c:v>59.155228207723717</c:v>
                </c:pt>
                <c:pt idx="17">
                  <c:v>59.360392567120478</c:v>
                </c:pt>
                <c:pt idx="18">
                  <c:v>59.525143760009243</c:v>
                </c:pt>
                <c:pt idx="19">
                  <c:v>59.6768703828198</c:v>
                </c:pt>
                <c:pt idx="20">
                  <c:v>59.846330450209209</c:v>
                </c:pt>
                <c:pt idx="21">
                  <c:v>60.001854960350272</c:v>
                </c:pt>
                <c:pt idx="22">
                  <c:v>60.101494880674728</c:v>
                </c:pt>
                <c:pt idx="23">
                  <c:v>60.20019134285964</c:v>
                </c:pt>
                <c:pt idx="24">
                  <c:v>60.29689644744478</c:v>
                </c:pt>
                <c:pt idx="25">
                  <c:v>60.404116039923224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val>
            <c:numRef>
              <c:f>'Occ F2'!$M$35:$AL$35</c:f>
              <c:numCache>
                <c:formatCode>#,##0</c:formatCode>
                <c:ptCount val="26"/>
                <c:pt idx="0">
                  <c:v>3.7025607205469599</c:v>
                </c:pt>
                <c:pt idx="1">
                  <c:v>2.5126457608535744</c:v>
                </c:pt>
                <c:pt idx="2">
                  <c:v>2.4025856156072907</c:v>
                </c:pt>
                <c:pt idx="3">
                  <c:v>2.2123457510179794</c:v>
                </c:pt>
                <c:pt idx="4">
                  <c:v>2.5817891065754934</c:v>
                </c:pt>
                <c:pt idx="5">
                  <c:v>2.3956029275567663</c:v>
                </c:pt>
                <c:pt idx="6">
                  <c:v>1.9531052652473806</c:v>
                </c:pt>
                <c:pt idx="7">
                  <c:v>2.0729089987821032</c:v>
                </c:pt>
                <c:pt idx="8">
                  <c:v>2.0899834778708941</c:v>
                </c:pt>
                <c:pt idx="9">
                  <c:v>1.9680798281533916</c:v>
                </c:pt>
                <c:pt idx="10">
                  <c:v>2.5528718101472609</c:v>
                </c:pt>
                <c:pt idx="11">
                  <c:v>1.976335382620154</c:v>
                </c:pt>
                <c:pt idx="12">
                  <c:v>2.0104177507845526</c:v>
                </c:pt>
                <c:pt idx="13">
                  <c:v>2.0406570279174963</c:v>
                </c:pt>
                <c:pt idx="14">
                  <c:v>2.0767041252735114</c:v>
                </c:pt>
                <c:pt idx="15">
                  <c:v>2.1022358640882035</c:v>
                </c:pt>
                <c:pt idx="16">
                  <c:v>2.1256032723100851</c:v>
                </c:pt>
                <c:pt idx="17">
                  <c:v>2.1474837689607775</c:v>
                </c:pt>
                <c:pt idx="18">
                  <c:v>2.1703478478613403</c:v>
                </c:pt>
                <c:pt idx="19">
                  <c:v>2.1938540926892811</c:v>
                </c:pt>
                <c:pt idx="20">
                  <c:v>2.2171909891186221</c:v>
                </c:pt>
                <c:pt idx="21">
                  <c:v>2.2390699306487862</c:v>
                </c:pt>
                <c:pt idx="22">
                  <c:v>2.2603530194489245</c:v>
                </c:pt>
                <c:pt idx="23">
                  <c:v>2.2839988002193881</c:v>
                </c:pt>
                <c:pt idx="24">
                  <c:v>2.3079524126182394</c:v>
                </c:pt>
                <c:pt idx="25">
                  <c:v>2.3328235735043159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00-47D4-806C-3012680FB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3784359265713874E-2"/>
          <c:y val="0.93944952741735122"/>
          <c:w val="0.94041112825348783"/>
          <c:h val="6.055047258264882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155.68399776936837</c:v>
                </c:pt>
                <c:pt idx="1">
                  <c:v>172.70134366107058</c:v>
                </c:pt>
                <c:pt idx="2">
                  <c:v>171.49330215252439</c:v>
                </c:pt>
                <c:pt idx="3">
                  <c:v>166.29118503514613</c:v>
                </c:pt>
                <c:pt idx="4">
                  <c:v>170.57866825525093</c:v>
                </c:pt>
                <c:pt idx="5">
                  <c:v>173.30397212646142</c:v>
                </c:pt>
                <c:pt idx="6">
                  <c:v>175.33498556935479</c:v>
                </c:pt>
                <c:pt idx="7">
                  <c:v>168.95091028402598</c:v>
                </c:pt>
                <c:pt idx="8">
                  <c:v>162.98818171174807</c:v>
                </c:pt>
                <c:pt idx="9">
                  <c:v>163.81103916015377</c:v>
                </c:pt>
                <c:pt idx="10">
                  <c:v>158.17137533328778</c:v>
                </c:pt>
                <c:pt idx="11">
                  <c:v>148.50169116531984</c:v>
                </c:pt>
                <c:pt idx="12">
                  <c:v>148.2833872018511</c:v>
                </c:pt>
                <c:pt idx="13">
                  <c:v>147.87756976823965</c:v>
                </c:pt>
                <c:pt idx="14">
                  <c:v>147.70356533982883</c:v>
                </c:pt>
                <c:pt idx="15">
                  <c:v>147.19149086294414</c:v>
                </c:pt>
                <c:pt idx="16">
                  <c:v>146.55651726146539</c:v>
                </c:pt>
                <c:pt idx="17">
                  <c:v>145.82506922406796</c:v>
                </c:pt>
                <c:pt idx="18">
                  <c:v>145.02047096209813</c:v>
                </c:pt>
                <c:pt idx="19">
                  <c:v>144.18949498838123</c:v>
                </c:pt>
                <c:pt idx="20">
                  <c:v>143.3580365188397</c:v>
                </c:pt>
                <c:pt idx="21">
                  <c:v>142.4274903146117</c:v>
                </c:pt>
                <c:pt idx="22">
                  <c:v>141.62471906485516</c:v>
                </c:pt>
                <c:pt idx="23">
                  <c:v>140.79705878422175</c:v>
                </c:pt>
                <c:pt idx="24">
                  <c:v>139.99126938546522</c:v>
                </c:pt>
                <c:pt idx="25">
                  <c:v>139.15870740517505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32.798631341700755</c:v>
                </c:pt>
                <c:pt idx="1">
                  <c:v>32.529352112046041</c:v>
                </c:pt>
                <c:pt idx="2">
                  <c:v>32.67106162075229</c:v>
                </c:pt>
                <c:pt idx="3">
                  <c:v>32.425988121228229</c:v>
                </c:pt>
                <c:pt idx="4">
                  <c:v>31.860158696587174</c:v>
                </c:pt>
                <c:pt idx="5">
                  <c:v>36.274357680061875</c:v>
                </c:pt>
                <c:pt idx="6">
                  <c:v>34.305521925655377</c:v>
                </c:pt>
                <c:pt idx="7">
                  <c:v>37.757867266804517</c:v>
                </c:pt>
                <c:pt idx="8">
                  <c:v>38.476291044650786</c:v>
                </c:pt>
                <c:pt idx="9">
                  <c:v>38.932889286731253</c:v>
                </c:pt>
                <c:pt idx="10">
                  <c:v>40.010730312229803</c:v>
                </c:pt>
                <c:pt idx="11">
                  <c:v>48.117725944373092</c:v>
                </c:pt>
                <c:pt idx="12">
                  <c:v>48.795076339883124</c:v>
                </c:pt>
                <c:pt idx="13">
                  <c:v>49.514357200389725</c:v>
                </c:pt>
                <c:pt idx="14">
                  <c:v>50.327940268378626</c:v>
                </c:pt>
                <c:pt idx="15">
                  <c:v>51.064626595414765</c:v>
                </c:pt>
                <c:pt idx="16">
                  <c:v>51.734364893833835</c:v>
                </c:pt>
                <c:pt idx="17">
                  <c:v>52.38443717017033</c:v>
                </c:pt>
                <c:pt idx="18">
                  <c:v>53.018786666572566</c:v>
                </c:pt>
                <c:pt idx="19">
                  <c:v>53.661288880251149</c:v>
                </c:pt>
                <c:pt idx="20">
                  <c:v>54.326172691533628</c:v>
                </c:pt>
                <c:pt idx="21">
                  <c:v>55.021620282072</c:v>
                </c:pt>
                <c:pt idx="22">
                  <c:v>55.704653740586402</c:v>
                </c:pt>
                <c:pt idx="23">
                  <c:v>56.416595096244336</c:v>
                </c:pt>
                <c:pt idx="24">
                  <c:v>57.133310355514205</c:v>
                </c:pt>
                <c:pt idx="25">
                  <c:v>57.872333438169207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295632066029317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94.047235701308352</c:v>
                </c:pt>
                <c:pt idx="1">
                  <c:v>86.309455868035812</c:v>
                </c:pt>
                <c:pt idx="2">
                  <c:v>92.230012166899485</c:v>
                </c:pt>
                <c:pt idx="3">
                  <c:v>93.116675066677175</c:v>
                </c:pt>
                <c:pt idx="4">
                  <c:v>92.444265298291114</c:v>
                </c:pt>
                <c:pt idx="5">
                  <c:v>96.336507305577143</c:v>
                </c:pt>
                <c:pt idx="6">
                  <c:v>98.547484509134918</c:v>
                </c:pt>
                <c:pt idx="7">
                  <c:v>99.379093623060129</c:v>
                </c:pt>
                <c:pt idx="8">
                  <c:v>97.874176368426063</c:v>
                </c:pt>
                <c:pt idx="9">
                  <c:v>95.330232078847629</c:v>
                </c:pt>
                <c:pt idx="10">
                  <c:v>82.980962009601029</c:v>
                </c:pt>
                <c:pt idx="11">
                  <c:v>100.10999193234504</c:v>
                </c:pt>
                <c:pt idx="12">
                  <c:v>100.12500538708116</c:v>
                </c:pt>
                <c:pt idx="13">
                  <c:v>100.01860774060161</c:v>
                </c:pt>
                <c:pt idx="14">
                  <c:v>100.03312402824795</c:v>
                </c:pt>
                <c:pt idx="15">
                  <c:v>100.06163022108568</c:v>
                </c:pt>
                <c:pt idx="16">
                  <c:v>100.02172593296524</c:v>
                </c:pt>
                <c:pt idx="17">
                  <c:v>99.803390661826384</c:v>
                </c:pt>
                <c:pt idx="18">
                  <c:v>99.776281734587542</c:v>
                </c:pt>
                <c:pt idx="19">
                  <c:v>99.780206416208969</c:v>
                </c:pt>
                <c:pt idx="20">
                  <c:v>99.771694732083375</c:v>
                </c:pt>
                <c:pt idx="21">
                  <c:v>99.704930867815762</c:v>
                </c:pt>
                <c:pt idx="22">
                  <c:v>99.570912355965845</c:v>
                </c:pt>
                <c:pt idx="23">
                  <c:v>99.368918070508386</c:v>
                </c:pt>
                <c:pt idx="24">
                  <c:v>99.028919970655011</c:v>
                </c:pt>
                <c:pt idx="25">
                  <c:v>98.631893755663725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95.812923091404713</c:v>
                </c:pt>
                <c:pt idx="1">
                  <c:v>93.645164391561977</c:v>
                </c:pt>
                <c:pt idx="2">
                  <c:v>90.364025935631332</c:v>
                </c:pt>
                <c:pt idx="3">
                  <c:v>92.335168143228984</c:v>
                </c:pt>
                <c:pt idx="4">
                  <c:v>87.305067092579833</c:v>
                </c:pt>
                <c:pt idx="5">
                  <c:v>92.950932183114759</c:v>
                </c:pt>
                <c:pt idx="6">
                  <c:v>98.994047998565222</c:v>
                </c:pt>
                <c:pt idx="7">
                  <c:v>101.51372476906984</c:v>
                </c:pt>
                <c:pt idx="8">
                  <c:v>102.33841145071935</c:v>
                </c:pt>
                <c:pt idx="9">
                  <c:v>104.74957701243308</c:v>
                </c:pt>
                <c:pt idx="10">
                  <c:v>105.1667392966642</c:v>
                </c:pt>
                <c:pt idx="11">
                  <c:v>110.86410452031946</c:v>
                </c:pt>
                <c:pt idx="12">
                  <c:v>109.80434991296353</c:v>
                </c:pt>
                <c:pt idx="13">
                  <c:v>109.60295919146417</c:v>
                </c:pt>
                <c:pt idx="14">
                  <c:v>109.72341029050453</c:v>
                </c:pt>
                <c:pt idx="15">
                  <c:v>109.66622761400357</c:v>
                </c:pt>
                <c:pt idx="16">
                  <c:v>109.53427751999561</c:v>
                </c:pt>
                <c:pt idx="17">
                  <c:v>109.32201018235166</c:v>
                </c:pt>
                <c:pt idx="18">
                  <c:v>109.1187768734695</c:v>
                </c:pt>
                <c:pt idx="19">
                  <c:v>108.89776647763922</c:v>
                </c:pt>
                <c:pt idx="20">
                  <c:v>108.74043925848642</c:v>
                </c:pt>
                <c:pt idx="21">
                  <c:v>108.58548188650802</c:v>
                </c:pt>
                <c:pt idx="22">
                  <c:v>108.34093706930513</c:v>
                </c:pt>
                <c:pt idx="23">
                  <c:v>108.09097055482098</c:v>
                </c:pt>
                <c:pt idx="24">
                  <c:v>107.83037487803362</c:v>
                </c:pt>
                <c:pt idx="25">
                  <c:v>107.55840657020045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21978293253883804"/>
          <c:y val="0.86822930790507791"/>
          <c:w val="0.63325760800170261"/>
          <c:h val="0.124256603178203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46.555268950397739</c:v>
                </c:pt>
                <c:pt idx="1">
                  <c:v>48.657065749630839</c:v>
                </c:pt>
                <c:pt idx="2">
                  <c:v>48.30480029492162</c:v>
                </c:pt>
                <c:pt idx="3">
                  <c:v>46.899148483925558</c:v>
                </c:pt>
                <c:pt idx="4">
                  <c:v>48.120409616880728</c:v>
                </c:pt>
                <c:pt idx="5">
                  <c:v>52.251811311873347</c:v>
                </c:pt>
                <c:pt idx="6">
                  <c:v>53.818926356936167</c:v>
                </c:pt>
                <c:pt idx="7">
                  <c:v>49.001832989287898</c:v>
                </c:pt>
                <c:pt idx="8">
                  <c:v>48.613099224861486</c:v>
                </c:pt>
                <c:pt idx="9">
                  <c:v>48.014879756415723</c:v>
                </c:pt>
                <c:pt idx="10">
                  <c:v>44.433630888629324</c:v>
                </c:pt>
                <c:pt idx="11">
                  <c:v>37.927322514126253</c:v>
                </c:pt>
                <c:pt idx="12">
                  <c:v>37.783076210169924</c:v>
                </c:pt>
                <c:pt idx="13">
                  <c:v>37.634639829769199</c:v>
                </c:pt>
                <c:pt idx="14">
                  <c:v>37.527889633645728</c:v>
                </c:pt>
                <c:pt idx="15">
                  <c:v>37.359177856192218</c:v>
                </c:pt>
                <c:pt idx="16">
                  <c:v>37.152535688208907</c:v>
                </c:pt>
                <c:pt idx="17">
                  <c:v>36.983104430589883</c:v>
                </c:pt>
                <c:pt idx="18">
                  <c:v>36.71275634285702</c:v>
                </c:pt>
                <c:pt idx="19">
                  <c:v>36.436151177302833</c:v>
                </c:pt>
                <c:pt idx="20">
                  <c:v>36.175264101784776</c:v>
                </c:pt>
                <c:pt idx="21">
                  <c:v>35.919173017246642</c:v>
                </c:pt>
                <c:pt idx="22">
                  <c:v>35.652862823220396</c:v>
                </c:pt>
                <c:pt idx="23">
                  <c:v>35.385563474695772</c:v>
                </c:pt>
                <c:pt idx="24">
                  <c:v>35.117254965388589</c:v>
                </c:pt>
                <c:pt idx="25">
                  <c:v>34.841715927373706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224.02161081426661</c:v>
                </c:pt>
                <c:pt idx="1">
                  <c:v>223.01834506345756</c:v>
                </c:pt>
                <c:pt idx="2">
                  <c:v>215.51312792955017</c:v>
                </c:pt>
                <c:pt idx="3">
                  <c:v>217.64559873302315</c:v>
                </c:pt>
                <c:pt idx="4">
                  <c:v>220.37018170813258</c:v>
                </c:pt>
                <c:pt idx="5">
                  <c:v>229.78267131417977</c:v>
                </c:pt>
                <c:pt idx="6">
                  <c:v>227.87029633062866</c:v>
                </c:pt>
                <c:pt idx="7">
                  <c:v>225.19110342505576</c:v>
                </c:pt>
                <c:pt idx="8">
                  <c:v>219.25056537507834</c:v>
                </c:pt>
                <c:pt idx="9">
                  <c:v>220.91049410882496</c:v>
                </c:pt>
                <c:pt idx="10">
                  <c:v>205.55814968015667</c:v>
                </c:pt>
                <c:pt idx="11">
                  <c:v>210.87505877768535</c:v>
                </c:pt>
                <c:pt idx="12">
                  <c:v>209.72837449389675</c:v>
                </c:pt>
                <c:pt idx="13">
                  <c:v>208.049342275165</c:v>
                </c:pt>
                <c:pt idx="14">
                  <c:v>206.97479185230631</c:v>
                </c:pt>
                <c:pt idx="15">
                  <c:v>205.50057562361812</c:v>
                </c:pt>
                <c:pt idx="16">
                  <c:v>203.95910271414519</c:v>
                </c:pt>
                <c:pt idx="17">
                  <c:v>202.35233765733659</c:v>
                </c:pt>
                <c:pt idx="18">
                  <c:v>200.82517105716894</c:v>
                </c:pt>
                <c:pt idx="19">
                  <c:v>199.3840101820393</c:v>
                </c:pt>
                <c:pt idx="20">
                  <c:v>198.06161695915461</c:v>
                </c:pt>
                <c:pt idx="21">
                  <c:v>196.83455513633518</c:v>
                </c:pt>
                <c:pt idx="22">
                  <c:v>195.57749484890249</c:v>
                </c:pt>
                <c:pt idx="23">
                  <c:v>194.4184684004006</c:v>
                </c:pt>
                <c:pt idx="24">
                  <c:v>193.26860722904522</c:v>
                </c:pt>
                <c:pt idx="25">
                  <c:v>192.09940795604413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416243654822857"/>
          <c:y val="0.9080890503729"/>
          <c:w val="0.71065989847718092"/>
          <c:h val="8.6397136371510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181.22324954747921</c:v>
                </c:pt>
                <c:pt idx="1">
                  <c:v>199.21275524854815</c:v>
                </c:pt>
                <c:pt idx="2">
                  <c:v>205.48201875379851</c:v>
                </c:pt>
                <c:pt idx="3">
                  <c:v>201.03765741158446</c:v>
                </c:pt>
                <c:pt idx="4">
                  <c:v>206.23738652814882</c:v>
                </c:pt>
                <c:pt idx="5">
                  <c:v>212.96694651679297</c:v>
                </c:pt>
                <c:pt idx="6">
                  <c:v>222.1670119678808</c:v>
                </c:pt>
                <c:pt idx="7">
                  <c:v>231.14499496428817</c:v>
                </c:pt>
                <c:pt idx="8">
                  <c:v>230.10820927930325</c:v>
                </c:pt>
                <c:pt idx="9">
                  <c:v>251.40387626698799</c:v>
                </c:pt>
                <c:pt idx="10">
                  <c:v>261.59893790686078</c:v>
                </c:pt>
                <c:pt idx="11">
                  <c:v>254.67753564271678</c:v>
                </c:pt>
                <c:pt idx="12">
                  <c:v>257.26702574199339</c:v>
                </c:pt>
                <c:pt idx="13">
                  <c:v>260.19232933033783</c:v>
                </c:pt>
                <c:pt idx="14">
                  <c:v>263.63052693820634</c:v>
                </c:pt>
                <c:pt idx="15">
                  <c:v>266.6330838180192</c:v>
                </c:pt>
                <c:pt idx="16">
                  <c:v>269.53224355172893</c:v>
                </c:pt>
                <c:pt idx="17">
                  <c:v>272.44805725617118</c:v>
                </c:pt>
                <c:pt idx="18">
                  <c:v>275.30790272373952</c:v>
                </c:pt>
                <c:pt idx="19">
                  <c:v>278.15103756261328</c:v>
                </c:pt>
                <c:pt idx="20">
                  <c:v>281.14577657388088</c:v>
                </c:pt>
                <c:pt idx="21">
                  <c:v>284.17833969657221</c:v>
                </c:pt>
                <c:pt idx="22">
                  <c:v>287.11786726022763</c:v>
                </c:pt>
                <c:pt idx="23">
                  <c:v>290.09343155082524</c:v>
                </c:pt>
                <c:pt idx="24">
                  <c:v>293.18249994784225</c:v>
                </c:pt>
                <c:pt idx="25">
                  <c:v>296.34659036718625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385.77735003956502</c:v>
                </c:pt>
                <c:pt idx="1">
                  <c:v>379.45202058090644</c:v>
                </c:pt>
                <c:pt idx="2">
                  <c:v>382.94887087206411</c:v>
                </c:pt>
                <c:pt idx="3">
                  <c:v>385.07626592502731</c:v>
                </c:pt>
                <c:pt idx="4">
                  <c:v>408.54747570370415</c:v>
                </c:pt>
                <c:pt idx="5">
                  <c:v>401.52149990473055</c:v>
                </c:pt>
                <c:pt idx="6">
                  <c:v>423.86587745760102</c:v>
                </c:pt>
                <c:pt idx="7">
                  <c:v>422.55891914065518</c:v>
                </c:pt>
                <c:pt idx="8">
                  <c:v>440.58508249339752</c:v>
                </c:pt>
                <c:pt idx="9">
                  <c:v>466.24681865163171</c:v>
                </c:pt>
                <c:pt idx="10">
                  <c:v>495.4961452109377</c:v>
                </c:pt>
                <c:pt idx="11">
                  <c:v>506.66133250709095</c:v>
                </c:pt>
                <c:pt idx="12">
                  <c:v>510.37333163231216</c:v>
                </c:pt>
                <c:pt idx="13">
                  <c:v>516.03023090793795</c:v>
                </c:pt>
                <c:pt idx="14">
                  <c:v>522.46264682732578</c:v>
                </c:pt>
                <c:pt idx="15">
                  <c:v>527.95954237323895</c:v>
                </c:pt>
                <c:pt idx="16">
                  <c:v>533.19590778913448</c:v>
                </c:pt>
                <c:pt idx="17">
                  <c:v>538.40528567800948</c:v>
                </c:pt>
                <c:pt idx="18">
                  <c:v>543.75033434037402</c:v>
                </c:pt>
                <c:pt idx="19">
                  <c:v>549.05835385498187</c:v>
                </c:pt>
                <c:pt idx="20">
                  <c:v>554.72395089730935</c:v>
                </c:pt>
                <c:pt idx="21">
                  <c:v>560.27680031330874</c:v>
                </c:pt>
                <c:pt idx="22">
                  <c:v>565.60327435722957</c:v>
                </c:pt>
                <c:pt idx="23">
                  <c:v>570.95888839783163</c:v>
                </c:pt>
                <c:pt idx="24">
                  <c:v>576.33810759735422</c:v>
                </c:pt>
                <c:pt idx="25">
                  <c:v>581.88225106121695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234.73181918269532</c:v>
                </c:pt>
                <c:pt idx="1">
                  <c:v>242.5518740646433</c:v>
                </c:pt>
                <c:pt idx="2">
                  <c:v>247.61607577947552</c:v>
                </c:pt>
                <c:pt idx="3">
                  <c:v>239.14664642149012</c:v>
                </c:pt>
                <c:pt idx="4">
                  <c:v>250.28075454477099</c:v>
                </c:pt>
                <c:pt idx="5">
                  <c:v>254.48663957131549</c:v>
                </c:pt>
                <c:pt idx="6">
                  <c:v>259.08119833790954</c:v>
                </c:pt>
                <c:pt idx="7">
                  <c:v>269.55644994309012</c:v>
                </c:pt>
                <c:pt idx="8">
                  <c:v>270.11876906922623</c:v>
                </c:pt>
                <c:pt idx="9">
                  <c:v>277.73375952254469</c:v>
                </c:pt>
                <c:pt idx="10">
                  <c:v>293.36127893413243</c:v>
                </c:pt>
                <c:pt idx="11">
                  <c:v>275.44424342564218</c:v>
                </c:pt>
                <c:pt idx="12">
                  <c:v>276.98388534562901</c:v>
                </c:pt>
                <c:pt idx="13">
                  <c:v>279.28021460865068</c:v>
                </c:pt>
                <c:pt idx="14">
                  <c:v>282.19897913493674</c:v>
                </c:pt>
                <c:pt idx="15">
                  <c:v>284.42037280035231</c:v>
                </c:pt>
                <c:pt idx="16">
                  <c:v>286.40294688217671</c:v>
                </c:pt>
                <c:pt idx="17">
                  <c:v>288.24309708244454</c:v>
                </c:pt>
                <c:pt idx="18">
                  <c:v>290.00962618947477</c:v>
                </c:pt>
                <c:pt idx="19">
                  <c:v>291.82622364337431</c:v>
                </c:pt>
                <c:pt idx="20">
                  <c:v>293.84201905718794</c:v>
                </c:pt>
                <c:pt idx="21">
                  <c:v>295.88916873392253</c:v>
                </c:pt>
                <c:pt idx="22">
                  <c:v>297.73933132777745</c:v>
                </c:pt>
                <c:pt idx="23">
                  <c:v>299.69880943290633</c:v>
                </c:pt>
                <c:pt idx="24">
                  <c:v>301.72484676281488</c:v>
                </c:pt>
                <c:pt idx="25">
                  <c:v>303.8157247101085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234.62818874701776</c:v>
                </c:pt>
                <c:pt idx="1">
                  <c:v>236.87700289306801</c:v>
                </c:pt>
                <c:pt idx="2">
                  <c:v>238.2446877994463</c:v>
                </c:pt>
                <c:pt idx="3">
                  <c:v>234.92976940870847</c:v>
                </c:pt>
                <c:pt idx="4">
                  <c:v>239.16556960675914</c:v>
                </c:pt>
                <c:pt idx="5">
                  <c:v>242.7039493064492</c:v>
                </c:pt>
                <c:pt idx="6">
                  <c:v>236.10278038440188</c:v>
                </c:pt>
                <c:pt idx="7">
                  <c:v>245.63739706329193</c:v>
                </c:pt>
                <c:pt idx="8">
                  <c:v>241.66181818070365</c:v>
                </c:pt>
                <c:pt idx="9">
                  <c:v>242.54836775247864</c:v>
                </c:pt>
                <c:pt idx="10">
                  <c:v>251.95376092648067</c:v>
                </c:pt>
                <c:pt idx="11">
                  <c:v>241.99483604504317</c:v>
                </c:pt>
                <c:pt idx="12">
                  <c:v>240.23691311828853</c:v>
                </c:pt>
                <c:pt idx="13">
                  <c:v>238.87070520053334</c:v>
                </c:pt>
                <c:pt idx="14">
                  <c:v>238.0983846231486</c:v>
                </c:pt>
                <c:pt idx="15">
                  <c:v>236.66769336702646</c:v>
                </c:pt>
                <c:pt idx="16">
                  <c:v>235.11540943460872</c:v>
                </c:pt>
                <c:pt idx="17">
                  <c:v>233.48633688404675</c:v>
                </c:pt>
                <c:pt idx="18">
                  <c:v>231.77613160325404</c:v>
                </c:pt>
                <c:pt idx="19">
                  <c:v>229.87976855028685</c:v>
                </c:pt>
                <c:pt idx="20">
                  <c:v>227.70634036040718</c:v>
                </c:pt>
                <c:pt idx="21">
                  <c:v>225.27227619977958</c:v>
                </c:pt>
                <c:pt idx="22">
                  <c:v>223.38332735906019</c:v>
                </c:pt>
                <c:pt idx="23">
                  <c:v>221.41029948249869</c:v>
                </c:pt>
                <c:pt idx="24">
                  <c:v>219.19840064603679</c:v>
                </c:pt>
                <c:pt idx="25">
                  <c:v>216.75443729533305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225.1647492943124</c:v>
                </c:pt>
                <c:pt idx="1">
                  <c:v>239.11984536698264</c:v>
                </c:pt>
                <c:pt idx="2">
                  <c:v>242.53142272464137</c:v>
                </c:pt>
                <c:pt idx="3">
                  <c:v>222.90261623152742</c:v>
                </c:pt>
                <c:pt idx="4">
                  <c:v>226.49963009093193</c:v>
                </c:pt>
                <c:pt idx="5">
                  <c:v>233.01015943539994</c:v>
                </c:pt>
                <c:pt idx="6">
                  <c:v>236.93422728492479</c:v>
                </c:pt>
                <c:pt idx="7">
                  <c:v>241.45911985638691</c:v>
                </c:pt>
                <c:pt idx="8">
                  <c:v>228.80029941303798</c:v>
                </c:pt>
                <c:pt idx="9">
                  <c:v>229.69444665894585</c:v>
                </c:pt>
                <c:pt idx="10">
                  <c:v>208.8051550287193</c:v>
                </c:pt>
                <c:pt idx="11">
                  <c:v>210.24584941726067</c:v>
                </c:pt>
                <c:pt idx="12">
                  <c:v>208.21293500700551</c:v>
                </c:pt>
                <c:pt idx="13">
                  <c:v>206.41950894119046</c:v>
                </c:pt>
                <c:pt idx="14">
                  <c:v>205.09802688074814</c:v>
                </c:pt>
                <c:pt idx="15">
                  <c:v>203.78046369985992</c:v>
                </c:pt>
                <c:pt idx="16">
                  <c:v>202.42334537503615</c:v>
                </c:pt>
                <c:pt idx="17">
                  <c:v>200.88066083379192</c:v>
                </c:pt>
                <c:pt idx="18">
                  <c:v>199.37533272564502</c:v>
                </c:pt>
                <c:pt idx="19">
                  <c:v>197.88584874587966</c:v>
                </c:pt>
                <c:pt idx="20">
                  <c:v>196.48541094223975</c:v>
                </c:pt>
                <c:pt idx="21">
                  <c:v>195.11697251771272</c:v>
                </c:pt>
                <c:pt idx="22">
                  <c:v>193.73777691863296</c:v>
                </c:pt>
                <c:pt idx="23">
                  <c:v>192.40491417926978</c:v>
                </c:pt>
                <c:pt idx="24">
                  <c:v>191.05393779049786</c:v>
                </c:pt>
                <c:pt idx="25">
                  <c:v>189.72476518084494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230.77397551987494</c:v>
                </c:pt>
                <c:pt idx="1">
                  <c:v>230.98577499787896</c:v>
                </c:pt>
                <c:pt idx="2">
                  <c:v>234.04859396822786</c:v>
                </c:pt>
                <c:pt idx="3">
                  <c:v>243.61328101558797</c:v>
                </c:pt>
                <c:pt idx="4">
                  <c:v>255.19943285719688</c:v>
                </c:pt>
                <c:pt idx="5">
                  <c:v>248.90155334327181</c:v>
                </c:pt>
                <c:pt idx="6">
                  <c:v>265.84964187539765</c:v>
                </c:pt>
                <c:pt idx="7">
                  <c:v>262.62958667461999</c:v>
                </c:pt>
                <c:pt idx="8">
                  <c:v>256.51109638898367</c:v>
                </c:pt>
                <c:pt idx="9">
                  <c:v>266.0076197428105</c:v>
                </c:pt>
                <c:pt idx="10">
                  <c:v>256.70113447063756</c:v>
                </c:pt>
                <c:pt idx="11">
                  <c:v>263.13130810491396</c:v>
                </c:pt>
                <c:pt idx="12">
                  <c:v>264.85663961013006</c:v>
                </c:pt>
                <c:pt idx="13">
                  <c:v>267.31953500692282</c:v>
                </c:pt>
                <c:pt idx="14">
                  <c:v>270.11171418374829</c:v>
                </c:pt>
                <c:pt idx="15">
                  <c:v>272.49511517294417</c:v>
                </c:pt>
                <c:pt idx="16">
                  <c:v>274.56262296085771</c:v>
                </c:pt>
                <c:pt idx="17">
                  <c:v>276.50221294376433</c:v>
                </c:pt>
                <c:pt idx="18">
                  <c:v>278.35742878469648</c:v>
                </c:pt>
                <c:pt idx="19">
                  <c:v>280.24184952576758</c:v>
                </c:pt>
                <c:pt idx="20">
                  <c:v>282.18627791203659</c:v>
                </c:pt>
                <c:pt idx="21">
                  <c:v>284.15219103837211</c:v>
                </c:pt>
                <c:pt idx="22">
                  <c:v>286.1148428789694</c:v>
                </c:pt>
                <c:pt idx="23">
                  <c:v>288.05108258083135</c:v>
                </c:pt>
                <c:pt idx="24">
                  <c:v>290.02847047597163</c:v>
                </c:pt>
                <c:pt idx="25">
                  <c:v>292.00776633195545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188.48262911106912</c:v>
                </c:pt>
                <c:pt idx="1">
                  <c:v>205.23069577311662</c:v>
                </c:pt>
                <c:pt idx="2">
                  <c:v>204.16436377327668</c:v>
                </c:pt>
                <c:pt idx="3">
                  <c:v>198.71717315637437</c:v>
                </c:pt>
                <c:pt idx="4">
                  <c:v>202.43882695183811</c:v>
                </c:pt>
                <c:pt idx="5">
                  <c:v>209.5783298065233</c:v>
                </c:pt>
                <c:pt idx="6">
                  <c:v>209.64050749501016</c:v>
                </c:pt>
                <c:pt idx="7">
                  <c:v>206.70877755083049</c:v>
                </c:pt>
                <c:pt idx="8">
                  <c:v>201.46447275639886</c:v>
                </c:pt>
                <c:pt idx="9">
                  <c:v>202.74392844688504</c:v>
                </c:pt>
                <c:pt idx="10">
                  <c:v>198.18210564551759</c:v>
                </c:pt>
                <c:pt idx="11">
                  <c:v>196.61941710969293</c:v>
                </c:pt>
                <c:pt idx="12">
                  <c:v>197.07846354173421</c:v>
                </c:pt>
                <c:pt idx="13">
                  <c:v>197.39192696862938</c:v>
                </c:pt>
                <c:pt idx="14">
                  <c:v>198.03150560820745</c:v>
                </c:pt>
                <c:pt idx="15">
                  <c:v>198.25611745835891</c:v>
                </c:pt>
                <c:pt idx="16">
                  <c:v>198.29088215529922</c:v>
                </c:pt>
                <c:pt idx="17">
                  <c:v>198.2095063942383</c:v>
                </c:pt>
                <c:pt idx="18">
                  <c:v>198.0392576286707</c:v>
                </c:pt>
                <c:pt idx="19">
                  <c:v>197.85078386863239</c:v>
                </c:pt>
                <c:pt idx="20">
                  <c:v>197.68420921037333</c:v>
                </c:pt>
                <c:pt idx="21">
                  <c:v>197.44911059668371</c:v>
                </c:pt>
                <c:pt idx="22">
                  <c:v>197.32937280544155</c:v>
                </c:pt>
                <c:pt idx="23">
                  <c:v>197.2136538804661</c:v>
                </c:pt>
                <c:pt idx="24">
                  <c:v>197.12457974097941</c:v>
                </c:pt>
                <c:pt idx="25">
                  <c:v>197.03104084334427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189.86015879271307</c:v>
                </c:pt>
                <c:pt idx="1">
                  <c:v>179.95462025959779</c:v>
                </c:pt>
                <c:pt idx="2">
                  <c:v>182.59403810253082</c:v>
                </c:pt>
                <c:pt idx="3">
                  <c:v>185.45184320990614</c:v>
                </c:pt>
                <c:pt idx="4">
                  <c:v>179.74933239087096</c:v>
                </c:pt>
                <c:pt idx="5">
                  <c:v>189.28743948869192</c:v>
                </c:pt>
                <c:pt idx="6">
                  <c:v>197.54153250770014</c:v>
                </c:pt>
                <c:pt idx="7">
                  <c:v>200.89281839212998</c:v>
                </c:pt>
                <c:pt idx="8">
                  <c:v>200.21258781914543</c:v>
                </c:pt>
                <c:pt idx="9">
                  <c:v>200.07980909128071</c:v>
                </c:pt>
                <c:pt idx="10">
                  <c:v>188.14770130626522</c:v>
                </c:pt>
                <c:pt idx="11">
                  <c:v>210.9740964526645</c:v>
                </c:pt>
                <c:pt idx="12">
                  <c:v>209.92935530004468</c:v>
                </c:pt>
                <c:pt idx="13">
                  <c:v>209.62156693206578</c:v>
                </c:pt>
                <c:pt idx="14">
                  <c:v>209.75653431875247</c:v>
                </c:pt>
                <c:pt idx="15">
                  <c:v>209.72785783508925</c:v>
                </c:pt>
                <c:pt idx="16">
                  <c:v>209.55600345296085</c:v>
                </c:pt>
                <c:pt idx="17">
                  <c:v>209.12540084417805</c:v>
                </c:pt>
                <c:pt idx="18">
                  <c:v>208.89505860805704</c:v>
                </c:pt>
                <c:pt idx="19">
                  <c:v>208.67797289384819</c:v>
                </c:pt>
                <c:pt idx="20">
                  <c:v>208.51213399056979</c:v>
                </c:pt>
                <c:pt idx="21">
                  <c:v>208.29041275432377</c:v>
                </c:pt>
                <c:pt idx="22">
                  <c:v>207.91184942527099</c:v>
                </c:pt>
                <c:pt idx="23">
                  <c:v>207.45988862532937</c:v>
                </c:pt>
                <c:pt idx="24">
                  <c:v>206.85929484868865</c:v>
                </c:pt>
                <c:pt idx="25">
                  <c:v>206.19030032586417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270.57687976466434</c:v>
                </c:pt>
                <c:pt idx="1">
                  <c:v>271.67541081308838</c:v>
                </c:pt>
                <c:pt idx="2">
                  <c:v>263.81792822447176</c:v>
                </c:pt>
                <c:pt idx="3">
                  <c:v>264.54474721694874</c:v>
                </c:pt>
                <c:pt idx="4">
                  <c:v>268.49059132501333</c:v>
                </c:pt>
                <c:pt idx="5">
                  <c:v>282.03448262605309</c:v>
                </c:pt>
                <c:pt idx="6">
                  <c:v>281.68922268756484</c:v>
                </c:pt>
                <c:pt idx="7">
                  <c:v>274.19293641434365</c:v>
                </c:pt>
                <c:pt idx="8">
                  <c:v>267.86366459993985</c:v>
                </c:pt>
                <c:pt idx="9">
                  <c:v>268.92537386524066</c:v>
                </c:pt>
                <c:pt idx="10">
                  <c:v>249.991780568786</c:v>
                </c:pt>
                <c:pt idx="11">
                  <c:v>248.8023812918116</c:v>
                </c:pt>
                <c:pt idx="12">
                  <c:v>247.51145070406668</c:v>
                </c:pt>
                <c:pt idx="13">
                  <c:v>245.68398210493422</c:v>
                </c:pt>
                <c:pt idx="14">
                  <c:v>244.50268148595205</c:v>
                </c:pt>
                <c:pt idx="15">
                  <c:v>242.85975347981034</c:v>
                </c:pt>
                <c:pt idx="16">
                  <c:v>241.11163840235409</c:v>
                </c:pt>
                <c:pt idx="17">
                  <c:v>239.33544208792648</c:v>
                </c:pt>
                <c:pt idx="18">
                  <c:v>237.53792740002598</c:v>
                </c:pt>
                <c:pt idx="19">
                  <c:v>235.82016135934214</c:v>
                </c:pt>
                <c:pt idx="20">
                  <c:v>234.23688106093937</c:v>
                </c:pt>
                <c:pt idx="21">
                  <c:v>232.75372815358182</c:v>
                </c:pt>
                <c:pt idx="22">
                  <c:v>231.23035767212289</c:v>
                </c:pt>
                <c:pt idx="23">
                  <c:v>229.80403187509637</c:v>
                </c:pt>
                <c:pt idx="24">
                  <c:v>228.3858621944338</c:v>
                </c:pt>
                <c:pt idx="25">
                  <c:v>226.94112388341784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181.22324954747921</c:v>
                </c:pt>
                <c:pt idx="1">
                  <c:v>199.21275524854815</c:v>
                </c:pt>
                <c:pt idx="2">
                  <c:v>205.48201875379851</c:v>
                </c:pt>
                <c:pt idx="3">
                  <c:v>201.03765741158446</c:v>
                </c:pt>
                <c:pt idx="4">
                  <c:v>206.23738652814882</c:v>
                </c:pt>
                <c:pt idx="5">
                  <c:v>212.96694651679297</c:v>
                </c:pt>
                <c:pt idx="6">
                  <c:v>222.1670119678808</c:v>
                </c:pt>
                <c:pt idx="7">
                  <c:v>231.14499496428817</c:v>
                </c:pt>
                <c:pt idx="8">
                  <c:v>230.10820927930325</c:v>
                </c:pt>
                <c:pt idx="9">
                  <c:v>251.40387626698799</c:v>
                </c:pt>
                <c:pt idx="10">
                  <c:v>261.59893790686078</c:v>
                </c:pt>
                <c:pt idx="11">
                  <c:v>254.67753564271678</c:v>
                </c:pt>
                <c:pt idx="12">
                  <c:v>257.26702574199339</c:v>
                </c:pt>
                <c:pt idx="13">
                  <c:v>260.19232933033783</c:v>
                </c:pt>
                <c:pt idx="14">
                  <c:v>263.63052693820634</c:v>
                </c:pt>
                <c:pt idx="15">
                  <c:v>266.6330838180192</c:v>
                </c:pt>
                <c:pt idx="16">
                  <c:v>269.53224355172893</c:v>
                </c:pt>
                <c:pt idx="17">
                  <c:v>272.44805725617118</c:v>
                </c:pt>
                <c:pt idx="18">
                  <c:v>275.30790272373952</c:v>
                </c:pt>
                <c:pt idx="19">
                  <c:v>278.15103756261328</c:v>
                </c:pt>
                <c:pt idx="20">
                  <c:v>281.14577657388088</c:v>
                </c:pt>
                <c:pt idx="21">
                  <c:v>284.17833969657221</c:v>
                </c:pt>
                <c:pt idx="22">
                  <c:v>287.11786726022763</c:v>
                </c:pt>
                <c:pt idx="23">
                  <c:v>290.09343155082524</c:v>
                </c:pt>
                <c:pt idx="24">
                  <c:v>293.18249994784225</c:v>
                </c:pt>
                <c:pt idx="25">
                  <c:v>296.34659036718625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385.77735003956502</c:v>
                </c:pt>
                <c:pt idx="1">
                  <c:v>379.45202058090644</c:v>
                </c:pt>
                <c:pt idx="2">
                  <c:v>382.94887087206411</c:v>
                </c:pt>
                <c:pt idx="3">
                  <c:v>385.07626592502731</c:v>
                </c:pt>
                <c:pt idx="4">
                  <c:v>408.54747570370415</c:v>
                </c:pt>
                <c:pt idx="5">
                  <c:v>401.52149990473055</c:v>
                </c:pt>
                <c:pt idx="6">
                  <c:v>423.86587745760102</c:v>
                </c:pt>
                <c:pt idx="7">
                  <c:v>422.55891914065518</c:v>
                </c:pt>
                <c:pt idx="8">
                  <c:v>440.58508249339752</c:v>
                </c:pt>
                <c:pt idx="9">
                  <c:v>466.24681865163171</c:v>
                </c:pt>
                <c:pt idx="10">
                  <c:v>495.4961452109377</c:v>
                </c:pt>
                <c:pt idx="11">
                  <c:v>506.66133250709095</c:v>
                </c:pt>
                <c:pt idx="12">
                  <c:v>510.37333163231216</c:v>
                </c:pt>
                <c:pt idx="13">
                  <c:v>516.03023090793795</c:v>
                </c:pt>
                <c:pt idx="14">
                  <c:v>522.46264682732578</c:v>
                </c:pt>
                <c:pt idx="15">
                  <c:v>527.95954237323895</c:v>
                </c:pt>
                <c:pt idx="16">
                  <c:v>533.19590778913448</c:v>
                </c:pt>
                <c:pt idx="17">
                  <c:v>538.40528567800948</c:v>
                </c:pt>
                <c:pt idx="18">
                  <c:v>543.75033434037402</c:v>
                </c:pt>
                <c:pt idx="19">
                  <c:v>549.05835385498187</c:v>
                </c:pt>
                <c:pt idx="20">
                  <c:v>554.72395089730935</c:v>
                </c:pt>
                <c:pt idx="21">
                  <c:v>560.27680031330874</c:v>
                </c:pt>
                <c:pt idx="22">
                  <c:v>565.60327435722957</c:v>
                </c:pt>
                <c:pt idx="23">
                  <c:v>570.95888839783163</c:v>
                </c:pt>
                <c:pt idx="24">
                  <c:v>576.33810759735422</c:v>
                </c:pt>
                <c:pt idx="25">
                  <c:v>581.88225106121695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234.73181918269532</c:v>
                </c:pt>
                <c:pt idx="1">
                  <c:v>242.5518740646433</c:v>
                </c:pt>
                <c:pt idx="2">
                  <c:v>247.61607577947552</c:v>
                </c:pt>
                <c:pt idx="3">
                  <c:v>239.14664642149012</c:v>
                </c:pt>
                <c:pt idx="4">
                  <c:v>250.28075454477099</c:v>
                </c:pt>
                <c:pt idx="5">
                  <c:v>254.48663957131549</c:v>
                </c:pt>
                <c:pt idx="6">
                  <c:v>259.08119833790954</c:v>
                </c:pt>
                <c:pt idx="7">
                  <c:v>269.55644994309012</c:v>
                </c:pt>
                <c:pt idx="8">
                  <c:v>270.11876906922623</c:v>
                </c:pt>
                <c:pt idx="9">
                  <c:v>277.73375952254469</c:v>
                </c:pt>
                <c:pt idx="10">
                  <c:v>293.36127893413243</c:v>
                </c:pt>
                <c:pt idx="11">
                  <c:v>275.44424342564218</c:v>
                </c:pt>
                <c:pt idx="12">
                  <c:v>276.98388534562901</c:v>
                </c:pt>
                <c:pt idx="13">
                  <c:v>279.28021460865068</c:v>
                </c:pt>
                <c:pt idx="14">
                  <c:v>282.19897913493674</c:v>
                </c:pt>
                <c:pt idx="15">
                  <c:v>284.42037280035231</c:v>
                </c:pt>
                <c:pt idx="16">
                  <c:v>286.40294688217671</c:v>
                </c:pt>
                <c:pt idx="17">
                  <c:v>288.24309708244454</c:v>
                </c:pt>
                <c:pt idx="18">
                  <c:v>290.00962618947477</c:v>
                </c:pt>
                <c:pt idx="19">
                  <c:v>291.82622364337431</c:v>
                </c:pt>
                <c:pt idx="20">
                  <c:v>293.84201905718794</c:v>
                </c:pt>
                <c:pt idx="21">
                  <c:v>295.88916873392253</c:v>
                </c:pt>
                <c:pt idx="22">
                  <c:v>297.73933132777745</c:v>
                </c:pt>
                <c:pt idx="23">
                  <c:v>299.69880943290633</c:v>
                </c:pt>
                <c:pt idx="24">
                  <c:v>301.72484676281488</c:v>
                </c:pt>
                <c:pt idx="25">
                  <c:v>303.8157247101085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234.62818874701776</c:v>
                </c:pt>
                <c:pt idx="1">
                  <c:v>236.87700289306801</c:v>
                </c:pt>
                <c:pt idx="2">
                  <c:v>238.2446877994463</c:v>
                </c:pt>
                <c:pt idx="3">
                  <c:v>234.92976940870847</c:v>
                </c:pt>
                <c:pt idx="4">
                  <c:v>239.16556960675914</c:v>
                </c:pt>
                <c:pt idx="5">
                  <c:v>242.7039493064492</c:v>
                </c:pt>
                <c:pt idx="6">
                  <c:v>236.10278038440188</c:v>
                </c:pt>
                <c:pt idx="7">
                  <c:v>245.63739706329193</c:v>
                </c:pt>
                <c:pt idx="8">
                  <c:v>241.66181818070365</c:v>
                </c:pt>
                <c:pt idx="9">
                  <c:v>242.54836775247864</c:v>
                </c:pt>
                <c:pt idx="10">
                  <c:v>251.95376092648067</c:v>
                </c:pt>
                <c:pt idx="11">
                  <c:v>241.99483604504317</c:v>
                </c:pt>
                <c:pt idx="12">
                  <c:v>240.23691311828853</c:v>
                </c:pt>
                <c:pt idx="13">
                  <c:v>238.87070520053334</c:v>
                </c:pt>
                <c:pt idx="14">
                  <c:v>238.0983846231486</c:v>
                </c:pt>
                <c:pt idx="15">
                  <c:v>236.66769336702646</c:v>
                </c:pt>
                <c:pt idx="16">
                  <c:v>235.11540943460872</c:v>
                </c:pt>
                <c:pt idx="17">
                  <c:v>233.48633688404675</c:v>
                </c:pt>
                <c:pt idx="18">
                  <c:v>231.77613160325404</c:v>
                </c:pt>
                <c:pt idx="19">
                  <c:v>229.87976855028685</c:v>
                </c:pt>
                <c:pt idx="20">
                  <c:v>227.70634036040718</c:v>
                </c:pt>
                <c:pt idx="21">
                  <c:v>225.27227619977958</c:v>
                </c:pt>
                <c:pt idx="22">
                  <c:v>223.38332735906019</c:v>
                </c:pt>
                <c:pt idx="23">
                  <c:v>221.41029948249869</c:v>
                </c:pt>
                <c:pt idx="24">
                  <c:v>219.19840064603679</c:v>
                </c:pt>
                <c:pt idx="25">
                  <c:v>216.75443729533305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225.1647492943124</c:v>
                </c:pt>
                <c:pt idx="1">
                  <c:v>239.11984536698264</c:v>
                </c:pt>
                <c:pt idx="2">
                  <c:v>242.53142272464137</c:v>
                </c:pt>
                <c:pt idx="3">
                  <c:v>222.90261623152742</c:v>
                </c:pt>
                <c:pt idx="4">
                  <c:v>226.49963009093193</c:v>
                </c:pt>
                <c:pt idx="5">
                  <c:v>233.01015943539994</c:v>
                </c:pt>
                <c:pt idx="6">
                  <c:v>236.93422728492479</c:v>
                </c:pt>
                <c:pt idx="7">
                  <c:v>241.45911985638691</c:v>
                </c:pt>
                <c:pt idx="8">
                  <c:v>228.80029941303798</c:v>
                </c:pt>
                <c:pt idx="9">
                  <c:v>229.69444665894585</c:v>
                </c:pt>
                <c:pt idx="10">
                  <c:v>208.8051550287193</c:v>
                </c:pt>
                <c:pt idx="11">
                  <c:v>210.24584941726067</c:v>
                </c:pt>
                <c:pt idx="12">
                  <c:v>208.21293500700551</c:v>
                </c:pt>
                <c:pt idx="13">
                  <c:v>206.41950894119046</c:v>
                </c:pt>
                <c:pt idx="14">
                  <c:v>205.09802688074814</c:v>
                </c:pt>
                <c:pt idx="15">
                  <c:v>203.78046369985992</c:v>
                </c:pt>
                <c:pt idx="16">
                  <c:v>202.42334537503615</c:v>
                </c:pt>
                <c:pt idx="17">
                  <c:v>200.88066083379192</c:v>
                </c:pt>
                <c:pt idx="18">
                  <c:v>199.37533272564502</c:v>
                </c:pt>
                <c:pt idx="19">
                  <c:v>197.88584874587966</c:v>
                </c:pt>
                <c:pt idx="20">
                  <c:v>196.48541094223975</c:v>
                </c:pt>
                <c:pt idx="21">
                  <c:v>195.11697251771272</c:v>
                </c:pt>
                <c:pt idx="22">
                  <c:v>193.73777691863296</c:v>
                </c:pt>
                <c:pt idx="23">
                  <c:v>192.40491417926978</c:v>
                </c:pt>
                <c:pt idx="24">
                  <c:v>191.05393779049786</c:v>
                </c:pt>
                <c:pt idx="25">
                  <c:v>189.72476518084494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230.77397551987494</c:v>
                </c:pt>
                <c:pt idx="1">
                  <c:v>230.98577499787896</c:v>
                </c:pt>
                <c:pt idx="2">
                  <c:v>234.04859396822786</c:v>
                </c:pt>
                <c:pt idx="3">
                  <c:v>243.61328101558797</c:v>
                </c:pt>
                <c:pt idx="4">
                  <c:v>255.19943285719688</c:v>
                </c:pt>
                <c:pt idx="5">
                  <c:v>248.90155334327181</c:v>
                </c:pt>
                <c:pt idx="6">
                  <c:v>265.84964187539765</c:v>
                </c:pt>
                <c:pt idx="7">
                  <c:v>262.62958667461999</c:v>
                </c:pt>
                <c:pt idx="8">
                  <c:v>256.51109638898367</c:v>
                </c:pt>
                <c:pt idx="9">
                  <c:v>266.0076197428105</c:v>
                </c:pt>
                <c:pt idx="10">
                  <c:v>256.70113447063756</c:v>
                </c:pt>
                <c:pt idx="11">
                  <c:v>263.13130810491396</c:v>
                </c:pt>
                <c:pt idx="12">
                  <c:v>264.85663961013006</c:v>
                </c:pt>
                <c:pt idx="13">
                  <c:v>267.31953500692282</c:v>
                </c:pt>
                <c:pt idx="14">
                  <c:v>270.11171418374829</c:v>
                </c:pt>
                <c:pt idx="15">
                  <c:v>272.49511517294417</c:v>
                </c:pt>
                <c:pt idx="16">
                  <c:v>274.56262296085771</c:v>
                </c:pt>
                <c:pt idx="17">
                  <c:v>276.50221294376433</c:v>
                </c:pt>
                <c:pt idx="18">
                  <c:v>278.35742878469648</c:v>
                </c:pt>
                <c:pt idx="19">
                  <c:v>280.24184952576758</c:v>
                </c:pt>
                <c:pt idx="20">
                  <c:v>282.18627791203659</c:v>
                </c:pt>
                <c:pt idx="21">
                  <c:v>284.15219103837211</c:v>
                </c:pt>
                <c:pt idx="22">
                  <c:v>286.1148428789694</c:v>
                </c:pt>
                <c:pt idx="23">
                  <c:v>288.05108258083135</c:v>
                </c:pt>
                <c:pt idx="24">
                  <c:v>290.02847047597163</c:v>
                </c:pt>
                <c:pt idx="25">
                  <c:v>292.00776633195545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188.48262911106912</c:v>
                </c:pt>
                <c:pt idx="1">
                  <c:v>205.23069577311662</c:v>
                </c:pt>
                <c:pt idx="2">
                  <c:v>204.16436377327668</c:v>
                </c:pt>
                <c:pt idx="3">
                  <c:v>198.71717315637437</c:v>
                </c:pt>
                <c:pt idx="4">
                  <c:v>202.43882695183811</c:v>
                </c:pt>
                <c:pt idx="5">
                  <c:v>209.5783298065233</c:v>
                </c:pt>
                <c:pt idx="6">
                  <c:v>209.64050749501016</c:v>
                </c:pt>
                <c:pt idx="7">
                  <c:v>206.70877755083049</c:v>
                </c:pt>
                <c:pt idx="8">
                  <c:v>201.46447275639886</c:v>
                </c:pt>
                <c:pt idx="9">
                  <c:v>202.74392844688504</c:v>
                </c:pt>
                <c:pt idx="10">
                  <c:v>198.18210564551759</c:v>
                </c:pt>
                <c:pt idx="11">
                  <c:v>196.61941710969293</c:v>
                </c:pt>
                <c:pt idx="12">
                  <c:v>197.07846354173421</c:v>
                </c:pt>
                <c:pt idx="13">
                  <c:v>197.39192696862938</c:v>
                </c:pt>
                <c:pt idx="14">
                  <c:v>198.03150560820745</c:v>
                </c:pt>
                <c:pt idx="15">
                  <c:v>198.25611745835891</c:v>
                </c:pt>
                <c:pt idx="16">
                  <c:v>198.29088215529922</c:v>
                </c:pt>
                <c:pt idx="17">
                  <c:v>198.2095063942383</c:v>
                </c:pt>
                <c:pt idx="18">
                  <c:v>198.0392576286707</c:v>
                </c:pt>
                <c:pt idx="19">
                  <c:v>197.85078386863239</c:v>
                </c:pt>
                <c:pt idx="20">
                  <c:v>197.68420921037333</c:v>
                </c:pt>
                <c:pt idx="21">
                  <c:v>197.44911059668371</c:v>
                </c:pt>
                <c:pt idx="22">
                  <c:v>197.32937280544155</c:v>
                </c:pt>
                <c:pt idx="23">
                  <c:v>197.2136538804661</c:v>
                </c:pt>
                <c:pt idx="24">
                  <c:v>197.12457974097941</c:v>
                </c:pt>
                <c:pt idx="25">
                  <c:v>197.03104084334427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189.86015879271307</c:v>
                </c:pt>
                <c:pt idx="1">
                  <c:v>179.95462025959779</c:v>
                </c:pt>
                <c:pt idx="2">
                  <c:v>182.59403810253082</c:v>
                </c:pt>
                <c:pt idx="3">
                  <c:v>185.45184320990614</c:v>
                </c:pt>
                <c:pt idx="4">
                  <c:v>179.74933239087096</c:v>
                </c:pt>
                <c:pt idx="5">
                  <c:v>189.28743948869192</c:v>
                </c:pt>
                <c:pt idx="6">
                  <c:v>197.54153250770014</c:v>
                </c:pt>
                <c:pt idx="7">
                  <c:v>200.89281839212998</c:v>
                </c:pt>
                <c:pt idx="8">
                  <c:v>200.21258781914543</c:v>
                </c:pt>
                <c:pt idx="9">
                  <c:v>200.07980909128071</c:v>
                </c:pt>
                <c:pt idx="10">
                  <c:v>188.14770130626522</c:v>
                </c:pt>
                <c:pt idx="11">
                  <c:v>210.9740964526645</c:v>
                </c:pt>
                <c:pt idx="12">
                  <c:v>209.92935530004468</c:v>
                </c:pt>
                <c:pt idx="13">
                  <c:v>209.62156693206578</c:v>
                </c:pt>
                <c:pt idx="14">
                  <c:v>209.75653431875247</c:v>
                </c:pt>
                <c:pt idx="15">
                  <c:v>209.72785783508925</c:v>
                </c:pt>
                <c:pt idx="16">
                  <c:v>209.55600345296085</c:v>
                </c:pt>
                <c:pt idx="17">
                  <c:v>209.12540084417805</c:v>
                </c:pt>
                <c:pt idx="18">
                  <c:v>208.89505860805704</c:v>
                </c:pt>
                <c:pt idx="19">
                  <c:v>208.67797289384819</c:v>
                </c:pt>
                <c:pt idx="20">
                  <c:v>208.51213399056979</c:v>
                </c:pt>
                <c:pt idx="21">
                  <c:v>208.29041275432377</c:v>
                </c:pt>
                <c:pt idx="22">
                  <c:v>207.91184942527099</c:v>
                </c:pt>
                <c:pt idx="23">
                  <c:v>207.45988862532937</c:v>
                </c:pt>
                <c:pt idx="24">
                  <c:v>206.85929484868865</c:v>
                </c:pt>
                <c:pt idx="25">
                  <c:v>206.19030032586417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270.57687976466434</c:v>
                </c:pt>
                <c:pt idx="1">
                  <c:v>271.67541081308838</c:v>
                </c:pt>
                <c:pt idx="2">
                  <c:v>263.81792822447176</c:v>
                </c:pt>
                <c:pt idx="3">
                  <c:v>264.54474721694874</c:v>
                </c:pt>
                <c:pt idx="4">
                  <c:v>268.49059132501333</c:v>
                </c:pt>
                <c:pt idx="5">
                  <c:v>282.03448262605309</c:v>
                </c:pt>
                <c:pt idx="6">
                  <c:v>281.68922268756484</c:v>
                </c:pt>
                <c:pt idx="7">
                  <c:v>274.19293641434365</c:v>
                </c:pt>
                <c:pt idx="8">
                  <c:v>267.86366459993985</c:v>
                </c:pt>
                <c:pt idx="9">
                  <c:v>268.92537386524066</c:v>
                </c:pt>
                <c:pt idx="10">
                  <c:v>249.991780568786</c:v>
                </c:pt>
                <c:pt idx="11">
                  <c:v>248.8023812918116</c:v>
                </c:pt>
                <c:pt idx="12">
                  <c:v>247.51145070406668</c:v>
                </c:pt>
                <c:pt idx="13">
                  <c:v>245.68398210493422</c:v>
                </c:pt>
                <c:pt idx="14">
                  <c:v>244.50268148595205</c:v>
                </c:pt>
                <c:pt idx="15">
                  <c:v>242.85975347981034</c:v>
                </c:pt>
                <c:pt idx="16">
                  <c:v>241.11163840235409</c:v>
                </c:pt>
                <c:pt idx="17">
                  <c:v>239.33544208792648</c:v>
                </c:pt>
                <c:pt idx="18">
                  <c:v>237.53792740002598</c:v>
                </c:pt>
                <c:pt idx="19">
                  <c:v>235.82016135934214</c:v>
                </c:pt>
                <c:pt idx="20">
                  <c:v>234.23688106093937</c:v>
                </c:pt>
                <c:pt idx="21">
                  <c:v>232.75372815358182</c:v>
                </c:pt>
                <c:pt idx="22">
                  <c:v>231.23035767212289</c:v>
                </c:pt>
                <c:pt idx="23">
                  <c:v>229.80403187509637</c:v>
                </c:pt>
                <c:pt idx="24">
                  <c:v>228.3858621944338</c:v>
                </c:pt>
                <c:pt idx="25">
                  <c:v>226.94112388341784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296.34659036718625</c:v>
                </c:pt>
                <c:pt idx="1">
                  <c:v>581.88225106121695</c:v>
                </c:pt>
                <c:pt idx="2">
                  <c:v>303.8157247101085</c:v>
                </c:pt>
                <c:pt idx="3">
                  <c:v>216.75443729533305</c:v>
                </c:pt>
                <c:pt idx="4">
                  <c:v>189.72476518084494</c:v>
                </c:pt>
                <c:pt idx="5">
                  <c:v>292.00776633195545</c:v>
                </c:pt>
                <c:pt idx="6">
                  <c:v>197.03104084334427</c:v>
                </c:pt>
                <c:pt idx="7">
                  <c:v>206.19030032586417</c:v>
                </c:pt>
                <c:pt idx="8">
                  <c:v>226.94112388341784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261.59893790686078</c:v>
                </c:pt>
                <c:pt idx="1">
                  <c:v>495.4961452109377</c:v>
                </c:pt>
                <c:pt idx="2">
                  <c:v>293.36127893413243</c:v>
                </c:pt>
                <c:pt idx="3">
                  <c:v>251.95376092648067</c:v>
                </c:pt>
                <c:pt idx="4">
                  <c:v>208.8051550287193</c:v>
                </c:pt>
                <c:pt idx="5">
                  <c:v>256.70113447063756</c:v>
                </c:pt>
                <c:pt idx="6">
                  <c:v>198.18210564551759</c:v>
                </c:pt>
                <c:pt idx="7">
                  <c:v>188.14770130626522</c:v>
                </c:pt>
                <c:pt idx="8">
                  <c:v>249.991780568786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11.80337350418937</c:v>
                </c:pt>
                <c:pt idx="1">
                  <c:v>23.176151735790416</c:v>
                </c:pt>
                <c:pt idx="2">
                  <c:v>12.100866322626201</c:v>
                </c:pt>
                <c:pt idx="3">
                  <c:v>8.6332479105536546</c:v>
                </c:pt>
                <c:pt idx="4">
                  <c:v>7.5566662118481984</c:v>
                </c:pt>
                <c:pt idx="5">
                  <c:v>11.630559770806007</c:v>
                </c:pt>
                <c:pt idx="6">
                  <c:v>7.8476724301488527</c:v>
                </c:pt>
                <c:pt idx="7">
                  <c:v>8.2124822987558019</c:v>
                </c:pt>
                <c:pt idx="8">
                  <c:v>9.0389798152815004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10.880742168913464</c:v>
                </c:pt>
                <c:pt idx="1">
                  <c:v>20.609280163248414</c:v>
                </c:pt>
                <c:pt idx="2">
                  <c:v>12.201840206100032</c:v>
                </c:pt>
                <c:pt idx="3">
                  <c:v>10.479568201095519</c:v>
                </c:pt>
                <c:pt idx="4">
                  <c:v>8.6848787444863493</c:v>
                </c:pt>
                <c:pt idx="5">
                  <c:v>10.677026753208921</c:v>
                </c:pt>
                <c:pt idx="6">
                  <c:v>8.2430319147128799</c:v>
                </c:pt>
                <c:pt idx="7">
                  <c:v>7.8256687277380745</c:v>
                </c:pt>
                <c:pt idx="8">
                  <c:v>10.397963120496344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9.3632793674217751</c:v>
                </c:pt>
                <c:pt idx="1">
                  <c:v>17.653246370500774</c:v>
                </c:pt>
                <c:pt idx="2">
                  <c:v>11.188729239702502</c:v>
                </c:pt>
                <c:pt idx="3">
                  <c:v>10.670692884980927</c:v>
                </c:pt>
                <c:pt idx="4">
                  <c:v>10.244496875805575</c:v>
                </c:pt>
                <c:pt idx="5">
                  <c:v>10.943176004800909</c:v>
                </c:pt>
                <c:pt idx="6">
                  <c:v>9.2142958493392317</c:v>
                </c:pt>
                <c:pt idx="7">
                  <c:v>8.322188985964603</c:v>
                </c:pt>
                <c:pt idx="8">
                  <c:v>12.399894421483697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8.4635550846284643E-2</c:v>
                </c:pt>
                <c:pt idx="1">
                  <c:v>9.117038216284494E-2</c:v>
                </c:pt>
                <c:pt idx="2">
                  <c:v>9.3339483264647402E-2</c:v>
                </c:pt>
                <c:pt idx="3">
                  <c:v>9.2413261536552646E-2</c:v>
                </c:pt>
                <c:pt idx="4">
                  <c:v>9.2209852740563703E-2</c:v>
                </c:pt>
                <c:pt idx="5">
                  <c:v>9.3632793674217757E-2</c:v>
                </c:pt>
                <c:pt idx="6">
                  <c:v>9.5233262677092451E-2</c:v>
                </c:pt>
                <c:pt idx="7">
                  <c:v>9.8159869204110226E-2</c:v>
                </c:pt>
                <c:pt idx="8">
                  <c:v>9.844934308662541E-2</c:v>
                </c:pt>
                <c:pt idx="9">
                  <c:v>0.10451714830859139</c:v>
                </c:pt>
                <c:pt idx="10">
                  <c:v>0.10880742168913464</c:v>
                </c:pt>
                <c:pt idx="11">
                  <c:v>0.10573890095873048</c:v>
                </c:pt>
                <c:pt idx="12">
                  <c:v>0.10664139183894589</c:v>
                </c:pt>
                <c:pt idx="13">
                  <c:v>0.10748151624051808</c:v>
                </c:pt>
                <c:pt idx="14">
                  <c:v>0.10831648867516878</c:v>
                </c:pt>
                <c:pt idx="15">
                  <c:v>0.10915059923755782</c:v>
                </c:pt>
                <c:pt idx="16">
                  <c:v>0.11000458476554345</c:v>
                </c:pt>
                <c:pt idx="17">
                  <c:v>0.11090290024882167</c:v>
                </c:pt>
                <c:pt idx="18">
                  <c:v>0.11177524390432321</c:v>
                </c:pt>
                <c:pt idx="19">
                  <c:v>0.11263948273991367</c:v>
                </c:pt>
                <c:pt idx="20">
                  <c:v>0.11352439552280338</c:v>
                </c:pt>
                <c:pt idx="21">
                  <c:v>0.11443212642777645</c:v>
                </c:pt>
                <c:pt idx="22">
                  <c:v>0.11530060110790996</c:v>
                </c:pt>
                <c:pt idx="23">
                  <c:v>0.11617236490811844</c:v>
                </c:pt>
                <c:pt idx="24">
                  <c:v>0.11709052610304158</c:v>
                </c:pt>
                <c:pt idx="25">
                  <c:v>0.1180337350418937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0.18016716180814513</c:v>
                </c:pt>
                <c:pt idx="1">
                  <c:v>0.17365748335573541</c:v>
                </c:pt>
                <c:pt idx="2">
                  <c:v>0.17395317576087363</c:v>
                </c:pt>
                <c:pt idx="3">
                  <c:v>0.17701237734576811</c:v>
                </c:pt>
                <c:pt idx="4">
                  <c:v>0.18266378955992937</c:v>
                </c:pt>
                <c:pt idx="5">
                  <c:v>0.17653246370500775</c:v>
                </c:pt>
                <c:pt idx="6">
                  <c:v>0.18169272787272228</c:v>
                </c:pt>
                <c:pt idx="7">
                  <c:v>0.17944722636233285</c:v>
                </c:pt>
                <c:pt idx="8">
                  <c:v>0.18849962841870233</c:v>
                </c:pt>
                <c:pt idx="9">
                  <c:v>0.193834671990777</c:v>
                </c:pt>
                <c:pt idx="10">
                  <c:v>0.20609280163248414</c:v>
                </c:pt>
                <c:pt idx="11">
                  <c:v>0.21035939554850877</c:v>
                </c:pt>
                <c:pt idx="12">
                  <c:v>0.21155809721737548</c:v>
                </c:pt>
                <c:pt idx="13">
                  <c:v>0.2131642842303533</c:v>
                </c:pt>
                <c:pt idx="14">
                  <c:v>0.2146614810717101</c:v>
                </c:pt>
                <c:pt idx="15">
                  <c:v>0.21612884492067433</c:v>
                </c:pt>
                <c:pt idx="16">
                  <c:v>0.21761401775952566</c:v>
                </c:pt>
                <c:pt idx="17">
                  <c:v>0.21916363908898501</c:v>
                </c:pt>
                <c:pt idx="18">
                  <c:v>0.22076310066892893</c:v>
                </c:pt>
                <c:pt idx="19">
                  <c:v>0.22234556273525263</c:v>
                </c:pt>
                <c:pt idx="20">
                  <c:v>0.22399305433311215</c:v>
                </c:pt>
                <c:pt idx="21">
                  <c:v>0.22561067010405914</c:v>
                </c:pt>
                <c:pt idx="22">
                  <c:v>0.22713458463692193</c:v>
                </c:pt>
                <c:pt idx="23">
                  <c:v>0.22864924578226933</c:v>
                </c:pt>
                <c:pt idx="24">
                  <c:v>0.23017653592493101</c:v>
                </c:pt>
                <c:pt idx="25">
                  <c:v>0.23176151735790415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0.109625320521984</c:v>
                </c:pt>
                <c:pt idx="1">
                  <c:v>0.11100467450087602</c:v>
                </c:pt>
                <c:pt idx="2">
                  <c:v>0.11247873026285793</c:v>
                </c:pt>
                <c:pt idx="3">
                  <c:v>0.10993125300944316</c:v>
                </c:pt>
                <c:pt idx="4">
                  <c:v>0.11190188117138788</c:v>
                </c:pt>
                <c:pt idx="5">
                  <c:v>0.11188729239702502</c:v>
                </c:pt>
                <c:pt idx="6">
                  <c:v>0.11105675679509559</c:v>
                </c:pt>
                <c:pt idx="7">
                  <c:v>0.11447198272074209</c:v>
                </c:pt>
                <c:pt idx="8">
                  <c:v>0.11556743435413394</c:v>
                </c:pt>
                <c:pt idx="9">
                  <c:v>0.11546337695880682</c:v>
                </c:pt>
                <c:pt idx="10">
                  <c:v>0.12201840206100033</c:v>
                </c:pt>
                <c:pt idx="11">
                  <c:v>0.11436097613295461</c:v>
                </c:pt>
                <c:pt idx="12">
                  <c:v>0.11481435277228161</c:v>
                </c:pt>
                <c:pt idx="13">
                  <c:v>0.11536643297429866</c:v>
                </c:pt>
                <c:pt idx="14">
                  <c:v>0.11594561101331891</c:v>
                </c:pt>
                <c:pt idx="15">
                  <c:v>0.11643211593245666</c:v>
                </c:pt>
                <c:pt idx="16">
                  <c:v>0.11689004933970079</c:v>
                </c:pt>
                <c:pt idx="17">
                  <c:v>0.1173324404111591</c:v>
                </c:pt>
                <c:pt idx="18">
                  <c:v>0.11774415620193149</c:v>
                </c:pt>
                <c:pt idx="19">
                  <c:v>0.11817735849262319</c:v>
                </c:pt>
                <c:pt idx="20">
                  <c:v>0.11865103576934327</c:v>
                </c:pt>
                <c:pt idx="21">
                  <c:v>0.11914780979198716</c:v>
                </c:pt>
                <c:pt idx="22">
                  <c:v>0.11956596154444664</c:v>
                </c:pt>
                <c:pt idx="23">
                  <c:v>0.12001898583445951</c:v>
                </c:pt>
                <c:pt idx="24">
                  <c:v>0.12050214815721511</c:v>
                </c:pt>
                <c:pt idx="25">
                  <c:v>0.12100866322626201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0.10957692265344389</c:v>
                </c:pt>
                <c:pt idx="1">
                  <c:v>0.10840755077357291</c:v>
                </c:pt>
                <c:pt idx="2">
                  <c:v>0.1082218102810832</c:v>
                </c:pt>
                <c:pt idx="3">
                  <c:v>0.10799283329610636</c:v>
                </c:pt>
                <c:pt idx="4">
                  <c:v>0.10693222177271085</c:v>
                </c:pt>
                <c:pt idx="5">
                  <c:v>0.10670692884980927</c:v>
                </c:pt>
                <c:pt idx="6">
                  <c:v>0.10120691593219205</c:v>
                </c:pt>
                <c:pt idx="7">
                  <c:v>0.10431432777117272</c:v>
                </c:pt>
                <c:pt idx="8">
                  <c:v>0.1033924314283457</c:v>
                </c:pt>
                <c:pt idx="9">
                  <c:v>0.1008356120073132</c:v>
                </c:pt>
                <c:pt idx="10">
                  <c:v>0.1047956820109552</c:v>
                </c:pt>
                <c:pt idx="11">
                  <c:v>0.10047320403236676</c:v>
                </c:pt>
                <c:pt idx="12">
                  <c:v>9.9582131492121542E-2</c:v>
                </c:pt>
                <c:pt idx="13">
                  <c:v>9.8673875769025518E-2</c:v>
                </c:pt>
                <c:pt idx="14">
                  <c:v>9.7826231586808213E-2</c:v>
                </c:pt>
                <c:pt idx="15">
                  <c:v>9.6883778191653488E-2</c:v>
                </c:pt>
                <c:pt idx="16">
                  <c:v>9.5957992431696087E-2</c:v>
                </c:pt>
                <c:pt idx="17">
                  <c:v>9.5043114602086892E-2</c:v>
                </c:pt>
                <c:pt idx="18">
                  <c:v>9.4101307608124532E-2</c:v>
                </c:pt>
                <c:pt idx="19">
                  <c:v>9.3091647073387643E-2</c:v>
                </c:pt>
                <c:pt idx="20">
                  <c:v>9.1945982476218713E-2</c:v>
                </c:pt>
                <c:pt idx="21">
                  <c:v>9.0712000141498092E-2</c:v>
                </c:pt>
                <c:pt idx="22">
                  <c:v>8.9706127200508412E-2</c:v>
                </c:pt>
                <c:pt idx="23">
                  <c:v>8.8667151022308113E-2</c:v>
                </c:pt>
                <c:pt idx="24">
                  <c:v>8.7542933350918894E-2</c:v>
                </c:pt>
                <c:pt idx="25">
                  <c:v>8.6332479105536541E-2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0.10515727223342237</c:v>
                </c:pt>
                <c:pt idx="1">
                  <c:v>0.10943399511556666</c:v>
                </c:pt>
                <c:pt idx="2">
                  <c:v>0.11016904452200059</c:v>
                </c:pt>
                <c:pt idx="3">
                  <c:v>0.10246417530031852</c:v>
                </c:pt>
                <c:pt idx="4">
                  <c:v>0.10126921160158503</c:v>
                </c:pt>
                <c:pt idx="5">
                  <c:v>0.10244496875805575</c:v>
                </c:pt>
                <c:pt idx="6">
                  <c:v>0.10156332078446148</c:v>
                </c:pt>
                <c:pt idx="7">
                  <c:v>0.10253994739061688</c:v>
                </c:pt>
                <c:pt idx="8">
                  <c:v>9.7889767800052124E-2</c:v>
                </c:pt>
                <c:pt idx="9">
                  <c:v>9.5491799504386771E-2</c:v>
                </c:pt>
                <c:pt idx="10">
                  <c:v>8.684878744486349E-2</c:v>
                </c:pt>
                <c:pt idx="11">
                  <c:v>8.7291425183663035E-2</c:v>
                </c:pt>
                <c:pt idx="12">
                  <c:v>8.630766855557695E-2</c:v>
                </c:pt>
                <c:pt idx="13">
                  <c:v>8.5268777368355184E-2</c:v>
                </c:pt>
                <c:pt idx="14">
                  <c:v>8.4267548086854216E-2</c:v>
                </c:pt>
                <c:pt idx="15">
                  <c:v>8.3420854633808703E-2</c:v>
                </c:pt>
                <c:pt idx="16">
                  <c:v>8.2615332998404109E-2</c:v>
                </c:pt>
                <c:pt idx="17">
                  <c:v>8.1770624884361445E-2</c:v>
                </c:pt>
                <c:pt idx="18">
                  <c:v>8.0946555559928482E-2</c:v>
                </c:pt>
                <c:pt idx="19">
                  <c:v>8.0135453887232519E-2</c:v>
                </c:pt>
                <c:pt idx="20">
                  <c:v>7.9339223153529162E-2</c:v>
                </c:pt>
                <c:pt idx="21">
                  <c:v>7.8569148131388017E-2</c:v>
                </c:pt>
                <c:pt idx="22">
                  <c:v>7.7801086881794629E-2</c:v>
                </c:pt>
                <c:pt idx="23">
                  <c:v>7.7051499513987376E-2</c:v>
                </c:pt>
                <c:pt idx="24">
                  <c:v>7.6302665042855378E-2</c:v>
                </c:pt>
                <c:pt idx="25">
                  <c:v>7.5566662118481981E-2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0.10777691376731692</c:v>
                </c:pt>
                <c:pt idx="1">
                  <c:v>0.10571141066977946</c:v>
                </c:pt>
                <c:pt idx="2">
                  <c:v>0.1063157494378462</c:v>
                </c:pt>
                <c:pt idx="3">
                  <c:v>0.1119844816246548</c:v>
                </c:pt>
                <c:pt idx="4">
                  <c:v>0.11410104889021025</c:v>
                </c:pt>
                <c:pt idx="5">
                  <c:v>0.1094317600480091</c:v>
                </c:pt>
                <c:pt idx="6">
                  <c:v>0.11395809194657101</c:v>
                </c:pt>
                <c:pt idx="7">
                  <c:v>0.11153036595533111</c:v>
                </c:pt>
                <c:pt idx="8">
                  <c:v>0.1097455367325605</c:v>
                </c:pt>
                <c:pt idx="9">
                  <c:v>0.11058842153391832</c:v>
                </c:pt>
                <c:pt idx="10">
                  <c:v>0.10677026753208921</c:v>
                </c:pt>
                <c:pt idx="11">
                  <c:v>0.10924880067113361</c:v>
                </c:pt>
                <c:pt idx="12">
                  <c:v>0.10978741097639241</c:v>
                </c:pt>
                <c:pt idx="13">
                  <c:v>0.11042565711757223</c:v>
                </c:pt>
                <c:pt idx="14">
                  <c:v>0.1109793800065962</c:v>
                </c:pt>
                <c:pt idx="15">
                  <c:v>0.11155031732946616</c:v>
                </c:pt>
                <c:pt idx="16">
                  <c:v>0.11205764079632646</c:v>
                </c:pt>
                <c:pt idx="17">
                  <c:v>0.11255318775074935</c:v>
                </c:pt>
                <c:pt idx="18">
                  <c:v>0.11301335409252981</c:v>
                </c:pt>
                <c:pt idx="19">
                  <c:v>0.11348617373233216</c:v>
                </c:pt>
                <c:pt idx="20">
                  <c:v>0.11394454156552281</c:v>
                </c:pt>
                <c:pt idx="21">
                  <c:v>0.11442159696038542</c:v>
                </c:pt>
                <c:pt idx="22">
                  <c:v>0.11489780724771406</c:v>
                </c:pt>
                <c:pt idx="23">
                  <c:v>0.11535447493197025</c:v>
                </c:pt>
                <c:pt idx="24">
                  <c:v>0.11583087735091098</c:v>
                </c:pt>
                <c:pt idx="25">
                  <c:v>0.11630559770806008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8.8025853082343619E-2</c:v>
                </c:pt>
                <c:pt idx="1">
                  <c:v>9.3924512724282358E-2</c:v>
                </c:pt>
                <c:pt idx="2">
                  <c:v>9.2740943130824982E-2</c:v>
                </c:pt>
                <c:pt idx="3">
                  <c:v>9.1346578204040713E-2</c:v>
                </c:pt>
                <c:pt idx="4">
                  <c:v>9.0511496176536629E-2</c:v>
                </c:pt>
                <c:pt idx="5">
                  <c:v>9.2142958493392324E-2</c:v>
                </c:pt>
                <c:pt idx="6">
                  <c:v>8.9863699120721049E-2</c:v>
                </c:pt>
                <c:pt idx="7">
                  <c:v>8.7782591056604603E-2</c:v>
                </c:pt>
                <c:pt idx="8">
                  <c:v>8.619442591935704E-2</c:v>
                </c:pt>
                <c:pt idx="9">
                  <c:v>8.4287551778421108E-2</c:v>
                </c:pt>
                <c:pt idx="10">
                  <c:v>8.2430319147128797E-2</c:v>
                </c:pt>
                <c:pt idx="11">
                  <c:v>8.1633902337941433E-2</c:v>
                </c:pt>
                <c:pt idx="12">
                  <c:v>8.1692247939495477E-2</c:v>
                </c:pt>
                <c:pt idx="13">
                  <c:v>8.1539619783680378E-2</c:v>
                </c:pt>
                <c:pt idx="14">
                  <c:v>8.1364163640904208E-2</c:v>
                </c:pt>
                <c:pt idx="15">
                  <c:v>8.115937344767378E-2</c:v>
                </c:pt>
                <c:pt idx="16">
                  <c:v>8.092874480192068E-2</c:v>
                </c:pt>
                <c:pt idx="17">
                  <c:v>8.0683302855559205E-2</c:v>
                </c:pt>
                <c:pt idx="18">
                  <c:v>8.0404107928163063E-2</c:v>
                </c:pt>
                <c:pt idx="19">
                  <c:v>8.0121254085318852E-2</c:v>
                </c:pt>
                <c:pt idx="20">
                  <c:v>7.9823288218998437E-2</c:v>
                </c:pt>
                <c:pt idx="21">
                  <c:v>7.9508246867008706E-2</c:v>
                </c:pt>
                <c:pt idx="22">
                  <c:v>7.9243397555934583E-2</c:v>
                </c:pt>
                <c:pt idx="23">
                  <c:v>7.8977233096885341E-2</c:v>
                </c:pt>
                <c:pt idx="24">
                  <c:v>7.8727143515791298E-2</c:v>
                </c:pt>
                <c:pt idx="25">
                  <c:v>7.8476724301488526E-2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8.8669192078328768E-2</c:v>
                </c:pt>
                <c:pt idx="1">
                  <c:v>8.2356832425551918E-2</c:v>
                </c:pt>
                <c:pt idx="2">
                  <c:v>8.2942698670467024E-2</c:v>
                </c:pt>
                <c:pt idx="3">
                  <c:v>8.524875344078324E-2</c:v>
                </c:pt>
                <c:pt idx="4">
                  <c:v>8.0366900245385994E-2</c:v>
                </c:pt>
                <c:pt idx="5">
                  <c:v>8.3221889859646028E-2</c:v>
                </c:pt>
                <c:pt idx="6">
                  <c:v>8.4677398720476901E-2</c:v>
                </c:pt>
                <c:pt idx="7">
                  <c:v>8.5312739652715491E-2</c:v>
                </c:pt>
                <c:pt idx="8">
                  <c:v>8.5658820301119196E-2</c:v>
                </c:pt>
                <c:pt idx="9">
                  <c:v>8.3179986684612531E-2</c:v>
                </c:pt>
                <c:pt idx="10">
                  <c:v>7.8256687277380749E-2</c:v>
                </c:pt>
                <c:pt idx="11">
                  <c:v>8.7593784168548475E-2</c:v>
                </c:pt>
                <c:pt idx="12">
                  <c:v>8.701915285288396E-2</c:v>
                </c:pt>
                <c:pt idx="13">
                  <c:v>8.6591499098219865E-2</c:v>
                </c:pt>
                <c:pt idx="14">
                  <c:v>8.6181564547740244E-2</c:v>
                </c:pt>
                <c:pt idx="15">
                  <c:v>8.5855517371330348E-2</c:v>
                </c:pt>
                <c:pt idx="16">
                  <c:v>8.5526395065774613E-2</c:v>
                </c:pt>
                <c:pt idx="17">
                  <c:v>8.5126734625638051E-2</c:v>
                </c:pt>
                <c:pt idx="18">
                  <c:v>8.4811572407907057E-2</c:v>
                </c:pt>
                <c:pt idx="19">
                  <c:v>8.4505810698928638E-2</c:v>
                </c:pt>
                <c:pt idx="20">
                  <c:v>8.4195516855750385E-2</c:v>
                </c:pt>
                <c:pt idx="21">
                  <c:v>8.3873791617778318E-2</c:v>
                </c:pt>
                <c:pt idx="22">
                  <c:v>8.3493101439290784E-2</c:v>
                </c:pt>
                <c:pt idx="23">
                  <c:v>8.3080494985136491E-2</c:v>
                </c:pt>
                <c:pt idx="24">
                  <c:v>8.2614970768876597E-2</c:v>
                </c:pt>
                <c:pt idx="25">
                  <c:v>8.2124822987558022E-2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0.12636581300873068</c:v>
                </c:pt>
                <c:pt idx="1">
                  <c:v>0.12433315827179031</c:v>
                </c:pt>
                <c:pt idx="2">
                  <c:v>0.11983836466939919</c:v>
                </c:pt>
                <c:pt idx="3">
                  <c:v>0.12160628624233237</c:v>
                </c:pt>
                <c:pt idx="4">
                  <c:v>0.12004359784169037</c:v>
                </c:pt>
                <c:pt idx="5">
                  <c:v>0.12399894421483698</c:v>
                </c:pt>
                <c:pt idx="6">
                  <c:v>0.12074782615066713</c:v>
                </c:pt>
                <c:pt idx="7">
                  <c:v>0.11644094988637416</c:v>
                </c:pt>
                <c:pt idx="8">
                  <c:v>0.11460261195910379</c:v>
                </c:pt>
                <c:pt idx="9">
                  <c:v>0.11180143123317282</c:v>
                </c:pt>
                <c:pt idx="10">
                  <c:v>0.10397963120496344</c:v>
                </c:pt>
                <c:pt idx="11">
                  <c:v>0.10329961096615282</c:v>
                </c:pt>
                <c:pt idx="12">
                  <c:v>0.10259754635492679</c:v>
                </c:pt>
                <c:pt idx="13">
                  <c:v>0.10148833741797669</c:v>
                </c:pt>
                <c:pt idx="14">
                  <c:v>0.10045753137089911</c:v>
                </c:pt>
                <c:pt idx="15">
                  <c:v>9.9418598935378716E-2</c:v>
                </c:pt>
                <c:pt idx="16">
                  <c:v>9.8405242041108246E-2</c:v>
                </c:pt>
                <c:pt idx="17">
                  <c:v>9.7424055532639428E-2</c:v>
                </c:pt>
                <c:pt idx="18">
                  <c:v>9.6440601628163397E-2</c:v>
                </c:pt>
                <c:pt idx="19">
                  <c:v>9.549725655501061E-2</c:v>
                </c:pt>
                <c:pt idx="20">
                  <c:v>9.458296210472171E-2</c:v>
                </c:pt>
                <c:pt idx="21">
                  <c:v>9.3724609958118682E-2</c:v>
                </c:pt>
                <c:pt idx="22">
                  <c:v>9.2857332385478983E-2</c:v>
                </c:pt>
                <c:pt idx="23">
                  <c:v>9.2028549924865172E-2</c:v>
                </c:pt>
                <c:pt idx="24">
                  <c:v>9.121219978545933E-2</c:v>
                </c:pt>
                <c:pt idx="25">
                  <c:v>9.0389798152815004E-2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38.43692975019502</c:v>
                </c:pt>
                <c:pt idx="1">
                  <c:v>64.725318746901166</c:v>
                </c:pt>
                <c:pt idx="2">
                  <c:v>23.247119951229195</c:v>
                </c:pt>
                <c:pt idx="3">
                  <c:v>-0.15558155397056339</c:v>
                </c:pt>
                <c:pt idx="4">
                  <c:v>-3.3157127764540917</c:v>
                </c:pt>
                <c:pt idx="5">
                  <c:v>17.10606639953869</c:v>
                </c:pt>
                <c:pt idx="6">
                  <c:v>-6.8344013596382638</c:v>
                </c:pt>
                <c:pt idx="7">
                  <c:v>10.792369602588792</c:v>
                </c:pt>
                <c:pt idx="8">
                  <c:v>-13.109108760812433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70"/>
          <c:min val="-7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10.19506163987279</c:v>
                </c:pt>
                <c:pt idx="1">
                  <c:v>29.249326559305985</c:v>
                </c:pt>
                <c:pt idx="2">
                  <c:v>15.627519411587741</c:v>
                </c:pt>
                <c:pt idx="3">
                  <c:v>9.4053931740020289</c:v>
                </c:pt>
                <c:pt idx="4">
                  <c:v>-20.889291630226552</c:v>
                </c:pt>
                <c:pt idx="5">
                  <c:v>-9.3064852721729494</c:v>
                </c:pt>
                <c:pt idx="6">
                  <c:v>-4.5618228013674411</c:v>
                </c:pt>
                <c:pt idx="7">
                  <c:v>-11.932107785015489</c:v>
                </c:pt>
                <c:pt idx="8">
                  <c:v>-18.93359329645466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70"/>
          <c:min val="-7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5.0341459111584186</c:v>
                </c:pt>
                <c:pt idx="1">
                  <c:v>32.463397162301248</c:v>
                </c:pt>
                <c:pt idx="2">
                  <c:v>-8.9409061337801177</c:v>
                </c:pt>
                <c:pt idx="3">
                  <c:v>-15.28606755945421</c:v>
                </c:pt>
                <c:pt idx="4">
                  <c:v>-5.024691328859376</c:v>
                </c:pt>
                <c:pt idx="5">
                  <c:v>15.793980702306612</c:v>
                </c:pt>
                <c:pt idx="6">
                  <c:v>7.4011812841320079E-2</c:v>
                </c:pt>
                <c:pt idx="7">
                  <c:v>21.580156528824034</c:v>
                </c:pt>
                <c:pt idx="8">
                  <c:v>-7.1320270889756614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70"/>
          <c:min val="-7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29.71350654916705</c:v>
                </c:pt>
                <c:pt idx="1">
                  <c:v>53.922708687978002</c:v>
                </c:pt>
                <c:pt idx="2">
                  <c:v>19.395351909756187</c:v>
                </c:pt>
                <c:pt idx="3">
                  <c:v>-19.913256071693411</c:v>
                </c:pt>
                <c:pt idx="4">
                  <c:v>-14.055698519014982</c:v>
                </c:pt>
                <c:pt idx="5">
                  <c:v>19.512651159011284</c:v>
                </c:pt>
                <c:pt idx="6">
                  <c:v>-1.2250766150146433</c:v>
                </c:pt>
                <c:pt idx="7">
                  <c:v>-3.5375575092250813</c:v>
                </c:pt>
                <c:pt idx="8">
                  <c:v>-15.918629596392492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70"/>
          <c:min val="-7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34.747652460325469</c:v>
                </c:pt>
                <c:pt idx="1">
                  <c:v>86.38610585027925</c:v>
                </c:pt>
                <c:pt idx="2">
                  <c:v>10.454445775976069</c:v>
                </c:pt>
                <c:pt idx="3">
                  <c:v>-35.199323631147621</c:v>
                </c:pt>
                <c:pt idx="4">
                  <c:v>-19.080389847874358</c:v>
                </c:pt>
                <c:pt idx="5">
                  <c:v>35.306631861317896</c:v>
                </c:pt>
                <c:pt idx="6">
                  <c:v>-1.1510648021733232</c:v>
                </c:pt>
                <c:pt idx="7">
                  <c:v>18.042599019598953</c:v>
                </c:pt>
                <c:pt idx="8">
                  <c:v>-23.050656685368153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18.477360036850826</c:v>
                </c:pt>
                <c:pt idx="1">
                  <c:v>48.45523923788727</c:v>
                </c:pt>
                <c:pt idx="2">
                  <c:v>18.478569706069322</c:v>
                </c:pt>
                <c:pt idx="3">
                  <c:v>-36.274775868003417</c:v>
                </c:pt>
                <c:pt idx="4">
                  <c:v>2.989417972045171</c:v>
                </c:pt>
                <c:pt idx="5">
                  <c:v>21.010217748444603</c:v>
                </c:pt>
                <c:pt idx="6">
                  <c:v>-2.6969149070298499</c:v>
                </c:pt>
                <c:pt idx="7">
                  <c:v>10.528176343128223</c:v>
                </c:pt>
                <c:pt idx="8">
                  <c:v>-12.320290269200157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16.270292423474245</c:v>
                </c:pt>
                <c:pt idx="1">
                  <c:v>37.930866612391469</c:v>
                </c:pt>
                <c:pt idx="2">
                  <c:v>-8.024123930093964</c:v>
                </c:pt>
                <c:pt idx="3">
                  <c:v>1.0754522368557176</c:v>
                </c:pt>
                <c:pt idx="4">
                  <c:v>-22.069807819919475</c:v>
                </c:pt>
                <c:pt idx="5">
                  <c:v>14.296414112872831</c:v>
                </c:pt>
                <c:pt idx="6">
                  <c:v>1.5458501048569389</c:v>
                </c:pt>
                <c:pt idx="7">
                  <c:v>7.5144226764703035</c:v>
                </c:pt>
                <c:pt idx="8">
                  <c:v>-10.730366416168323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8.4876307550169514</c:v>
                </c:pt>
                <c:pt idx="1">
                  <c:v>-0.31323563771797325</c:v>
                </c:pt>
                <c:pt idx="2">
                  <c:v>-5.6151595826300138E-2</c:v>
                </c:pt>
                <c:pt idx="3">
                  <c:v>-0.61262251381831057</c:v>
                </c:pt>
                <c:pt idx="4">
                  <c:v>0.69721471539716617</c:v>
                </c:pt>
                <c:pt idx="5">
                  <c:v>3.7419597895791341</c:v>
                </c:pt>
                <c:pt idx="6">
                  <c:v>-1.7495823612378505</c:v>
                </c:pt>
                <c:pt idx="7">
                  <c:v>2.9529118932269292</c:v>
                </c:pt>
                <c:pt idx="8">
                  <c:v>4.0708749576886856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9.9711492438137768</c:v>
                </c:pt>
                <c:pt idx="1">
                  <c:v>19.552141778297951</c:v>
                </c:pt>
                <c:pt idx="2">
                  <c:v>2.7424267114465479</c:v>
                </c:pt>
                <c:pt idx="3">
                  <c:v>-15.139688693248573</c:v>
                </c:pt>
                <c:pt idx="4">
                  <c:v>1.1648437199858996</c:v>
                </c:pt>
                <c:pt idx="5">
                  <c:v>7.6946950126420859</c:v>
                </c:pt>
                <c:pt idx="6">
                  <c:v>2.3224574215884672</c:v>
                </c:pt>
                <c:pt idx="7">
                  <c:v>7.7910219392928788</c:v>
                </c:pt>
                <c:pt idx="8">
                  <c:v>-22.874047139133964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16.288872461494435</c:v>
                </c:pt>
                <c:pt idx="1">
                  <c:v>67.147199709698555</c:v>
                </c:pt>
                <c:pt idx="2">
                  <c:v>7.7681706603553664</c:v>
                </c:pt>
                <c:pt idx="3">
                  <c:v>-19.447012424081379</c:v>
                </c:pt>
                <c:pt idx="4">
                  <c:v>-20.942448283257136</c:v>
                </c:pt>
                <c:pt idx="5">
                  <c:v>23.869977059096669</c:v>
                </c:pt>
                <c:pt idx="6">
                  <c:v>-1.7239398625236646</c:v>
                </c:pt>
                <c:pt idx="7">
                  <c:v>7.2986651870785408</c:v>
                </c:pt>
                <c:pt idx="8">
                  <c:v>-4.2474845039233884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1.8780481538768399</c:v>
                </c:pt>
                <c:pt idx="1">
                  <c:v>2.836830139745107</c:v>
                </c:pt>
                <c:pt idx="2">
                  <c:v>1.3332145306435415</c:v>
                </c:pt>
                <c:pt idx="3">
                  <c:v>-1.0780240021378891</c:v>
                </c:pt>
                <c:pt idx="4">
                  <c:v>1.5259085671988508</c:v>
                </c:pt>
                <c:pt idx="5">
                  <c:v>1.8518998183895441</c:v>
                </c:pt>
                <c:pt idx="6">
                  <c:v>-0.78140395735890467</c:v>
                </c:pt>
                <c:pt idx="7">
                  <c:v>-7.6729421841821299E-2</c:v>
                </c:pt>
                <c:pt idx="8">
                  <c:v>1.0862561735766709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3.4640710558598151</c:v>
                </c:pt>
                <c:pt idx="1">
                  <c:v>13.329618690368491</c:v>
                </c:pt>
                <c:pt idx="2">
                  <c:v>4.902621913386227</c:v>
                </c:pt>
                <c:pt idx="3">
                  <c:v>-14.236738408006943</c:v>
                </c:pt>
                <c:pt idx="4">
                  <c:v>-6.7147803285188878E-2</c:v>
                </c:pt>
                <c:pt idx="5">
                  <c:v>3.9345846036761003</c:v>
                </c:pt>
                <c:pt idx="6">
                  <c:v>7.2011332758251001E-2</c:v>
                </c:pt>
                <c:pt idx="7">
                  <c:v>5.1184786306982826</c:v>
                </c:pt>
                <c:pt idx="8">
                  <c:v>-15.76550002045817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13.135240827114238</c:v>
                </c:pt>
                <c:pt idx="1">
                  <c:v>32.288790407773632</c:v>
                </c:pt>
                <c:pt idx="2">
                  <c:v>12.242733262039479</c:v>
                </c:pt>
                <c:pt idx="3">
                  <c:v>-20.960013457858864</c:v>
                </c:pt>
                <c:pt idx="4">
                  <c:v>1.5306572081315171</c:v>
                </c:pt>
                <c:pt idx="5">
                  <c:v>15.223733326379431</c:v>
                </c:pt>
                <c:pt idx="6">
                  <c:v>-1.9875222824293175</c:v>
                </c:pt>
                <c:pt idx="7">
                  <c:v>5.4864271342717981</c:v>
                </c:pt>
                <c:pt idx="8">
                  <c:v>2.3589535776812234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6.6095826011401364</c:v>
                </c:pt>
                <c:pt idx="1">
                  <c:v>-3.1500657774630731</c:v>
                </c:pt>
                <c:pt idx="2">
                  <c:v>-1.3893661264698363</c:v>
                </c:pt>
                <c:pt idx="3">
                  <c:v>0.46540148831958694</c:v>
                </c:pt>
                <c:pt idx="4">
                  <c:v>-0.82869385180168109</c:v>
                </c:pt>
                <c:pt idx="5">
                  <c:v>1.8900599711895869</c:v>
                </c:pt>
                <c:pt idx="6">
                  <c:v>-0.96817840387894805</c:v>
                </c:pt>
                <c:pt idx="7">
                  <c:v>3.0296413150687869</c:v>
                </c:pt>
                <c:pt idx="8">
                  <c:v>2.9846187841120102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6.5070781879539528</c:v>
                </c:pt>
                <c:pt idx="1">
                  <c:v>6.2225230879294209</c:v>
                </c:pt>
                <c:pt idx="2">
                  <c:v>-2.1601952019396666</c:v>
                </c:pt>
                <c:pt idx="3">
                  <c:v>-0.90295028524156962</c:v>
                </c:pt>
                <c:pt idx="4">
                  <c:v>1.231991523271093</c:v>
                </c:pt>
                <c:pt idx="5">
                  <c:v>3.7601104089660105</c:v>
                </c:pt>
                <c:pt idx="6">
                  <c:v>2.2504460888302518</c:v>
                </c:pt>
                <c:pt idx="7">
                  <c:v>2.6725433085946229</c:v>
                </c:pt>
                <c:pt idx="8">
                  <c:v>-7.1085471186758618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3.1536316343801047</c:v>
                </c:pt>
                <c:pt idx="1">
                  <c:v>34.858409301924667</c:v>
                </c:pt>
                <c:pt idx="2">
                  <c:v>-4.4745626016842124</c:v>
                </c:pt>
                <c:pt idx="3">
                  <c:v>1.5130010337775701</c:v>
                </c:pt>
                <c:pt idx="4">
                  <c:v>-22.473105491388665</c:v>
                </c:pt>
                <c:pt idx="5">
                  <c:v>8.6462437327172772</c:v>
                </c:pt>
                <c:pt idx="6">
                  <c:v>0.26358241990563869</c:v>
                </c:pt>
                <c:pt idx="7">
                  <c:v>1.8122380528068192</c:v>
                </c:pt>
                <c:pt idx="8">
                  <c:v>-6.6064380816047219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162.31088812817188</c:v>
                </c:pt>
                <c:pt idx="1">
                  <c:v>148.84155117711336</c:v>
                </c:pt>
                <c:pt idx="2">
                  <c:v>137.76079576221588</c:v>
                </c:pt>
                <c:pt idx="3">
                  <c:v>129.02621581363692</c:v>
                </c:pt>
                <c:pt idx="4">
                  <c:v>123.57023161101719</c:v>
                </c:pt>
                <c:pt idx="5">
                  <c:v>109.96276343469535</c:v>
                </c:pt>
                <c:pt idx="6">
                  <c:v>107.00724474489135</c:v>
                </c:pt>
                <c:pt idx="7">
                  <c:v>108.34404707041044</c:v>
                </c:pt>
                <c:pt idx="8">
                  <c:v>116.5678176967715</c:v>
                </c:pt>
                <c:pt idx="9">
                  <c:v>103.56678743304919</c:v>
                </c:pt>
                <c:pt idx="10">
                  <c:v>87.159342368740582</c:v>
                </c:pt>
                <c:pt idx="11">
                  <c:v>117.50261968448396</c:v>
                </c:pt>
                <c:pt idx="12">
                  <c:v>93.274612345568428</c:v>
                </c:pt>
                <c:pt idx="13">
                  <c:v>88.949227124357805</c:v>
                </c:pt>
                <c:pt idx="14">
                  <c:v>84.778823324133512</c:v>
                </c:pt>
                <c:pt idx="15">
                  <c:v>82.370055726837549</c:v>
                </c:pt>
                <c:pt idx="16">
                  <c:v>80.083749805857309</c:v>
                </c:pt>
                <c:pt idx="17">
                  <c:v>77.685905948206496</c:v>
                </c:pt>
                <c:pt idx="18">
                  <c:v>75.211770897741062</c:v>
                </c:pt>
                <c:pt idx="19">
                  <c:v>72.657549849423148</c:v>
                </c:pt>
                <c:pt idx="20">
                  <c:v>70.049570038656213</c:v>
                </c:pt>
                <c:pt idx="21">
                  <c:v>67.353329660497295</c:v>
                </c:pt>
                <c:pt idx="22">
                  <c:v>64.574747463541371</c:v>
                </c:pt>
                <c:pt idx="23">
                  <c:v>61.7177881460563</c:v>
                </c:pt>
                <c:pt idx="24">
                  <c:v>58.964761465802873</c:v>
                </c:pt>
                <c:pt idx="25">
                  <c:v>58.945851111039701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366.56691582163899</c:v>
                </c:pt>
                <c:pt idx="1">
                  <c:v>372.5905239288191</c:v>
                </c:pt>
                <c:pt idx="2">
                  <c:v>397.73871952955955</c:v>
                </c:pt>
                <c:pt idx="3">
                  <c:v>338.9265931179574</c:v>
                </c:pt>
                <c:pt idx="4">
                  <c:v>350.91303974576073</c:v>
                </c:pt>
                <c:pt idx="5">
                  <c:v>372.70232854631269</c:v>
                </c:pt>
                <c:pt idx="6">
                  <c:v>343.33939512783371</c:v>
                </c:pt>
                <c:pt idx="7">
                  <c:v>359.84387751132834</c:v>
                </c:pt>
                <c:pt idx="8">
                  <c:v>354.48369277721076</c:v>
                </c:pt>
                <c:pt idx="9">
                  <c:v>324.02911493315139</c:v>
                </c:pt>
                <c:pt idx="10">
                  <c:v>321.22551859382401</c:v>
                </c:pt>
                <c:pt idx="11">
                  <c:v>331.453663408718</c:v>
                </c:pt>
                <c:pt idx="12">
                  <c:v>310.8534300336795</c:v>
                </c:pt>
                <c:pt idx="13">
                  <c:v>301.78981071862978</c:v>
                </c:pt>
                <c:pt idx="14">
                  <c:v>293.1557440651867</c:v>
                </c:pt>
                <c:pt idx="15">
                  <c:v>283.66005633997975</c:v>
                </c:pt>
                <c:pt idx="16">
                  <c:v>273.85226555177951</c:v>
                </c:pt>
                <c:pt idx="17">
                  <c:v>263.82542298529881</c:v>
                </c:pt>
                <c:pt idx="18">
                  <c:v>253.68417756877903</c:v>
                </c:pt>
                <c:pt idx="19">
                  <c:v>243.41593906133073</c:v>
                </c:pt>
                <c:pt idx="20">
                  <c:v>233.09838842797669</c:v>
                </c:pt>
                <c:pt idx="21">
                  <c:v>222.61575070035784</c:v>
                </c:pt>
                <c:pt idx="22">
                  <c:v>211.98234324510784</c:v>
                </c:pt>
                <c:pt idx="23">
                  <c:v>201.20688197249697</c:v>
                </c:pt>
                <c:pt idx="24">
                  <c:v>190.24183064989259</c:v>
                </c:pt>
                <c:pt idx="25">
                  <c:v>178.85291862942279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480.4049223673926</c:v>
                </c:pt>
                <c:pt idx="1">
                  <c:v>486.53994616901355</c:v>
                </c:pt>
                <c:pt idx="2">
                  <c:v>502.9873429962704</c:v>
                </c:pt>
                <c:pt idx="3">
                  <c:v>501.42287985351891</c:v>
                </c:pt>
                <c:pt idx="4">
                  <c:v>516.45122437190116</c:v>
                </c:pt>
                <c:pt idx="5">
                  <c:v>502.40734819505462</c:v>
                </c:pt>
                <c:pt idx="6">
                  <c:v>542.35850417989809</c:v>
                </c:pt>
                <c:pt idx="7">
                  <c:v>498.55478498107499</c:v>
                </c:pt>
                <c:pt idx="8">
                  <c:v>482.54334449083126</c:v>
                </c:pt>
                <c:pt idx="9">
                  <c:v>520.14831394457178</c:v>
                </c:pt>
                <c:pt idx="10">
                  <c:v>497.2538673909786</c:v>
                </c:pt>
                <c:pt idx="11">
                  <c:v>480.00425605604659</c:v>
                </c:pt>
                <c:pt idx="12">
                  <c:v>480.96459571872259</c:v>
                </c:pt>
                <c:pt idx="13">
                  <c:v>474.28288967065924</c:v>
                </c:pt>
                <c:pt idx="14">
                  <c:v>468.45186965217198</c:v>
                </c:pt>
                <c:pt idx="15">
                  <c:v>461.39481487496096</c:v>
                </c:pt>
                <c:pt idx="16">
                  <c:v>453.9908570692819</c:v>
                </c:pt>
                <c:pt idx="17">
                  <c:v>446.3973597089136</c:v>
                </c:pt>
                <c:pt idx="18">
                  <c:v>438.78841053309719</c:v>
                </c:pt>
                <c:pt idx="19">
                  <c:v>431.15236773944719</c:v>
                </c:pt>
                <c:pt idx="20">
                  <c:v>423.63710798525221</c:v>
                </c:pt>
                <c:pt idx="21">
                  <c:v>416.05006909407717</c:v>
                </c:pt>
                <c:pt idx="22">
                  <c:v>408.42545975702598</c:v>
                </c:pt>
                <c:pt idx="23">
                  <c:v>400.79223079873952</c:v>
                </c:pt>
                <c:pt idx="24">
                  <c:v>393.06963331766144</c:v>
                </c:pt>
                <c:pt idx="25">
                  <c:v>384.7990369156671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455.81424743003441</c:v>
                </c:pt>
                <c:pt idx="1">
                  <c:v>475.12642344234263</c:v>
                </c:pt>
                <c:pt idx="2">
                  <c:v>499.85349844805262</c:v>
                </c:pt>
                <c:pt idx="3">
                  <c:v>448.38426144247865</c:v>
                </c:pt>
                <c:pt idx="4">
                  <c:v>477.02122259703742</c:v>
                </c:pt>
                <c:pt idx="5">
                  <c:v>484.45172860631641</c:v>
                </c:pt>
                <c:pt idx="6">
                  <c:v>511.70867676806438</c:v>
                </c:pt>
                <c:pt idx="7">
                  <c:v>521.49325019172636</c:v>
                </c:pt>
                <c:pt idx="8">
                  <c:v>497.12471051454304</c:v>
                </c:pt>
                <c:pt idx="9">
                  <c:v>544.17211461117711</c:v>
                </c:pt>
                <c:pt idx="10">
                  <c:v>534.71951434715538</c:v>
                </c:pt>
                <c:pt idx="11">
                  <c:v>525.3357155144663</c:v>
                </c:pt>
                <c:pt idx="12">
                  <c:v>533.63586382546464</c:v>
                </c:pt>
                <c:pt idx="13">
                  <c:v>536.90723032643962</c:v>
                </c:pt>
                <c:pt idx="14">
                  <c:v>541.23232679199987</c:v>
                </c:pt>
                <c:pt idx="15">
                  <c:v>544.25280129793941</c:v>
                </c:pt>
                <c:pt idx="16">
                  <c:v>546.92615244110937</c:v>
                </c:pt>
                <c:pt idx="17">
                  <c:v>549.41800003465289</c:v>
                </c:pt>
                <c:pt idx="18">
                  <c:v>551.94001979361337</c:v>
                </c:pt>
                <c:pt idx="19">
                  <c:v>554.48087715101758</c:v>
                </c:pt>
                <c:pt idx="20">
                  <c:v>557.23915263048082</c:v>
                </c:pt>
                <c:pt idx="21">
                  <c:v>559.97310307667726</c:v>
                </c:pt>
                <c:pt idx="22">
                  <c:v>562.73097465484295</c:v>
                </c:pt>
                <c:pt idx="23">
                  <c:v>565.55872748324794</c:v>
                </c:pt>
                <c:pt idx="24">
                  <c:v>568.34967318100246</c:v>
                </c:pt>
                <c:pt idx="25">
                  <c:v>570.45544529511574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102.07449924558556</c:v>
                </c:pt>
                <c:pt idx="1">
                  <c:v>109.11661434083544</c:v>
                </c:pt>
                <c:pt idx="2">
                  <c:v>100.86638572624676</c:v>
                </c:pt>
                <c:pt idx="3">
                  <c:v>112.98889993984982</c:v>
                </c:pt>
                <c:pt idx="4">
                  <c:v>112.16518311080981</c:v>
                </c:pt>
                <c:pt idx="5">
                  <c:v>116.80027616033009</c:v>
                </c:pt>
                <c:pt idx="6">
                  <c:v>119.42303839213146</c:v>
                </c:pt>
                <c:pt idx="7">
                  <c:v>127.37318883873948</c:v>
                </c:pt>
                <c:pt idx="8">
                  <c:v>126.74786926200659</c:v>
                </c:pt>
                <c:pt idx="9">
                  <c:v>119.52488795776786</c:v>
                </c:pt>
                <c:pt idx="10">
                  <c:v>134.6398436011055</c:v>
                </c:pt>
                <c:pt idx="11">
                  <c:v>130.48695197056071</c:v>
                </c:pt>
                <c:pt idx="12">
                  <c:v>134.60103674433097</c:v>
                </c:pt>
                <c:pt idx="13">
                  <c:v>136.96190885508176</c:v>
                </c:pt>
                <c:pt idx="14">
                  <c:v>139.62943210497832</c:v>
                </c:pt>
                <c:pt idx="15">
                  <c:v>142.04375859989213</c:v>
                </c:pt>
                <c:pt idx="16">
                  <c:v>144.49726421697696</c:v>
                </c:pt>
                <c:pt idx="17">
                  <c:v>146.99662880689183</c:v>
                </c:pt>
                <c:pt idx="18">
                  <c:v>149.47175015893137</c:v>
                </c:pt>
                <c:pt idx="19">
                  <c:v>152.02863742861635</c:v>
                </c:pt>
                <c:pt idx="20">
                  <c:v>154.70874770667041</c:v>
                </c:pt>
                <c:pt idx="21" formatCode="General">
                  <c:v>157.44208928942481</c:v>
                </c:pt>
                <c:pt idx="22" formatCode="General">
                  <c:v>160.26447455505772</c:v>
                </c:pt>
                <c:pt idx="23" formatCode="General">
                  <c:v>163.18838916587086</c:v>
                </c:pt>
                <c:pt idx="24" formatCode="General">
                  <c:v>166.22362317220706</c:v>
                </c:pt>
                <c:pt idx="25">
                  <c:v>169.1353923922178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117.46270886764465</c:v>
                </c:pt>
                <c:pt idx="1">
                  <c:v>124.82906723701728</c:v>
                </c:pt>
                <c:pt idx="2">
                  <c:v>113.85611233358745</c:v>
                </c:pt>
                <c:pt idx="3">
                  <c:v>124.40578346809208</c:v>
                </c:pt>
                <c:pt idx="4">
                  <c:v>119.68081376735634</c:v>
                </c:pt>
                <c:pt idx="5">
                  <c:v>123.06624477321419</c:v>
                </c:pt>
                <c:pt idx="6">
                  <c:v>125.50390238963386</c:v>
                </c:pt>
                <c:pt idx="7">
                  <c:v>128.84200866402895</c:v>
                </c:pt>
                <c:pt idx="8">
                  <c:v>126.86220953544282</c:v>
                </c:pt>
                <c:pt idx="9">
                  <c:v>121.45388502029206</c:v>
                </c:pt>
                <c:pt idx="10">
                  <c:v>128.11968402111813</c:v>
                </c:pt>
                <c:pt idx="11">
                  <c:v>123.46754517144937</c:v>
                </c:pt>
                <c:pt idx="12">
                  <c:v>126.78549358147144</c:v>
                </c:pt>
                <c:pt idx="13">
                  <c:v>128.3029163125002</c:v>
                </c:pt>
                <c:pt idx="14">
                  <c:v>130.21415435857804</c:v>
                </c:pt>
                <c:pt idx="15">
                  <c:v>131.79415220350802</c:v>
                </c:pt>
                <c:pt idx="16">
                  <c:v>133.35762305252953</c:v>
                </c:pt>
                <c:pt idx="17">
                  <c:v>135.13996652156936</c:v>
                </c:pt>
                <c:pt idx="18">
                  <c:v>136.98197528210105</c:v>
                </c:pt>
                <c:pt idx="19">
                  <c:v>138.87822078450307</c:v>
                </c:pt>
                <c:pt idx="20">
                  <c:v>140.93297008647085</c:v>
                </c:pt>
                <c:pt idx="21" formatCode="General">
                  <c:v>143.11424818024349</c:v>
                </c:pt>
                <c:pt idx="22" formatCode="General">
                  <c:v>145.34839034878485</c:v>
                </c:pt>
                <c:pt idx="23" formatCode="General">
                  <c:v>147.66771373304573</c:v>
                </c:pt>
                <c:pt idx="24" formatCode="General">
                  <c:v>150.01855549252494</c:v>
                </c:pt>
                <c:pt idx="25">
                  <c:v>152.52117230598648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300.46929334409128</c:v>
                </c:pt>
                <c:pt idx="1">
                  <c:v>331.21043821373985</c:v>
                </c:pt>
                <c:pt idx="2">
                  <c:v>316.65922468222465</c:v>
                </c:pt>
                <c:pt idx="3">
                  <c:v>351.53804807912104</c:v>
                </c:pt>
                <c:pt idx="4">
                  <c:v>365.11476674636498</c:v>
                </c:pt>
                <c:pt idx="5">
                  <c:v>380.75669432289305</c:v>
                </c:pt>
                <c:pt idx="6">
                  <c:v>392.34728075470377</c:v>
                </c:pt>
                <c:pt idx="7">
                  <c:v>421.27490041891372</c:v>
                </c:pt>
                <c:pt idx="8">
                  <c:v>418.95246892645827</c:v>
                </c:pt>
                <c:pt idx="9">
                  <c:v>412.00306056156444</c:v>
                </c:pt>
                <c:pt idx="10">
                  <c:v>457.17129301962717</c:v>
                </c:pt>
                <c:pt idx="11">
                  <c:v>453.48991784898158</c:v>
                </c:pt>
                <c:pt idx="12">
                  <c:v>467.93056831130673</c:v>
                </c:pt>
                <c:pt idx="13">
                  <c:v>478.63736258975337</c:v>
                </c:pt>
                <c:pt idx="14">
                  <c:v>490.40672469670653</c:v>
                </c:pt>
                <c:pt idx="15">
                  <c:v>501.05228278538124</c:v>
                </c:pt>
                <c:pt idx="16">
                  <c:v>511.36867308784809</c:v>
                </c:pt>
                <c:pt idx="17">
                  <c:v>521.40266213553889</c:v>
                </c:pt>
                <c:pt idx="18">
                  <c:v>531.66599586230859</c:v>
                </c:pt>
                <c:pt idx="19">
                  <c:v>542.06111504559715</c:v>
                </c:pt>
                <c:pt idx="20">
                  <c:v>552.73409331121286</c:v>
                </c:pt>
                <c:pt idx="21" formatCode="General">
                  <c:v>563.44778638877256</c:v>
                </c:pt>
                <c:pt idx="22" formatCode="General">
                  <c:v>574.31767779365862</c:v>
                </c:pt>
                <c:pt idx="23" formatCode="General">
                  <c:v>585.38483167122661</c:v>
                </c:pt>
                <c:pt idx="24" formatCode="General">
                  <c:v>596.54687852789516</c:v>
                </c:pt>
                <c:pt idx="25" formatCode="General">
                  <c:v>607.10599253045552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136.53421101345532</c:v>
                </c:pt>
                <c:pt idx="1">
                  <c:v>118.88320387931444</c:v>
                </c:pt>
                <c:pt idx="2">
                  <c:v>114.70949875880163</c:v>
                </c:pt>
                <c:pt idx="3">
                  <c:v>146.88488710215458</c:v>
                </c:pt>
                <c:pt idx="4">
                  <c:v>149.92538001472244</c:v>
                </c:pt>
                <c:pt idx="5">
                  <c:v>160.42965103922151</c:v>
                </c:pt>
                <c:pt idx="6">
                  <c:v>166.06844399713421</c:v>
                </c:pt>
                <c:pt idx="7">
                  <c:v>164.71474544836417</c:v>
                </c:pt>
                <c:pt idx="8">
                  <c:v>187.51472265651461</c:v>
                </c:pt>
                <c:pt idx="9">
                  <c:v>227.87188562348908</c:v>
                </c:pt>
                <c:pt idx="10">
                  <c:v>212.99487870195154</c:v>
                </c:pt>
                <c:pt idx="11">
                  <c:v>214.75707792291431</c:v>
                </c:pt>
                <c:pt idx="12">
                  <c:v>230.68905003649269</c:v>
                </c:pt>
                <c:pt idx="13">
                  <c:v>239.96359805351261</c:v>
                </c:pt>
                <c:pt idx="14">
                  <c:v>249.66487030381137</c:v>
                </c:pt>
                <c:pt idx="15">
                  <c:v>258.63593530804212</c:v>
                </c:pt>
                <c:pt idx="16">
                  <c:v>267.32389475275772</c:v>
                </c:pt>
                <c:pt idx="17">
                  <c:v>275.82253910011252</c:v>
                </c:pt>
                <c:pt idx="18">
                  <c:v>284.18500426771971</c:v>
                </c:pt>
                <c:pt idx="19">
                  <c:v>292.44456680891204</c:v>
                </c:pt>
                <c:pt idx="20">
                  <c:v>300.69871213172632</c:v>
                </c:pt>
                <c:pt idx="21" formatCode="General">
                  <c:v>308.83135048485775</c:v>
                </c:pt>
                <c:pt idx="22" formatCode="General">
                  <c:v>316.86284160893501</c:v>
                </c:pt>
                <c:pt idx="23" formatCode="General">
                  <c:v>324.82526621917901</c:v>
                </c:pt>
                <c:pt idx="24" formatCode="General">
                  <c:v>332.64539844070219</c:v>
                </c:pt>
                <c:pt idx="25" formatCode="General">
                  <c:v>340.01785069760598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19.581313781377684</c:v>
                </c:pt>
                <c:pt idx="1">
                  <c:v>17.92223160963443</c:v>
                </c:pt>
                <c:pt idx="2">
                  <c:v>17.016421760978684</c:v>
                </c:pt>
                <c:pt idx="3">
                  <c:v>21.842431180342476</c:v>
                </c:pt>
                <c:pt idx="4">
                  <c:v>21.767138034267056</c:v>
                </c:pt>
                <c:pt idx="5">
                  <c:v>23.913964921187709</c:v>
                </c:pt>
                <c:pt idx="6">
                  <c:v>25.115513644099455</c:v>
                </c:pt>
                <c:pt idx="7">
                  <c:v>24.340196875052218</c:v>
                </c:pt>
                <c:pt idx="8">
                  <c:v>26.529164140353927</c:v>
                </c:pt>
                <c:pt idx="9">
                  <c:v>32.613949913739575</c:v>
                </c:pt>
                <c:pt idx="10">
                  <c:v>30.954057953835946</c:v>
                </c:pt>
                <c:pt idx="11">
                  <c:v>32.053252419216484</c:v>
                </c:pt>
                <c:pt idx="12">
                  <c:v>33.715349404166972</c:v>
                </c:pt>
                <c:pt idx="13">
                  <c:v>35.015056350274044</c:v>
                </c:pt>
                <c:pt idx="14">
                  <c:v>36.357054703454438</c:v>
                </c:pt>
                <c:pt idx="15">
                  <c:v>37.59614286816042</c:v>
                </c:pt>
                <c:pt idx="16">
                  <c:v>38.790520026017305</c:v>
                </c:pt>
                <c:pt idx="17">
                  <c:v>39.947514763386629</c:v>
                </c:pt>
                <c:pt idx="18">
                  <c:v>41.119895639643872</c:v>
                </c:pt>
                <c:pt idx="19">
                  <c:v>42.27272613588714</c:v>
                </c:pt>
                <c:pt idx="20">
                  <c:v>43.424257686493469</c:v>
                </c:pt>
                <c:pt idx="21" formatCode="General">
                  <c:v>44.551273129347805</c:v>
                </c:pt>
                <c:pt idx="22" formatCode="General">
                  <c:v>45.661090577777706</c:v>
                </c:pt>
                <c:pt idx="23" formatCode="General">
                  <c:v>46.753170815195411</c:v>
                </c:pt>
                <c:pt idx="24" formatCode="General">
                  <c:v>47.835645756931605</c:v>
                </c:pt>
                <c:pt idx="25" formatCode="General">
                  <c:v>48.860340121758895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162.31088812817188</c:v>
                </c:pt>
                <c:pt idx="1">
                  <c:v>148.84155117711336</c:v>
                </c:pt>
                <c:pt idx="2">
                  <c:v>137.76079576221588</c:v>
                </c:pt>
                <c:pt idx="3">
                  <c:v>129.02621581363692</c:v>
                </c:pt>
                <c:pt idx="4">
                  <c:v>123.57023161101719</c:v>
                </c:pt>
                <c:pt idx="5">
                  <c:v>109.96276343469535</c:v>
                </c:pt>
                <c:pt idx="6">
                  <c:v>107.00724474489135</c:v>
                </c:pt>
                <c:pt idx="7">
                  <c:v>108.34404707041044</c:v>
                </c:pt>
                <c:pt idx="8">
                  <c:v>116.5678176967715</c:v>
                </c:pt>
                <c:pt idx="9">
                  <c:v>103.56678743304919</c:v>
                </c:pt>
                <c:pt idx="10">
                  <c:v>87.159342368740582</c:v>
                </c:pt>
                <c:pt idx="11">
                  <c:v>117.50261968448396</c:v>
                </c:pt>
                <c:pt idx="12">
                  <c:v>93.274612345568428</c:v>
                </c:pt>
                <c:pt idx="13">
                  <c:v>88.949227124357805</c:v>
                </c:pt>
                <c:pt idx="14">
                  <c:v>84.778823324133512</c:v>
                </c:pt>
                <c:pt idx="15">
                  <c:v>82.370055726837549</c:v>
                </c:pt>
                <c:pt idx="16">
                  <c:v>80.083749805857309</c:v>
                </c:pt>
                <c:pt idx="17">
                  <c:v>77.685905948206496</c:v>
                </c:pt>
                <c:pt idx="18">
                  <c:v>75.211770897741062</c:v>
                </c:pt>
                <c:pt idx="19">
                  <c:v>72.657549849423148</c:v>
                </c:pt>
                <c:pt idx="20">
                  <c:v>70.049570038656213</c:v>
                </c:pt>
                <c:pt idx="21">
                  <c:v>67.353329660497295</c:v>
                </c:pt>
                <c:pt idx="22">
                  <c:v>64.574747463541371</c:v>
                </c:pt>
                <c:pt idx="23">
                  <c:v>61.7177881460563</c:v>
                </c:pt>
                <c:pt idx="24">
                  <c:v>58.964761465802873</c:v>
                </c:pt>
                <c:pt idx="25">
                  <c:v>58.945851111039701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366.56691582163899</c:v>
                </c:pt>
                <c:pt idx="1">
                  <c:v>372.5905239288191</c:v>
                </c:pt>
                <c:pt idx="2">
                  <c:v>397.73871952955955</c:v>
                </c:pt>
                <c:pt idx="3">
                  <c:v>338.9265931179574</c:v>
                </c:pt>
                <c:pt idx="4">
                  <c:v>350.91303974576073</c:v>
                </c:pt>
                <c:pt idx="5">
                  <c:v>372.70232854631269</c:v>
                </c:pt>
                <c:pt idx="6">
                  <c:v>343.33939512783371</c:v>
                </c:pt>
                <c:pt idx="7">
                  <c:v>359.84387751132834</c:v>
                </c:pt>
                <c:pt idx="8">
                  <c:v>354.48369277721076</c:v>
                </c:pt>
                <c:pt idx="9">
                  <c:v>324.02911493315139</c:v>
                </c:pt>
                <c:pt idx="10">
                  <c:v>321.22551859382401</c:v>
                </c:pt>
                <c:pt idx="11">
                  <c:v>331.453663408718</c:v>
                </c:pt>
                <c:pt idx="12">
                  <c:v>310.8534300336795</c:v>
                </c:pt>
                <c:pt idx="13">
                  <c:v>301.78981071862978</c:v>
                </c:pt>
                <c:pt idx="14">
                  <c:v>293.1557440651867</c:v>
                </c:pt>
                <c:pt idx="15">
                  <c:v>283.66005633997975</c:v>
                </c:pt>
                <c:pt idx="16">
                  <c:v>273.85226555177951</c:v>
                </c:pt>
                <c:pt idx="17">
                  <c:v>263.82542298529881</c:v>
                </c:pt>
                <c:pt idx="18">
                  <c:v>253.68417756877903</c:v>
                </c:pt>
                <c:pt idx="19">
                  <c:v>243.41593906133073</c:v>
                </c:pt>
                <c:pt idx="20">
                  <c:v>233.09838842797669</c:v>
                </c:pt>
                <c:pt idx="21">
                  <c:v>222.61575070035784</c:v>
                </c:pt>
                <c:pt idx="22">
                  <c:v>211.98234324510784</c:v>
                </c:pt>
                <c:pt idx="23">
                  <c:v>201.20688197249697</c:v>
                </c:pt>
                <c:pt idx="24">
                  <c:v>190.24183064989259</c:v>
                </c:pt>
                <c:pt idx="25">
                  <c:v>178.85291862942279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480.4049223673926</c:v>
                </c:pt>
                <c:pt idx="1">
                  <c:v>486.53994616901355</c:v>
                </c:pt>
                <c:pt idx="2">
                  <c:v>502.9873429962704</c:v>
                </c:pt>
                <c:pt idx="3">
                  <c:v>501.42287985351891</c:v>
                </c:pt>
                <c:pt idx="4">
                  <c:v>516.45122437190116</c:v>
                </c:pt>
                <c:pt idx="5">
                  <c:v>502.40734819505462</c:v>
                </c:pt>
                <c:pt idx="6">
                  <c:v>542.35850417989809</c:v>
                </c:pt>
                <c:pt idx="7">
                  <c:v>498.55478498107499</c:v>
                </c:pt>
                <c:pt idx="8">
                  <c:v>482.54334449083126</c:v>
                </c:pt>
                <c:pt idx="9">
                  <c:v>520.14831394457178</c:v>
                </c:pt>
                <c:pt idx="10">
                  <c:v>497.2538673909786</c:v>
                </c:pt>
                <c:pt idx="11">
                  <c:v>480.00425605604659</c:v>
                </c:pt>
                <c:pt idx="12">
                  <c:v>480.96459571872259</c:v>
                </c:pt>
                <c:pt idx="13">
                  <c:v>474.28288967065924</c:v>
                </c:pt>
                <c:pt idx="14">
                  <c:v>468.45186965217198</c:v>
                </c:pt>
                <c:pt idx="15">
                  <c:v>461.39481487496096</c:v>
                </c:pt>
                <c:pt idx="16">
                  <c:v>453.9908570692819</c:v>
                </c:pt>
                <c:pt idx="17">
                  <c:v>446.3973597089136</c:v>
                </c:pt>
                <c:pt idx="18">
                  <c:v>438.78841053309719</c:v>
                </c:pt>
                <c:pt idx="19">
                  <c:v>431.15236773944719</c:v>
                </c:pt>
                <c:pt idx="20">
                  <c:v>423.63710798525221</c:v>
                </c:pt>
                <c:pt idx="21">
                  <c:v>416.05006909407717</c:v>
                </c:pt>
                <c:pt idx="22">
                  <c:v>408.42545975702598</c:v>
                </c:pt>
                <c:pt idx="23">
                  <c:v>400.79223079873952</c:v>
                </c:pt>
                <c:pt idx="24">
                  <c:v>393.06963331766144</c:v>
                </c:pt>
                <c:pt idx="25">
                  <c:v>384.7990369156671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455.81424743003441</c:v>
                </c:pt>
                <c:pt idx="1">
                  <c:v>475.12642344234263</c:v>
                </c:pt>
                <c:pt idx="2">
                  <c:v>499.85349844805262</c:v>
                </c:pt>
                <c:pt idx="3">
                  <c:v>448.38426144247865</c:v>
                </c:pt>
                <c:pt idx="4">
                  <c:v>477.02122259703742</c:v>
                </c:pt>
                <c:pt idx="5">
                  <c:v>484.45172860631641</c:v>
                </c:pt>
                <c:pt idx="6">
                  <c:v>511.70867676806438</c:v>
                </c:pt>
                <c:pt idx="7">
                  <c:v>521.49325019172636</c:v>
                </c:pt>
                <c:pt idx="8">
                  <c:v>497.12471051454304</c:v>
                </c:pt>
                <c:pt idx="9">
                  <c:v>544.17211461117711</c:v>
                </c:pt>
                <c:pt idx="10">
                  <c:v>534.71951434715538</c:v>
                </c:pt>
                <c:pt idx="11">
                  <c:v>525.3357155144663</c:v>
                </c:pt>
                <c:pt idx="12">
                  <c:v>533.63586382546464</c:v>
                </c:pt>
                <c:pt idx="13">
                  <c:v>536.90723032643962</c:v>
                </c:pt>
                <c:pt idx="14">
                  <c:v>541.23232679199987</c:v>
                </c:pt>
                <c:pt idx="15">
                  <c:v>544.25280129793941</c:v>
                </c:pt>
                <c:pt idx="16">
                  <c:v>546.92615244110937</c:v>
                </c:pt>
                <c:pt idx="17">
                  <c:v>549.41800003465289</c:v>
                </c:pt>
                <c:pt idx="18">
                  <c:v>551.94001979361337</c:v>
                </c:pt>
                <c:pt idx="19">
                  <c:v>554.48087715101758</c:v>
                </c:pt>
                <c:pt idx="20">
                  <c:v>557.23915263048082</c:v>
                </c:pt>
                <c:pt idx="21">
                  <c:v>559.97310307667726</c:v>
                </c:pt>
                <c:pt idx="22">
                  <c:v>562.73097465484295</c:v>
                </c:pt>
                <c:pt idx="23">
                  <c:v>565.55872748324794</c:v>
                </c:pt>
                <c:pt idx="24">
                  <c:v>568.34967318100246</c:v>
                </c:pt>
                <c:pt idx="25">
                  <c:v>570.45544529511574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102.07449924558556</c:v>
                </c:pt>
                <c:pt idx="1">
                  <c:v>109.11661434083544</c:v>
                </c:pt>
                <c:pt idx="2">
                  <c:v>100.86638572624676</c:v>
                </c:pt>
                <c:pt idx="3">
                  <c:v>112.98889993984982</c:v>
                </c:pt>
                <c:pt idx="4">
                  <c:v>112.16518311080981</c:v>
                </c:pt>
                <c:pt idx="5">
                  <c:v>116.80027616033009</c:v>
                </c:pt>
                <c:pt idx="6">
                  <c:v>119.42303839213146</c:v>
                </c:pt>
                <c:pt idx="7">
                  <c:v>127.37318883873948</c:v>
                </c:pt>
                <c:pt idx="8">
                  <c:v>126.74786926200659</c:v>
                </c:pt>
                <c:pt idx="9">
                  <c:v>119.52488795776786</c:v>
                </c:pt>
                <c:pt idx="10">
                  <c:v>134.6398436011055</c:v>
                </c:pt>
                <c:pt idx="11">
                  <c:v>130.48695197056071</c:v>
                </c:pt>
                <c:pt idx="12">
                  <c:v>134.60103674433097</c:v>
                </c:pt>
                <c:pt idx="13">
                  <c:v>136.96190885508176</c:v>
                </c:pt>
                <c:pt idx="14">
                  <c:v>139.62943210497832</c:v>
                </c:pt>
                <c:pt idx="15">
                  <c:v>142.04375859989213</c:v>
                </c:pt>
                <c:pt idx="16">
                  <c:v>144.49726421697696</c:v>
                </c:pt>
                <c:pt idx="17">
                  <c:v>146.99662880689183</c:v>
                </c:pt>
                <c:pt idx="18">
                  <c:v>149.47175015893137</c:v>
                </c:pt>
                <c:pt idx="19">
                  <c:v>152.02863742861635</c:v>
                </c:pt>
                <c:pt idx="20">
                  <c:v>154.70874770667041</c:v>
                </c:pt>
                <c:pt idx="21" formatCode="General">
                  <c:v>157.44208928942481</c:v>
                </c:pt>
                <c:pt idx="22" formatCode="General">
                  <c:v>160.26447455505772</c:v>
                </c:pt>
                <c:pt idx="23" formatCode="General">
                  <c:v>163.18838916587086</c:v>
                </c:pt>
                <c:pt idx="24" formatCode="General">
                  <c:v>166.22362317220706</c:v>
                </c:pt>
                <c:pt idx="25">
                  <c:v>169.1353923922178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117.46270886764465</c:v>
                </c:pt>
                <c:pt idx="1">
                  <c:v>124.82906723701728</c:v>
                </c:pt>
                <c:pt idx="2">
                  <c:v>113.85611233358745</c:v>
                </c:pt>
                <c:pt idx="3">
                  <c:v>124.40578346809208</c:v>
                </c:pt>
                <c:pt idx="4">
                  <c:v>119.68081376735634</c:v>
                </c:pt>
                <c:pt idx="5">
                  <c:v>123.06624477321419</c:v>
                </c:pt>
                <c:pt idx="6">
                  <c:v>125.50390238963386</c:v>
                </c:pt>
                <c:pt idx="7">
                  <c:v>128.84200866402895</c:v>
                </c:pt>
                <c:pt idx="8">
                  <c:v>126.86220953544282</c:v>
                </c:pt>
                <c:pt idx="9">
                  <c:v>121.45388502029206</c:v>
                </c:pt>
                <c:pt idx="10">
                  <c:v>128.11968402111813</c:v>
                </c:pt>
                <c:pt idx="11">
                  <c:v>123.46754517144937</c:v>
                </c:pt>
                <c:pt idx="12">
                  <c:v>126.78549358147144</c:v>
                </c:pt>
                <c:pt idx="13">
                  <c:v>128.3029163125002</c:v>
                </c:pt>
                <c:pt idx="14">
                  <c:v>130.21415435857804</c:v>
                </c:pt>
                <c:pt idx="15">
                  <c:v>131.79415220350802</c:v>
                </c:pt>
                <c:pt idx="16">
                  <c:v>133.35762305252953</c:v>
                </c:pt>
                <c:pt idx="17">
                  <c:v>135.13996652156936</c:v>
                </c:pt>
                <c:pt idx="18">
                  <c:v>136.98197528210105</c:v>
                </c:pt>
                <c:pt idx="19">
                  <c:v>138.87822078450307</c:v>
                </c:pt>
                <c:pt idx="20">
                  <c:v>140.93297008647085</c:v>
                </c:pt>
                <c:pt idx="21" formatCode="General">
                  <c:v>143.11424818024349</c:v>
                </c:pt>
                <c:pt idx="22" formatCode="General">
                  <c:v>145.34839034878485</c:v>
                </c:pt>
                <c:pt idx="23" formatCode="General">
                  <c:v>147.66771373304573</c:v>
                </c:pt>
                <c:pt idx="24" formatCode="General">
                  <c:v>150.01855549252494</c:v>
                </c:pt>
                <c:pt idx="25">
                  <c:v>152.52117230598648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300.46929334409128</c:v>
                </c:pt>
                <c:pt idx="1">
                  <c:v>331.21043821373985</c:v>
                </c:pt>
                <c:pt idx="2">
                  <c:v>316.65922468222465</c:v>
                </c:pt>
                <c:pt idx="3">
                  <c:v>351.53804807912104</c:v>
                </c:pt>
                <c:pt idx="4">
                  <c:v>365.11476674636498</c:v>
                </c:pt>
                <c:pt idx="5">
                  <c:v>380.75669432289305</c:v>
                </c:pt>
                <c:pt idx="6">
                  <c:v>392.34728075470377</c:v>
                </c:pt>
                <c:pt idx="7">
                  <c:v>421.27490041891372</c:v>
                </c:pt>
                <c:pt idx="8">
                  <c:v>418.95246892645827</c:v>
                </c:pt>
                <c:pt idx="9">
                  <c:v>412.00306056156444</c:v>
                </c:pt>
                <c:pt idx="10">
                  <c:v>457.17129301962717</c:v>
                </c:pt>
                <c:pt idx="11">
                  <c:v>453.48991784898158</c:v>
                </c:pt>
                <c:pt idx="12">
                  <c:v>467.93056831130673</c:v>
                </c:pt>
                <c:pt idx="13">
                  <c:v>478.63736258975337</c:v>
                </c:pt>
                <c:pt idx="14">
                  <c:v>490.40672469670653</c:v>
                </c:pt>
                <c:pt idx="15">
                  <c:v>501.05228278538124</c:v>
                </c:pt>
                <c:pt idx="16">
                  <c:v>511.36867308784809</c:v>
                </c:pt>
                <c:pt idx="17">
                  <c:v>521.40266213553889</c:v>
                </c:pt>
                <c:pt idx="18">
                  <c:v>531.66599586230859</c:v>
                </c:pt>
                <c:pt idx="19">
                  <c:v>542.06111504559715</c:v>
                </c:pt>
                <c:pt idx="20">
                  <c:v>552.73409331121286</c:v>
                </c:pt>
                <c:pt idx="21" formatCode="General">
                  <c:v>563.44778638877256</c:v>
                </c:pt>
                <c:pt idx="22" formatCode="General">
                  <c:v>574.31767779365862</c:v>
                </c:pt>
                <c:pt idx="23" formatCode="General">
                  <c:v>585.38483167122661</c:v>
                </c:pt>
                <c:pt idx="24" formatCode="General">
                  <c:v>596.54687852789516</c:v>
                </c:pt>
                <c:pt idx="25" formatCode="General">
                  <c:v>607.10599253045552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136.53421101345532</c:v>
                </c:pt>
                <c:pt idx="1">
                  <c:v>118.88320387931444</c:v>
                </c:pt>
                <c:pt idx="2">
                  <c:v>114.70949875880163</c:v>
                </c:pt>
                <c:pt idx="3">
                  <c:v>146.88488710215458</c:v>
                </c:pt>
                <c:pt idx="4">
                  <c:v>149.92538001472244</c:v>
                </c:pt>
                <c:pt idx="5">
                  <c:v>160.42965103922151</c:v>
                </c:pt>
                <c:pt idx="6">
                  <c:v>166.06844399713421</c:v>
                </c:pt>
                <c:pt idx="7">
                  <c:v>164.71474544836417</c:v>
                </c:pt>
                <c:pt idx="8">
                  <c:v>187.51472265651461</c:v>
                </c:pt>
                <c:pt idx="9">
                  <c:v>227.87188562348908</c:v>
                </c:pt>
                <c:pt idx="10">
                  <c:v>212.99487870195154</c:v>
                </c:pt>
                <c:pt idx="11">
                  <c:v>214.75707792291431</c:v>
                </c:pt>
                <c:pt idx="12">
                  <c:v>230.68905003649269</c:v>
                </c:pt>
                <c:pt idx="13">
                  <c:v>239.96359805351261</c:v>
                </c:pt>
                <c:pt idx="14">
                  <c:v>249.66487030381137</c:v>
                </c:pt>
                <c:pt idx="15">
                  <c:v>258.63593530804212</c:v>
                </c:pt>
                <c:pt idx="16">
                  <c:v>267.32389475275772</c:v>
                </c:pt>
                <c:pt idx="17">
                  <c:v>275.82253910011252</c:v>
                </c:pt>
                <c:pt idx="18">
                  <c:v>284.18500426771971</c:v>
                </c:pt>
                <c:pt idx="19">
                  <c:v>292.44456680891204</c:v>
                </c:pt>
                <c:pt idx="20">
                  <c:v>300.69871213172632</c:v>
                </c:pt>
                <c:pt idx="21" formatCode="General">
                  <c:v>308.83135048485775</c:v>
                </c:pt>
                <c:pt idx="22" formatCode="General">
                  <c:v>316.86284160893501</c:v>
                </c:pt>
                <c:pt idx="23" formatCode="General">
                  <c:v>324.82526621917901</c:v>
                </c:pt>
                <c:pt idx="24" formatCode="General">
                  <c:v>332.64539844070219</c:v>
                </c:pt>
                <c:pt idx="25" formatCode="General">
                  <c:v>340.01785069760598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19.581313781377684</c:v>
                </c:pt>
                <c:pt idx="1">
                  <c:v>17.92223160963443</c:v>
                </c:pt>
                <c:pt idx="2">
                  <c:v>17.016421760978684</c:v>
                </c:pt>
                <c:pt idx="3">
                  <c:v>21.842431180342476</c:v>
                </c:pt>
                <c:pt idx="4">
                  <c:v>21.767138034267056</c:v>
                </c:pt>
                <c:pt idx="5">
                  <c:v>23.913964921187709</c:v>
                </c:pt>
                <c:pt idx="6">
                  <c:v>25.115513644099455</c:v>
                </c:pt>
                <c:pt idx="7">
                  <c:v>24.340196875052218</c:v>
                </c:pt>
                <c:pt idx="8">
                  <c:v>26.529164140353927</c:v>
                </c:pt>
                <c:pt idx="9">
                  <c:v>32.613949913739575</c:v>
                </c:pt>
                <c:pt idx="10">
                  <c:v>30.954057953835946</c:v>
                </c:pt>
                <c:pt idx="11">
                  <c:v>32.053252419216484</c:v>
                </c:pt>
                <c:pt idx="12">
                  <c:v>33.715349404166972</c:v>
                </c:pt>
                <c:pt idx="13">
                  <c:v>35.015056350274044</c:v>
                </c:pt>
                <c:pt idx="14">
                  <c:v>36.357054703454438</c:v>
                </c:pt>
                <c:pt idx="15">
                  <c:v>37.59614286816042</c:v>
                </c:pt>
                <c:pt idx="16">
                  <c:v>38.790520026017305</c:v>
                </c:pt>
                <c:pt idx="17">
                  <c:v>39.947514763386629</c:v>
                </c:pt>
                <c:pt idx="18">
                  <c:v>41.119895639643872</c:v>
                </c:pt>
                <c:pt idx="19">
                  <c:v>42.27272613588714</c:v>
                </c:pt>
                <c:pt idx="20">
                  <c:v>43.424257686493469</c:v>
                </c:pt>
                <c:pt idx="21" formatCode="General">
                  <c:v>44.551273129347805</c:v>
                </c:pt>
                <c:pt idx="22" formatCode="General">
                  <c:v>45.661090577777706</c:v>
                </c:pt>
                <c:pt idx="23" formatCode="General">
                  <c:v>46.753170815195411</c:v>
                </c:pt>
                <c:pt idx="24" formatCode="General">
                  <c:v>47.835645756931605</c:v>
                </c:pt>
                <c:pt idx="25" formatCode="General">
                  <c:v>48.860340121758895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91665645899213932"/>
          <c:h val="9.310118677913352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143.65805606021732</c:v>
                </c:pt>
                <c:pt idx="1">
                  <c:v>69.308890456575654</c:v>
                </c:pt>
                <c:pt idx="2">
                  <c:v>118.17350877122848</c:v>
                </c:pt>
                <c:pt idx="3">
                  <c:v>84.941490204701466</c:v>
                </c:pt>
                <c:pt idx="4">
                  <c:v>82.340741240666205</c:v>
                </c:pt>
                <c:pt idx="5">
                  <c:v>116.06575968813439</c:v>
                </c:pt>
                <c:pt idx="6">
                  <c:v>36.888897619733804</c:v>
                </c:pt>
                <c:pt idx="7">
                  <c:v>37.756201665299528</c:v>
                </c:pt>
                <c:pt idx="8">
                  <c:v>24.674740515945114</c:v>
                </c:pt>
                <c:pt idx="9">
                  <c:v>32.171809576694734</c:v>
                </c:pt>
                <c:pt idx="10">
                  <c:v>122.99499019364232</c:v>
                </c:pt>
                <c:pt idx="11">
                  <c:v>195.32738677630536</c:v>
                </c:pt>
                <c:pt idx="12">
                  <c:v>47.376562530143858</c:v>
                </c:pt>
                <c:pt idx="13">
                  <c:v>27.425453405239896</c:v>
                </c:pt>
                <c:pt idx="14">
                  <c:v>97.618362867403548</c:v>
                </c:pt>
                <c:pt idx="15">
                  <c:v>62.851513007293811</c:v>
                </c:pt>
                <c:pt idx="16">
                  <c:v>45.114830155462691</c:v>
                </c:pt>
                <c:pt idx="17">
                  <c:v>197.12063317402581</c:v>
                </c:pt>
                <c:pt idx="18">
                  <c:v>49.385317241689229</c:v>
                </c:pt>
                <c:pt idx="19">
                  <c:v>2.3956029275567663</c:v>
                </c:pt>
                <c:pt idx="20">
                  <c:v>173.30397212646142</c:v>
                </c:pt>
                <c:pt idx="21">
                  <c:v>36.274357680061875</c:v>
                </c:pt>
                <c:pt idx="22">
                  <c:v>96.336507305577143</c:v>
                </c:pt>
                <c:pt idx="23">
                  <c:v>92.950932183114759</c:v>
                </c:pt>
                <c:pt idx="24">
                  <c:v>52.251811311873347</c:v>
                </c:pt>
                <c:pt idx="25">
                  <c:v>229.78267131417977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181.26829746514963</c:v>
                </c:pt>
                <c:pt idx="1">
                  <c:v>80.330640441711182</c:v>
                </c:pt>
                <c:pt idx="2">
                  <c:v>146.15293795725444</c:v>
                </c:pt>
                <c:pt idx="3">
                  <c:v>97.677408108303439</c:v>
                </c:pt>
                <c:pt idx="4">
                  <c:v>93.288876949246799</c:v>
                </c:pt>
                <c:pt idx="5">
                  <c:v>158.37692219613299</c:v>
                </c:pt>
                <c:pt idx="6">
                  <c:v>48.896441347773603</c:v>
                </c:pt>
                <c:pt idx="7">
                  <c:v>43.808538911689013</c:v>
                </c:pt>
                <c:pt idx="8">
                  <c:v>26.423145140330963</c:v>
                </c:pt>
                <c:pt idx="9">
                  <c:v>32.531561760617201</c:v>
                </c:pt>
                <c:pt idx="10">
                  <c:v>141.70159177372162</c:v>
                </c:pt>
                <c:pt idx="11">
                  <c:v>206.87406474545989</c:v>
                </c:pt>
                <c:pt idx="12">
                  <c:v>45.079696181020772</c:v>
                </c:pt>
                <c:pt idx="13">
                  <c:v>34.109425717301711</c:v>
                </c:pt>
                <c:pt idx="14">
                  <c:v>86.576735172954471</c:v>
                </c:pt>
                <c:pt idx="15">
                  <c:v>49.830413162678838</c:v>
                </c:pt>
                <c:pt idx="16">
                  <c:v>38.288580975784285</c:v>
                </c:pt>
                <c:pt idx="17">
                  <c:v>195.15909339215122</c:v>
                </c:pt>
                <c:pt idx="18">
                  <c:v>58.98916926833904</c:v>
                </c:pt>
                <c:pt idx="19">
                  <c:v>2.5528718101472609</c:v>
                </c:pt>
                <c:pt idx="20">
                  <c:v>158.17137533328778</c:v>
                </c:pt>
                <c:pt idx="21">
                  <c:v>40.010730312229803</c:v>
                </c:pt>
                <c:pt idx="22">
                  <c:v>82.980962009601029</c:v>
                </c:pt>
                <c:pt idx="23">
                  <c:v>105.1667392966642</c:v>
                </c:pt>
                <c:pt idx="24">
                  <c:v>44.433630888629324</c:v>
                </c:pt>
                <c:pt idx="25">
                  <c:v>205.55814968015667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182.91832107250198</c:v>
                </c:pt>
                <c:pt idx="1">
                  <c:v>113.42826929468428</c:v>
                </c:pt>
                <c:pt idx="2">
                  <c:v>171.82982594197708</c:v>
                </c:pt>
                <c:pt idx="3">
                  <c:v>114.65304052783871</c:v>
                </c:pt>
                <c:pt idx="4">
                  <c:v>96.576406752618979</c:v>
                </c:pt>
                <c:pt idx="5">
                  <c:v>198.82297783878221</c:v>
                </c:pt>
                <c:pt idx="6">
                  <c:v>45.136963956910328</c:v>
                </c:pt>
                <c:pt idx="7">
                  <c:v>48.614831201773598</c:v>
                </c:pt>
                <c:pt idx="8">
                  <c:v>36.657574622558613</c:v>
                </c:pt>
                <c:pt idx="9">
                  <c:v>32.44160234152902</c:v>
                </c:pt>
                <c:pt idx="10">
                  <c:v>140.96475258733693</c:v>
                </c:pt>
                <c:pt idx="11">
                  <c:v>179.25383588684116</c:v>
                </c:pt>
                <c:pt idx="12">
                  <c:v>37.500601408491903</c:v>
                </c:pt>
                <c:pt idx="13">
                  <c:v>33.27556971091218</c:v>
                </c:pt>
                <c:pt idx="14">
                  <c:v>78.437017532423042</c:v>
                </c:pt>
                <c:pt idx="15">
                  <c:v>44.458264470819856</c:v>
                </c:pt>
                <c:pt idx="16">
                  <c:v>33.55391346668987</c:v>
                </c:pt>
                <c:pt idx="17">
                  <c:v>229.27082671852793</c:v>
                </c:pt>
                <c:pt idx="18">
                  <c:v>60.404116039923224</c:v>
                </c:pt>
                <c:pt idx="19">
                  <c:v>2.3328235735043159</c:v>
                </c:pt>
                <c:pt idx="20">
                  <c:v>139.15870740517505</c:v>
                </c:pt>
                <c:pt idx="21">
                  <c:v>57.872333438169207</c:v>
                </c:pt>
                <c:pt idx="22">
                  <c:v>98.631893755663725</c:v>
                </c:pt>
                <c:pt idx="23">
                  <c:v>107.55840657020045</c:v>
                </c:pt>
                <c:pt idx="24">
                  <c:v>34.841715927373706</c:v>
                </c:pt>
                <c:pt idx="25">
                  <c:v>192.09940795604413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37.61024140493231</c:v>
                </c:pt>
                <c:pt idx="1">
                  <c:v>11.021749985135529</c:v>
                </c:pt>
                <c:pt idx="2">
                  <c:v>27.979429186025953</c:v>
                </c:pt>
                <c:pt idx="3">
                  <c:v>12.735917903601973</c:v>
                </c:pt>
                <c:pt idx="4">
                  <c:v>10.948135708580594</c:v>
                </c:pt>
                <c:pt idx="5">
                  <c:v>42.311162507998603</c:v>
                </c:pt>
                <c:pt idx="6">
                  <c:v>12.007543728039799</c:v>
                </c:pt>
                <c:pt idx="7">
                  <c:v>6.0523372463894844</c:v>
                </c:pt>
                <c:pt idx="8">
                  <c:v>1.7484046243858486</c:v>
                </c:pt>
                <c:pt idx="9">
                  <c:v>0.35975218392246688</c:v>
                </c:pt>
                <c:pt idx="10">
                  <c:v>18.706601580079294</c:v>
                </c:pt>
                <c:pt idx="11">
                  <c:v>11.54667796915453</c:v>
                </c:pt>
                <c:pt idx="12">
                  <c:v>-2.2968663491230856</c:v>
                </c:pt>
                <c:pt idx="13">
                  <c:v>6.6839723120618153</c:v>
                </c:pt>
                <c:pt idx="14">
                  <c:v>-11.041627694449076</c:v>
                </c:pt>
                <c:pt idx="15">
                  <c:v>-13.021099844614973</c:v>
                </c:pt>
                <c:pt idx="16">
                  <c:v>-6.8262491796784062</c:v>
                </c:pt>
                <c:pt idx="17">
                  <c:v>-1.9615397818745919</c:v>
                </c:pt>
                <c:pt idx="18">
                  <c:v>9.6038520266498111</c:v>
                </c:pt>
                <c:pt idx="19">
                  <c:v>0.15726888259049465</c:v>
                </c:pt>
                <c:pt idx="20">
                  <c:v>-15.132596793173633</c:v>
                </c:pt>
                <c:pt idx="21">
                  <c:v>3.736372632167928</c:v>
                </c:pt>
                <c:pt idx="22">
                  <c:v>-13.355545295976114</c:v>
                </c:pt>
                <c:pt idx="23">
                  <c:v>12.215807113549445</c:v>
                </c:pt>
                <c:pt idx="24">
                  <c:v>-7.8181804232440228</c:v>
                </c:pt>
                <c:pt idx="25">
                  <c:v>-24.224521634023091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1.6500236073523524</c:v>
                </c:pt>
                <c:pt idx="1">
                  <c:v>33.097628852973102</c:v>
                </c:pt>
                <c:pt idx="2">
                  <c:v>25.67688798472264</c:v>
                </c:pt>
                <c:pt idx="3">
                  <c:v>16.975632419535273</c:v>
                </c:pt>
                <c:pt idx="4">
                  <c:v>3.2875298033721805</c:v>
                </c:pt>
                <c:pt idx="5">
                  <c:v>40.446055642649213</c:v>
                </c:pt>
                <c:pt idx="6">
                  <c:v>-3.7594773908632746</c:v>
                </c:pt>
                <c:pt idx="7">
                  <c:v>4.8062922900845848</c:v>
                </c:pt>
                <c:pt idx="8">
                  <c:v>10.23442948222765</c:v>
                </c:pt>
                <c:pt idx="9">
                  <c:v>-8.9959419088181392E-2</c:v>
                </c:pt>
                <c:pt idx="10">
                  <c:v>-0.73683918638468526</c:v>
                </c:pt>
                <c:pt idx="11">
                  <c:v>-27.620228858618731</c:v>
                </c:pt>
                <c:pt idx="12">
                  <c:v>-7.5790947725288689</c:v>
                </c:pt>
                <c:pt idx="13">
                  <c:v>-0.8338560063895315</c:v>
                </c:pt>
                <c:pt idx="14">
                  <c:v>-8.1397176405314298</c:v>
                </c:pt>
                <c:pt idx="15">
                  <c:v>-5.3721486918589818</c:v>
                </c:pt>
                <c:pt idx="16">
                  <c:v>-4.7346675090944146</c:v>
                </c:pt>
                <c:pt idx="17">
                  <c:v>34.111733326376708</c:v>
                </c:pt>
                <c:pt idx="18">
                  <c:v>1.4149467715841837</c:v>
                </c:pt>
                <c:pt idx="19">
                  <c:v>-0.22004823664294504</c:v>
                </c:pt>
                <c:pt idx="20">
                  <c:v>-19.012667928112734</c:v>
                </c:pt>
                <c:pt idx="21">
                  <c:v>17.861603125939403</c:v>
                </c:pt>
                <c:pt idx="22">
                  <c:v>15.650931746062696</c:v>
                </c:pt>
                <c:pt idx="23">
                  <c:v>2.3916672735362425</c:v>
                </c:pt>
                <c:pt idx="24">
                  <c:v>-9.5919149612556183</c:v>
                </c:pt>
                <c:pt idx="25">
                  <c:v>-13.458741724112542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6.316052956915021</c:v>
                </c:pt>
                <c:pt idx="1">
                  <c:v>7.5395321704953915</c:v>
                </c:pt>
                <c:pt idx="2">
                  <c:v>7.2855680968112821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3.0472264105067532</c:v>
                </c:pt>
                <c:pt idx="1">
                  <c:v>3.3412099984180745</c:v>
                </c:pt>
                <c:pt idx="2">
                  <c:v>4.5178054073780869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1.6218528725656118</c:v>
                </c:pt>
                <c:pt idx="1">
                  <c:v>2.033760440846847</c:v>
                </c:pt>
                <c:pt idx="2">
                  <c:v>1.7977883388785496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1.6599846587791436</c:v>
                </c:pt>
                <c:pt idx="1">
                  <c:v>1.8221381956245311</c:v>
                </c:pt>
                <c:pt idx="2">
                  <c:v>1.9363104863351603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1.0848466982702274</c:v>
                </c:pt>
                <c:pt idx="1">
                  <c:v>1.0990236881851645</c:v>
                </c:pt>
                <c:pt idx="2">
                  <c:v>1.4600574431838067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1.4144619423293232</c:v>
                </c:pt>
                <c:pt idx="1">
                  <c:v>1.3530924043559622</c:v>
                </c:pt>
                <c:pt idx="2">
                  <c:v>1.29213684907593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5.4075830677581944</c:v>
                </c:pt>
                <c:pt idx="1">
                  <c:v>5.8938254770875265</c:v>
                </c:pt>
                <c:pt idx="2">
                  <c:v>5.6145732051527508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8.5877405879544746</c:v>
                </c:pt>
                <c:pt idx="1">
                  <c:v>8.6045584815481231</c:v>
                </c:pt>
                <c:pt idx="2">
                  <c:v>7.1396130267923184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2.082952297026452</c:v>
                </c:pt>
                <c:pt idx="1">
                  <c:v>1.8750097195473971</c:v>
                </c:pt>
                <c:pt idx="2">
                  <c:v>1.4936348837613336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8.6665822451745314</c:v>
                </c:pt>
                <c:pt idx="1">
                  <c:v>8.1172951010792698</c:v>
                </c:pt>
                <c:pt idx="2">
                  <c:v>9.1317710050923928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2.1712689670658611</c:v>
                </c:pt>
                <c:pt idx="1">
                  <c:v>2.453549493368786</c:v>
                </c:pt>
                <c:pt idx="2">
                  <c:v>2.4058732780633854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0.1053247925605148</c:v>
                </c:pt>
                <c:pt idx="1">
                  <c:v>0.10618215876086422</c:v>
                </c:pt>
                <c:pt idx="2">
                  <c:v>9.2915487650227085E-2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24-4258-ADBA-A2E701882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5092389486513718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7.6194617664576469</c:v>
                </c:pt>
                <c:pt idx="1">
                  <c:v>6.5788568075788323</c:v>
                </c:pt>
                <c:pt idx="2">
                  <c:v>5.54263910318085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1.5948340828815843</c:v>
                </c:pt>
                <c:pt idx="1">
                  <c:v>1.6641751071340471</c:v>
                </c:pt>
                <c:pt idx="2">
                  <c:v>2.3050333269680015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5.891244981579470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4.2355193889802072</c:v>
                </c:pt>
                <c:pt idx="1">
                  <c:v>3.4514454063889852</c:v>
                </c:pt>
                <c:pt idx="2">
                  <c:v>3.9284713213036846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4.0866695969843922</c:v>
                </c:pt>
                <c:pt idx="1">
                  <c:v>4.3742233213490893</c:v>
                </c:pt>
                <c:pt idx="2">
                  <c:v>4.284010977452116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5.1956023906565711</c:v>
                </c:pt>
                <c:pt idx="1">
                  <c:v>6.0789712980726325</c:v>
                </c:pt>
                <c:pt idx="2">
                  <c:v>6.8439174961993334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3.7345274263441919</c:v>
                </c:pt>
                <c:pt idx="1">
                  <c:v>4.0627179217852385</c:v>
                </c:pt>
                <c:pt idx="2">
                  <c:v>4.5665875860567615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3.6201832076141049</c:v>
                </c:pt>
                <c:pt idx="1">
                  <c:v>3.8801847799307438</c:v>
                </c:pt>
                <c:pt idx="2">
                  <c:v>3.8466020451973435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5.1029333458859041</c:v>
                </c:pt>
                <c:pt idx="1">
                  <c:v>6.5874061634597956</c:v>
                </c:pt>
                <c:pt idx="2">
                  <c:v>7.9190446083369723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1.2057842130502692</c:v>
                </c:pt>
                <c:pt idx="1">
                  <c:v>1.4187208469929058</c:v>
                </c:pt>
                <c:pt idx="2">
                  <c:v>1.3253534564913856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4.2918772977090986</c:v>
                </c:pt>
                <c:pt idx="1">
                  <c:v>3.6010051905432965</c:v>
                </c:pt>
                <c:pt idx="2">
                  <c:v>3.1241169785105551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2.7633221238208954</c:v>
                </c:pt>
                <c:pt idx="1">
                  <c:v>2.0726073359922479</c:v>
                </c:pt>
                <c:pt idx="2">
                  <c:v>1.7707559929976631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1.9835132412253111</c:v>
                </c:pt>
                <c:pt idx="1">
                  <c:v>1.5925453709578989</c:v>
                </c:pt>
                <c:pt idx="2">
                  <c:v>1.3364397838485933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2.2972969034342658</c:v>
                </c:pt>
                <c:pt idx="1">
                  <c:v>1.8481377837244091</c:v>
                </c:pt>
                <c:pt idx="2">
                  <c:v>1.3877324726702582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10.10259751804943</c:v>
                </c:pt>
                <c:pt idx="1">
                  <c:v>8.549825336771935</c:v>
                </c:pt>
                <c:pt idx="2">
                  <c:v>7.6512473426112395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-23.050656685368153</c:v>
                </c:pt>
                <c:pt idx="1">
                  <c:v>18.042599019598953</c:v>
                </c:pt>
                <c:pt idx="2">
                  <c:v>-1.1510648021733232</c:v>
                </c:pt>
                <c:pt idx="3">
                  <c:v>35.306631861317896</c:v>
                </c:pt>
                <c:pt idx="4">
                  <c:v>-19.080389847874358</c:v>
                </c:pt>
                <c:pt idx="5">
                  <c:v>-35.199323631147621</c:v>
                </c:pt>
                <c:pt idx="6">
                  <c:v>10.454445775976069</c:v>
                </c:pt>
                <c:pt idx="7">
                  <c:v>86.38610585027925</c:v>
                </c:pt>
                <c:pt idx="8">
                  <c:v>34.747652460325469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86.37605332492177</c:v>
                </c:pt>
                <c:pt idx="1">
                  <c:v>114.13467545855636</c:v>
                </c:pt>
                <c:pt idx="2">
                  <c:v>91.684979765086894</c:v>
                </c:pt>
                <c:pt idx="3">
                  <c:v>186.06651703221465</c:v>
                </c:pt>
                <c:pt idx="4">
                  <c:v>65.391407055743827</c:v>
                </c:pt>
                <c:pt idx="5">
                  <c:v>82.649559672463766</c:v>
                </c:pt>
                <c:pt idx="6">
                  <c:v>141.65215632633783</c:v>
                </c:pt>
                <c:pt idx="7">
                  <c:v>333.25968189836323</c:v>
                </c:pt>
                <c:pt idx="8">
                  <c:v>177.06973561067826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1.6500236073523524</c:v>
                </c:pt>
                <c:pt idx="1">
                  <c:v>33.097628852973102</c:v>
                </c:pt>
                <c:pt idx="2">
                  <c:v>25.67688798472264</c:v>
                </c:pt>
                <c:pt idx="3">
                  <c:v>16.975632419535273</c:v>
                </c:pt>
                <c:pt idx="4">
                  <c:v>3.2875298033721805</c:v>
                </c:pt>
                <c:pt idx="5">
                  <c:v>40.446055642649213</c:v>
                </c:pt>
                <c:pt idx="6">
                  <c:v>-3.7594773908632746</c:v>
                </c:pt>
                <c:pt idx="7">
                  <c:v>4.8062922900845848</c:v>
                </c:pt>
                <c:pt idx="8">
                  <c:v>10.23442948222765</c:v>
                </c:pt>
                <c:pt idx="9">
                  <c:v>-8.9959419088181392E-2</c:v>
                </c:pt>
                <c:pt idx="10">
                  <c:v>-0.73683918638468526</c:v>
                </c:pt>
                <c:pt idx="11">
                  <c:v>-27.620228858618731</c:v>
                </c:pt>
                <c:pt idx="12">
                  <c:v>-7.5790947725288689</c:v>
                </c:pt>
                <c:pt idx="13">
                  <c:v>-0.8338560063895315</c:v>
                </c:pt>
                <c:pt idx="14">
                  <c:v>-8.1397176405314298</c:v>
                </c:pt>
                <c:pt idx="15">
                  <c:v>-5.3721486918589818</c:v>
                </c:pt>
                <c:pt idx="16">
                  <c:v>-4.7346675090944146</c:v>
                </c:pt>
                <c:pt idx="17">
                  <c:v>34.111733326376708</c:v>
                </c:pt>
                <c:pt idx="18">
                  <c:v>1.4149467715841837</c:v>
                </c:pt>
                <c:pt idx="19">
                  <c:v>-0.22004823664294504</c:v>
                </c:pt>
                <c:pt idx="20">
                  <c:v>-19.012667928112734</c:v>
                </c:pt>
                <c:pt idx="21">
                  <c:v>17.861603125939403</c:v>
                </c:pt>
                <c:pt idx="22">
                  <c:v>15.650931746062696</c:v>
                </c:pt>
                <c:pt idx="23">
                  <c:v>2.3916672735362425</c:v>
                </c:pt>
                <c:pt idx="24">
                  <c:v>-9.5919149612556183</c:v>
                </c:pt>
                <c:pt idx="25">
                  <c:v>-13.458741724112542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89.460845065937079</c:v>
                </c:pt>
                <c:pt idx="1">
                  <c:v>87.608890544741172</c:v>
                </c:pt>
                <c:pt idx="2">
                  <c:v>83.706557457257446</c:v>
                </c:pt>
                <c:pt idx="3">
                  <c:v>73.242724708241454</c:v>
                </c:pt>
                <c:pt idx="4">
                  <c:v>48.815327863339384</c:v>
                </c:pt>
                <c:pt idx="5">
                  <c:v>127.49507186952499</c:v>
                </c:pt>
                <c:pt idx="6">
                  <c:v>13.908153397007666</c:v>
                </c:pt>
                <c:pt idx="7">
                  <c:v>30.82691196093451</c:v>
                </c:pt>
                <c:pt idx="8">
                  <c:v>20.99222990575106</c:v>
                </c:pt>
                <c:pt idx="9">
                  <c:v>13.954999017169705</c:v>
                </c:pt>
                <c:pt idx="10">
                  <c:v>61.969862045474919</c:v>
                </c:pt>
                <c:pt idx="11">
                  <c:v>67.228467439973059</c:v>
                </c:pt>
                <c:pt idx="12">
                  <c:v>15.421092232490729</c:v>
                </c:pt>
                <c:pt idx="13">
                  <c:v>17.346176718720784</c:v>
                </c:pt>
                <c:pt idx="14">
                  <c:v>23.107279611918738</c:v>
                </c:pt>
                <c:pt idx="15">
                  <c:v>14.532984008284366</c:v>
                </c:pt>
                <c:pt idx="16">
                  <c:v>10.404966716819953</c:v>
                </c:pt>
                <c:pt idx="17">
                  <c:v>153.90826123171522</c:v>
                </c:pt>
                <c:pt idx="18">
                  <c:v>31.380903699043454</c:v>
                </c:pt>
                <c:pt idx="19">
                  <c:v>0.77735210145602596</c:v>
                </c:pt>
                <c:pt idx="20">
                  <c:v>49.247300560273757</c:v>
                </c:pt>
                <c:pt idx="21">
                  <c:v>42.437679204813136</c:v>
                </c:pt>
                <c:pt idx="22">
                  <c:v>54.442685029336161</c:v>
                </c:pt>
                <c:pt idx="23">
                  <c:v>59.691990429220184</c:v>
                </c:pt>
                <c:pt idx="24">
                  <c:v>5.5456776917701358</c:v>
                </c:pt>
                <c:pt idx="25">
                  <c:v>80.830375633151633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67236</xdr:colOff>
      <xdr:row>0</xdr:row>
      <xdr:rowOff>33618</xdr:rowOff>
    </xdr:from>
    <xdr:to>
      <xdr:col>19</xdr:col>
      <xdr:colOff>437030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44825</xdr:colOff>
      <xdr:row>0</xdr:row>
      <xdr:rowOff>22412</xdr:rowOff>
    </xdr:from>
    <xdr:to>
      <xdr:col>7</xdr:col>
      <xdr:colOff>414619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737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224118</xdr:colOff>
      <xdr:row>0</xdr:row>
      <xdr:rowOff>0</xdr:rowOff>
    </xdr:from>
    <xdr:to>
      <xdr:col>6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912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603249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479986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67235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9</xdr:col>
      <xdr:colOff>990600</xdr:colOff>
      <xdr:row>62</xdr:row>
      <xdr:rowOff>63500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B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317500</xdr:colOff>
      <xdr:row>0</xdr:row>
      <xdr:rowOff>0</xdr:rowOff>
    </xdr:from>
    <xdr:to>
      <xdr:col>14</xdr:col>
      <xdr:colOff>14194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C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C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C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C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C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C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38099</xdr:rowOff>
    </xdr:from>
    <xdr:to>
      <xdr:col>9</xdr:col>
      <xdr:colOff>28575</xdr:colOff>
      <xdr:row>45</xdr:row>
      <xdr:rowOff>34924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C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C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C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1193800</xdr:colOff>
      <xdr:row>0</xdr:row>
      <xdr:rowOff>12700</xdr:rowOff>
    </xdr:from>
    <xdr:to>
      <xdr:col>11</xdr:col>
      <xdr:colOff>28164</xdr:colOff>
      <xdr:row>2</xdr:row>
      <xdr:rowOff>14194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2700"/>
          <a:ext cx="383764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280147</xdr:colOff>
      <xdr:row>0</xdr:row>
      <xdr:rowOff>0</xdr:rowOff>
    </xdr:from>
    <xdr:to>
      <xdr:col>14</xdr:col>
      <xdr:colOff>42955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1794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156882</xdr:colOff>
      <xdr:row>0</xdr:row>
      <xdr:rowOff>33618</xdr:rowOff>
    </xdr:from>
    <xdr:to>
      <xdr:col>19</xdr:col>
      <xdr:colOff>524808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5147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257736</xdr:colOff>
      <xdr:row>0</xdr:row>
      <xdr:rowOff>0</xdr:rowOff>
    </xdr:from>
    <xdr:to>
      <xdr:col>34</xdr:col>
      <xdr:colOff>22412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54177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112058</xdr:colOff>
      <xdr:row>0</xdr:row>
      <xdr:rowOff>11206</xdr:rowOff>
    </xdr:from>
    <xdr:to>
      <xdr:col>32</xdr:col>
      <xdr:colOff>481852</xdr:colOff>
      <xdr:row>2</xdr:row>
      <xdr:rowOff>22412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79029" y="11206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3586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145677</xdr:colOff>
      <xdr:row>0</xdr:row>
      <xdr:rowOff>22413</xdr:rowOff>
    </xdr:from>
    <xdr:to>
      <xdr:col>47</xdr:col>
      <xdr:colOff>515471</xdr:colOff>
      <xdr:row>2</xdr:row>
      <xdr:rowOff>33619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61736" y="22413"/>
          <a:ext cx="369794" cy="36979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63500</xdr:rowOff>
    </xdr:from>
    <xdr:to>
      <xdr:col>9</xdr:col>
      <xdr:colOff>1057275</xdr:colOff>
      <xdr:row>78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139700</xdr:colOff>
      <xdr:row>0</xdr:row>
      <xdr:rowOff>0</xdr:rowOff>
    </xdr:from>
    <xdr:to>
      <xdr:col>13</xdr:col>
      <xdr:colOff>517077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23700" y="0"/>
          <a:ext cx="377377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25401</xdr:rowOff>
    </xdr:from>
    <xdr:to>
      <xdr:col>9</xdr:col>
      <xdr:colOff>1057275</xdr:colOff>
      <xdr:row>147</xdr:row>
      <xdr:rowOff>139701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31750</xdr:colOff>
      <xdr:row>150</xdr:row>
      <xdr:rowOff>15875</xdr:rowOff>
    </xdr:from>
    <xdr:to>
      <xdr:col>9</xdr:col>
      <xdr:colOff>1089025</xdr:colOff>
      <xdr:row>184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164</xdr:row>
      <xdr:rowOff>9525</xdr:rowOff>
    </xdr:from>
    <xdr:to>
      <xdr:col>9</xdr:col>
      <xdr:colOff>9525</xdr:colOff>
      <xdr:row>196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198</xdr:row>
      <xdr:rowOff>190500</xdr:rowOff>
    </xdr:from>
    <xdr:to>
      <xdr:col>9</xdr:col>
      <xdr:colOff>9525</xdr:colOff>
      <xdr:row>231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234</xdr:row>
      <xdr:rowOff>63500</xdr:rowOff>
    </xdr:from>
    <xdr:to>
      <xdr:col>8</xdr:col>
      <xdr:colOff>2114550</xdr:colOff>
      <xdr:row>266</xdr:row>
      <xdr:rowOff>82550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269</xdr:row>
      <xdr:rowOff>0</xdr:rowOff>
    </xdr:from>
    <xdr:to>
      <xdr:col>9</xdr:col>
      <xdr:colOff>9525</xdr:colOff>
      <xdr:row>301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303</xdr:row>
      <xdr:rowOff>190500</xdr:rowOff>
    </xdr:from>
    <xdr:to>
      <xdr:col>8</xdr:col>
      <xdr:colOff>2117725</xdr:colOff>
      <xdr:row>336</xdr:row>
      <xdr:rowOff>25400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339</xdr:row>
      <xdr:rowOff>0</xdr:rowOff>
    </xdr:from>
    <xdr:to>
      <xdr:col>8</xdr:col>
      <xdr:colOff>2114550</xdr:colOff>
      <xdr:row>371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374</xdr:row>
      <xdr:rowOff>0</xdr:rowOff>
    </xdr:from>
    <xdr:to>
      <xdr:col>9</xdr:col>
      <xdr:colOff>9525</xdr:colOff>
      <xdr:row>406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</xdr:colOff>
      <xdr:row>409</xdr:row>
      <xdr:rowOff>22225</xdr:rowOff>
    </xdr:from>
    <xdr:to>
      <xdr:col>9</xdr:col>
      <xdr:colOff>12700</xdr:colOff>
      <xdr:row>439</xdr:row>
      <xdr:rowOff>139700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444</xdr:row>
      <xdr:rowOff>0</xdr:rowOff>
    </xdr:from>
    <xdr:to>
      <xdr:col>9</xdr:col>
      <xdr:colOff>9525</xdr:colOff>
      <xdr:row>476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58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</xdr:colOff>
      <xdr:row>118</xdr:row>
      <xdr:rowOff>0</xdr:rowOff>
    </xdr:from>
    <xdr:to>
      <xdr:col>9</xdr:col>
      <xdr:colOff>12700</xdr:colOff>
      <xdr:row>161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</xdr:colOff>
      <xdr:row>479</xdr:row>
      <xdr:rowOff>12700</xdr:rowOff>
    </xdr:from>
    <xdr:to>
      <xdr:col>9</xdr:col>
      <xdr:colOff>0</xdr:colOff>
      <xdr:row>503</xdr:row>
      <xdr:rowOff>127000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</xdr:colOff>
      <xdr:row>506</xdr:row>
      <xdr:rowOff>190500</xdr:rowOff>
    </xdr:from>
    <xdr:to>
      <xdr:col>8</xdr:col>
      <xdr:colOff>2095500</xdr:colOff>
      <xdr:row>532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377377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59</xdr:row>
      <xdr:rowOff>63500</xdr:rowOff>
    </xdr:from>
    <xdr:to>
      <xdr:col>9</xdr:col>
      <xdr:colOff>12700</xdr:colOff>
      <xdr:row>115</xdr:row>
      <xdr:rowOff>41275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18</xdr:col>
      <xdr:colOff>622300</xdr:colOff>
      <xdr:row>29</xdr:row>
      <xdr:rowOff>12700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GrpSpPr/>
      </xdr:nvGrpSpPr>
      <xdr:grpSpPr>
        <a:xfrm>
          <a:off x="0" y="4064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6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6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6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6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6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6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50800</xdr:rowOff>
    </xdr:from>
    <xdr:to>
      <xdr:col>9</xdr:col>
      <xdr:colOff>260351</xdr:colOff>
      <xdr:row>38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375472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40</xdr:row>
      <xdr:rowOff>0</xdr:rowOff>
    </xdr:from>
    <xdr:to>
      <xdr:col>9</xdr:col>
      <xdr:colOff>247651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79</xdr:row>
      <xdr:rowOff>0</xdr:rowOff>
    </xdr:from>
    <xdr:to>
      <xdr:col>9</xdr:col>
      <xdr:colOff>247651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371662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9971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A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52</xdr:row>
      <xdr:rowOff>0</xdr:rowOff>
    </xdr:from>
    <xdr:to>
      <xdr:col>8</xdr:col>
      <xdr:colOff>2117725</xdr:colOff>
      <xdr:row>97</xdr:row>
      <xdr:rowOff>57150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377377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83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83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84</xdr:row>
      <xdr:rowOff>85910</xdr:rowOff>
    </xdr:from>
    <xdr:to>
      <xdr:col>30</xdr:col>
      <xdr:colOff>493058</xdr:colOff>
      <xdr:row>109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84</xdr:row>
      <xdr:rowOff>142688</xdr:rowOff>
    </xdr:from>
    <xdr:to>
      <xdr:col>49</xdr:col>
      <xdr:colOff>489698</xdr:colOff>
      <xdr:row>110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111</xdr:row>
      <xdr:rowOff>53041</xdr:rowOff>
    </xdr:from>
    <xdr:to>
      <xdr:col>30</xdr:col>
      <xdr:colOff>518271</xdr:colOff>
      <xdr:row>139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111</xdr:row>
      <xdr:rowOff>53041</xdr:rowOff>
    </xdr:from>
    <xdr:to>
      <xdr:col>40</xdr:col>
      <xdr:colOff>120464</xdr:colOff>
      <xdr:row>139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407185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83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84</xdr:row>
      <xdr:rowOff>134470</xdr:rowOff>
    </xdr:from>
    <xdr:to>
      <xdr:col>40</xdr:col>
      <xdr:colOff>102346</xdr:colOff>
      <xdr:row>109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111</xdr:row>
      <xdr:rowOff>56029</xdr:rowOff>
    </xdr:from>
    <xdr:to>
      <xdr:col>49</xdr:col>
      <xdr:colOff>458133</xdr:colOff>
      <xdr:row>139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291353</xdr:colOff>
      <xdr:row>0</xdr:row>
      <xdr:rowOff>89648</xdr:rowOff>
    </xdr:from>
    <xdr:to>
      <xdr:col>31</xdr:col>
      <xdr:colOff>73137</xdr:colOff>
      <xdr:row>2</xdr:row>
      <xdr:rowOff>20732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62706" y="89648"/>
          <a:ext cx="371662" cy="36979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118223</xdr:rowOff>
    </xdr:from>
    <xdr:to>
      <xdr:col>11</xdr:col>
      <xdr:colOff>586068</xdr:colOff>
      <xdr:row>31</xdr:row>
      <xdr:rowOff>156323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E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22411</xdr:colOff>
      <xdr:row>0</xdr:row>
      <xdr:rowOff>0</xdr:rowOff>
    </xdr:from>
    <xdr:to>
      <xdr:col>14</xdr:col>
      <xdr:colOff>392168</xdr:colOff>
      <xdr:row>2</xdr:row>
      <xdr:rowOff>9301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058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460337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460301</xdr:colOff>
      <xdr:row>2</xdr:row>
      <xdr:rowOff>28986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6" sqref="B6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140</v>
      </c>
      <c r="B2" s="82" t="s">
        <v>543</v>
      </c>
      <c r="C2" t="s">
        <v>526</v>
      </c>
      <c r="D2" t="s">
        <v>525</v>
      </c>
    </row>
    <row r="3" spans="1:10" x14ac:dyDescent="0.2">
      <c r="B3" s="82"/>
    </row>
    <row r="11" spans="1:10" x14ac:dyDescent="0.2">
      <c r="A11" t="s">
        <v>141</v>
      </c>
      <c r="B11" s="82" t="s">
        <v>543</v>
      </c>
    </row>
    <row r="12" spans="1:10" x14ac:dyDescent="0.2">
      <c r="B12" s="82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348"/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</row>
    <row r="2" spans="1:14" ht="18.75" customHeight="1" x14ac:dyDescent="0.2">
      <c r="A2" s="348"/>
      <c r="B2" s="348"/>
      <c r="C2" s="348"/>
      <c r="D2" s="348"/>
      <c r="E2" s="348"/>
      <c r="F2" s="364" t="s">
        <v>145</v>
      </c>
      <c r="G2" s="364"/>
      <c r="H2" s="364"/>
      <c r="I2" s="348"/>
      <c r="J2" s="348"/>
      <c r="K2" s="348"/>
      <c r="L2" s="348"/>
      <c r="M2" s="348"/>
      <c r="N2" s="348"/>
    </row>
    <row r="3" spans="1:14" ht="18.75" customHeight="1" x14ac:dyDescent="0.2">
      <c r="A3" s="348"/>
      <c r="B3" s="348"/>
      <c r="C3" s="365" t="s">
        <v>467</v>
      </c>
      <c r="D3" s="365"/>
      <c r="E3" s="365"/>
      <c r="F3" s="365"/>
      <c r="G3" s="365"/>
      <c r="H3" s="365"/>
      <c r="I3" s="365"/>
      <c r="J3" s="365"/>
      <c r="K3" s="365"/>
      <c r="L3" s="348"/>
      <c r="M3" s="348"/>
      <c r="N3" s="348"/>
    </row>
    <row r="4" spans="1:14" ht="18.75" customHeight="1" x14ac:dyDescent="0.2">
      <c r="A4" s="348"/>
      <c r="B4" s="348"/>
      <c r="C4" s="365" t="s">
        <v>468</v>
      </c>
      <c r="D4" s="365"/>
      <c r="E4" s="365"/>
      <c r="F4" s="365"/>
      <c r="G4" s="365"/>
      <c r="H4" s="365"/>
      <c r="I4" s="365"/>
      <c r="J4" s="365"/>
      <c r="K4" s="365"/>
      <c r="L4" s="348"/>
      <c r="M4" s="348"/>
      <c r="N4" s="348"/>
    </row>
    <row r="5" spans="1:14" ht="18.75" customHeight="1" x14ac:dyDescent="0.2">
      <c r="A5" s="348"/>
      <c r="B5" s="348"/>
      <c r="C5" s="348"/>
      <c r="D5" s="348"/>
      <c r="E5" s="348"/>
      <c r="F5" s="348"/>
      <c r="G5" s="350" t="s">
        <v>146</v>
      </c>
      <c r="H5" s="348"/>
      <c r="I5" s="348"/>
      <c r="J5" s="348"/>
      <c r="K5" s="348"/>
      <c r="L5" s="348"/>
      <c r="M5" s="348"/>
      <c r="N5" s="348"/>
    </row>
    <row r="6" spans="1:14" ht="12.75" customHeight="1" x14ac:dyDescent="0.2">
      <c r="A6" s="348"/>
      <c r="B6" s="348"/>
      <c r="C6" s="348"/>
      <c r="D6" s="348"/>
      <c r="E6" s="348"/>
      <c r="F6" s="348"/>
      <c r="G6" s="348"/>
      <c r="H6" s="348"/>
      <c r="I6" s="348"/>
      <c r="J6" s="348"/>
      <c r="K6" s="348"/>
      <c r="L6" s="348"/>
      <c r="M6" s="348"/>
      <c r="N6" s="348"/>
    </row>
    <row r="7" spans="1:14" ht="19.5" customHeight="1" x14ac:dyDescent="0.2">
      <c r="A7" s="348"/>
      <c r="B7" s="348"/>
      <c r="C7" s="366" t="s">
        <v>147</v>
      </c>
      <c r="D7" s="366"/>
      <c r="E7" s="366"/>
      <c r="F7" s="366"/>
      <c r="G7" s="366"/>
      <c r="H7" s="366"/>
      <c r="I7" s="366"/>
      <c r="J7" s="366"/>
      <c r="K7" s="366"/>
      <c r="L7" s="348"/>
      <c r="M7" s="348"/>
      <c r="N7" s="348"/>
    </row>
    <row r="8" spans="1:14" ht="18.75" customHeight="1" x14ac:dyDescent="0.2">
      <c r="A8" s="348"/>
      <c r="B8" s="348"/>
      <c r="C8" s="367" t="s">
        <v>148</v>
      </c>
      <c r="D8" s="367"/>
      <c r="E8" s="367"/>
      <c r="F8" s="367"/>
      <c r="G8" s="367"/>
      <c r="H8" s="367"/>
      <c r="I8" s="367"/>
      <c r="J8" s="367"/>
      <c r="K8" s="367"/>
      <c r="L8" s="348"/>
      <c r="M8" s="348"/>
      <c r="N8" s="348"/>
    </row>
    <row r="9" spans="1:14" ht="18.75" customHeight="1" x14ac:dyDescent="0.2">
      <c r="A9" s="348"/>
      <c r="B9" s="367" t="s">
        <v>149</v>
      </c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49"/>
      <c r="N9" s="348"/>
    </row>
    <row r="10" spans="1:14" ht="18.75" customHeight="1" x14ac:dyDescent="0.2">
      <c r="A10" s="348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8"/>
    </row>
    <row r="11" spans="1:14" x14ac:dyDescent="0.2">
      <c r="A11" s="348"/>
      <c r="B11" s="348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348"/>
    </row>
    <row r="12" spans="1:14" ht="15.75" x14ac:dyDescent="0.2">
      <c r="A12" s="348"/>
      <c r="B12" s="348"/>
      <c r="C12" s="348"/>
      <c r="D12" s="348"/>
      <c r="E12" s="348"/>
      <c r="F12" s="348"/>
      <c r="G12" s="215" t="s">
        <v>524</v>
      </c>
      <c r="H12" s="348"/>
      <c r="I12" s="348"/>
      <c r="J12" s="348"/>
      <c r="K12" s="348"/>
      <c r="L12" s="348"/>
      <c r="M12" s="348"/>
      <c r="N12" s="348"/>
    </row>
    <row r="13" spans="1:14" x14ac:dyDescent="0.2">
      <c r="A13" s="348"/>
      <c r="B13" s="348"/>
      <c r="C13" s="348"/>
      <c r="D13" s="348"/>
      <c r="E13" s="348"/>
      <c r="F13" s="348"/>
      <c r="G13" s="348"/>
      <c r="H13" s="348"/>
      <c r="I13" s="348"/>
      <c r="J13" s="348"/>
      <c r="K13" s="348"/>
      <c r="L13" s="348"/>
      <c r="M13" s="348"/>
      <c r="N13" s="348"/>
    </row>
    <row r="14" spans="1:14" ht="13.5" thickBot="1" x14ac:dyDescent="0.25">
      <c r="A14" s="348"/>
      <c r="B14" s="348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348"/>
    </row>
    <row r="15" spans="1:14" ht="15.75" x14ac:dyDescent="0.2">
      <c r="A15" s="216"/>
      <c r="B15" s="217"/>
      <c r="C15" s="218"/>
      <c r="D15" s="218"/>
      <c r="E15" s="218"/>
      <c r="F15" s="218"/>
      <c r="G15" s="219" t="s">
        <v>150</v>
      </c>
      <c r="H15" s="218"/>
      <c r="I15" s="218"/>
      <c r="J15" s="218"/>
      <c r="K15" s="218"/>
      <c r="L15" s="220"/>
      <c r="M15" s="348"/>
      <c r="N15" s="348"/>
    </row>
    <row r="16" spans="1:14" ht="15" x14ac:dyDescent="0.2">
      <c r="A16" s="216"/>
      <c r="B16" s="221"/>
      <c r="C16" s="348"/>
      <c r="D16" s="348"/>
      <c r="E16" s="348"/>
      <c r="F16" s="348"/>
      <c r="G16" s="222" t="s">
        <v>151</v>
      </c>
      <c r="H16" s="348"/>
      <c r="I16" s="348"/>
      <c r="J16" s="348"/>
      <c r="K16" s="348"/>
      <c r="L16" s="223"/>
      <c r="M16" s="348"/>
      <c r="N16" s="348"/>
    </row>
    <row r="17" spans="1:14" ht="15" x14ac:dyDescent="0.2">
      <c r="A17" s="216"/>
      <c r="B17" s="221"/>
      <c r="C17" s="348"/>
      <c r="D17" s="348"/>
      <c r="E17" s="348"/>
      <c r="F17" s="348"/>
      <c r="G17" s="222" t="s">
        <v>152</v>
      </c>
      <c r="H17" s="348"/>
      <c r="I17" s="348"/>
      <c r="J17" s="348"/>
      <c r="K17" s="348"/>
      <c r="L17" s="223"/>
      <c r="M17" s="348"/>
      <c r="N17" s="348"/>
    </row>
    <row r="18" spans="1:14" ht="15" x14ac:dyDescent="0.2">
      <c r="A18" s="216"/>
      <c r="B18" s="221"/>
      <c r="C18" s="348"/>
      <c r="D18" s="348"/>
      <c r="E18" s="348"/>
      <c r="F18" s="348"/>
      <c r="G18" s="222" t="s">
        <v>527</v>
      </c>
      <c r="H18" s="348"/>
      <c r="I18" s="348"/>
      <c r="J18" s="348"/>
      <c r="K18" s="348"/>
      <c r="L18" s="223"/>
      <c r="M18" s="348"/>
      <c r="N18" s="348"/>
    </row>
    <row r="19" spans="1:14" ht="15" x14ac:dyDescent="0.2">
      <c r="A19" s="216"/>
      <c r="B19" s="221"/>
      <c r="C19" s="348"/>
      <c r="D19" s="348"/>
      <c r="E19" s="348"/>
      <c r="F19" s="348"/>
      <c r="G19" s="222"/>
      <c r="H19" s="348"/>
      <c r="I19" s="348"/>
      <c r="J19" s="348"/>
      <c r="K19" s="348"/>
      <c r="L19" s="223"/>
      <c r="M19" s="348"/>
      <c r="N19" s="348"/>
    </row>
    <row r="20" spans="1:14" ht="15" x14ac:dyDescent="0.2">
      <c r="A20" s="216"/>
      <c r="B20" s="221"/>
      <c r="C20" s="348"/>
      <c r="D20" s="348"/>
      <c r="E20" s="348"/>
      <c r="F20" s="348"/>
      <c r="G20" s="222" t="s">
        <v>528</v>
      </c>
      <c r="H20" s="348"/>
      <c r="I20" s="348"/>
      <c r="J20" s="348"/>
      <c r="K20" s="348"/>
      <c r="L20" s="223"/>
      <c r="M20" s="348"/>
      <c r="N20" s="348"/>
    </row>
    <row r="21" spans="1:14" ht="15" x14ac:dyDescent="0.2">
      <c r="A21" s="216"/>
      <c r="B21" s="221"/>
      <c r="C21" s="348"/>
      <c r="D21" s="348"/>
      <c r="E21" s="348"/>
      <c r="F21" s="348"/>
      <c r="G21" s="348"/>
      <c r="H21" s="348"/>
      <c r="I21" s="348"/>
      <c r="J21" s="348"/>
      <c r="K21" s="348"/>
      <c r="L21" s="223"/>
      <c r="M21" s="348"/>
      <c r="N21" s="348"/>
    </row>
    <row r="22" spans="1:14" ht="15" x14ac:dyDescent="0.2">
      <c r="A22" s="216"/>
      <c r="B22" s="221"/>
      <c r="C22" s="348"/>
      <c r="D22" s="348"/>
      <c r="E22" s="348"/>
      <c r="F22" s="348"/>
      <c r="G22" s="351" t="s">
        <v>529</v>
      </c>
      <c r="H22" s="348"/>
      <c r="I22" s="348"/>
      <c r="J22" s="348"/>
      <c r="K22" s="348"/>
      <c r="L22" s="223"/>
      <c r="M22" s="348"/>
      <c r="N22" s="348"/>
    </row>
    <row r="23" spans="1:14" ht="15" x14ac:dyDescent="0.2">
      <c r="A23" s="216"/>
      <c r="B23" s="221"/>
      <c r="C23" s="348"/>
      <c r="D23" s="348"/>
      <c r="E23" s="348"/>
      <c r="F23" s="348"/>
      <c r="G23" s="351" t="s">
        <v>469</v>
      </c>
      <c r="H23" s="348"/>
      <c r="I23" s="348"/>
      <c r="J23" s="348"/>
      <c r="K23" s="348"/>
      <c r="L23" s="223"/>
      <c r="M23" s="348"/>
      <c r="N23" s="348"/>
    </row>
    <row r="24" spans="1:14" ht="15" x14ac:dyDescent="0.2">
      <c r="A24" s="216"/>
      <c r="B24" s="221"/>
      <c r="C24" s="348"/>
      <c r="D24" s="348"/>
      <c r="E24" s="348"/>
      <c r="F24" s="348"/>
      <c r="G24" s="351" t="s">
        <v>470</v>
      </c>
      <c r="H24" s="348"/>
      <c r="I24" s="348"/>
      <c r="J24" s="348"/>
      <c r="K24" s="348"/>
      <c r="L24" s="223"/>
      <c r="M24" s="348"/>
      <c r="N24" s="348"/>
    </row>
    <row r="25" spans="1:14" ht="15" x14ac:dyDescent="0.2">
      <c r="A25" s="216"/>
      <c r="B25" s="221"/>
      <c r="C25" s="348"/>
      <c r="D25" s="348"/>
      <c r="E25" s="348"/>
      <c r="F25" s="348"/>
      <c r="G25" s="225"/>
      <c r="H25" s="348"/>
      <c r="I25" s="348"/>
      <c r="J25" s="348"/>
      <c r="K25" s="348"/>
      <c r="L25" s="223"/>
      <c r="M25" s="348"/>
      <c r="N25" s="348"/>
    </row>
    <row r="26" spans="1:14" ht="15" x14ac:dyDescent="0.2">
      <c r="A26" s="216"/>
      <c r="B26" s="221"/>
      <c r="C26" s="348"/>
      <c r="D26" s="348"/>
      <c r="E26" s="348"/>
      <c r="F26" s="348"/>
      <c r="G26" s="222" t="s">
        <v>155</v>
      </c>
      <c r="H26" s="348"/>
      <c r="I26" s="348"/>
      <c r="J26" s="348"/>
      <c r="K26" s="348"/>
      <c r="L26" s="223"/>
      <c r="M26" s="348"/>
      <c r="N26" s="348"/>
    </row>
    <row r="27" spans="1:14" ht="15" x14ac:dyDescent="0.2">
      <c r="A27" s="216"/>
      <c r="B27" s="221"/>
      <c r="C27" s="348"/>
      <c r="D27" s="348"/>
      <c r="E27" s="348"/>
      <c r="F27" s="348"/>
      <c r="G27" s="222" t="s">
        <v>471</v>
      </c>
      <c r="H27" s="348"/>
      <c r="I27" s="348"/>
      <c r="J27" s="348"/>
      <c r="K27" s="348"/>
      <c r="L27" s="223"/>
      <c r="M27" s="348"/>
      <c r="N27" s="348"/>
    </row>
    <row r="28" spans="1:14" ht="15" x14ac:dyDescent="0.2">
      <c r="A28" s="216"/>
      <c r="B28" s="221"/>
      <c r="C28" s="348"/>
      <c r="D28" s="348"/>
      <c r="E28" s="348"/>
      <c r="F28" s="348"/>
      <c r="G28" s="351" t="s">
        <v>472</v>
      </c>
      <c r="H28" s="348"/>
      <c r="I28" s="348"/>
      <c r="J28" s="348"/>
      <c r="K28" s="348"/>
      <c r="L28" s="223"/>
      <c r="M28" s="348"/>
      <c r="N28" s="348"/>
    </row>
    <row r="29" spans="1:14" ht="15" x14ac:dyDescent="0.2">
      <c r="A29" s="216"/>
      <c r="B29" s="221"/>
      <c r="C29" s="348"/>
      <c r="D29" s="348"/>
      <c r="E29" s="348"/>
      <c r="F29" s="348"/>
      <c r="G29" s="222" t="s">
        <v>156</v>
      </c>
      <c r="H29" s="348"/>
      <c r="I29" s="348"/>
      <c r="J29" s="348"/>
      <c r="K29" s="348"/>
      <c r="L29" s="223"/>
      <c r="M29" s="348"/>
      <c r="N29" s="348"/>
    </row>
    <row r="30" spans="1:14" ht="15" x14ac:dyDescent="0.2">
      <c r="A30" s="216"/>
      <c r="B30" s="221"/>
      <c r="C30" s="348"/>
      <c r="D30" s="348"/>
      <c r="E30" s="348"/>
      <c r="F30" s="348"/>
      <c r="G30" s="222" t="s">
        <v>157</v>
      </c>
      <c r="H30" s="348"/>
      <c r="I30" s="348"/>
      <c r="J30" s="348"/>
      <c r="K30" s="348"/>
      <c r="L30" s="223"/>
      <c r="M30" s="348"/>
      <c r="N30" s="348"/>
    </row>
    <row r="31" spans="1:14" ht="15" x14ac:dyDescent="0.2">
      <c r="A31" s="216"/>
      <c r="B31" s="221"/>
      <c r="C31" s="348"/>
      <c r="D31" s="348"/>
      <c r="E31" s="348"/>
      <c r="F31" s="348"/>
      <c r="G31" s="348"/>
      <c r="H31" s="348"/>
      <c r="I31" s="348"/>
      <c r="J31" s="348"/>
      <c r="K31" s="348"/>
      <c r="L31" s="223"/>
      <c r="M31" s="348"/>
      <c r="N31" s="348"/>
    </row>
    <row r="32" spans="1:14" ht="15" x14ac:dyDescent="0.2">
      <c r="A32" s="216"/>
      <c r="B32" s="221"/>
      <c r="C32" s="348"/>
      <c r="D32" s="348"/>
      <c r="E32" s="348"/>
      <c r="F32" s="348"/>
      <c r="G32" s="222" t="s">
        <v>153</v>
      </c>
      <c r="H32" s="348"/>
      <c r="I32" s="348"/>
      <c r="J32" s="348"/>
      <c r="K32" s="348"/>
      <c r="L32" s="223"/>
      <c r="M32" s="348"/>
      <c r="N32" s="348"/>
    </row>
    <row r="33" spans="1:14" ht="15" x14ac:dyDescent="0.2">
      <c r="A33" s="216"/>
      <c r="B33" s="221"/>
      <c r="C33" s="348"/>
      <c r="D33" s="348"/>
      <c r="E33" s="348"/>
      <c r="F33" s="348"/>
      <c r="G33" s="351" t="s">
        <v>473</v>
      </c>
      <c r="H33" s="348"/>
      <c r="I33" s="348"/>
      <c r="J33" s="348"/>
      <c r="K33" s="348"/>
      <c r="L33" s="223"/>
      <c r="M33" s="348"/>
      <c r="N33" s="348"/>
    </row>
    <row r="34" spans="1:14" ht="15" x14ac:dyDescent="0.2">
      <c r="A34" s="216"/>
      <c r="B34" s="221"/>
      <c r="C34" s="348"/>
      <c r="D34" s="348"/>
      <c r="E34" s="348"/>
      <c r="F34" s="348"/>
      <c r="G34" s="222" t="s">
        <v>154</v>
      </c>
      <c r="H34" s="348"/>
      <c r="I34" s="348"/>
      <c r="J34" s="348"/>
      <c r="K34" s="348"/>
      <c r="L34" s="223"/>
      <c r="M34" s="348"/>
      <c r="N34" s="348"/>
    </row>
    <row r="35" spans="1:14" ht="15" x14ac:dyDescent="0.2">
      <c r="A35" s="216"/>
      <c r="B35" s="221"/>
      <c r="C35" s="348"/>
      <c r="D35" s="348"/>
      <c r="E35" s="348"/>
      <c r="F35" s="348"/>
      <c r="G35" s="348"/>
      <c r="H35" s="348"/>
      <c r="I35" s="348"/>
      <c r="J35" s="348"/>
      <c r="K35" s="348"/>
      <c r="L35" s="223"/>
      <c r="M35" s="348"/>
      <c r="N35" s="348"/>
    </row>
    <row r="36" spans="1:14" ht="15.75" x14ac:dyDescent="0.2">
      <c r="A36" s="216"/>
      <c r="B36" s="224"/>
      <c r="C36" s="348"/>
      <c r="D36" s="348"/>
      <c r="E36" s="348"/>
      <c r="F36" s="348"/>
      <c r="G36" s="222" t="s">
        <v>530</v>
      </c>
      <c r="H36" s="348"/>
      <c r="I36" s="348"/>
      <c r="J36" s="348"/>
      <c r="K36" s="348"/>
      <c r="L36" s="223"/>
      <c r="M36" s="348"/>
      <c r="N36" s="348"/>
    </row>
    <row r="37" spans="1:14" ht="15.75" x14ac:dyDescent="0.2">
      <c r="A37" s="216"/>
      <c r="B37" s="224"/>
      <c r="C37" s="348"/>
      <c r="D37" s="348"/>
      <c r="E37" s="348"/>
      <c r="F37" s="348"/>
      <c r="G37" s="348"/>
      <c r="H37" s="348"/>
      <c r="I37" s="348"/>
      <c r="J37" s="348"/>
      <c r="K37" s="348"/>
      <c r="L37" s="223"/>
      <c r="M37" s="348"/>
      <c r="N37" s="348"/>
    </row>
    <row r="38" spans="1:14" ht="15" x14ac:dyDescent="0.2">
      <c r="A38" s="348"/>
      <c r="B38" s="357"/>
      <c r="C38" s="356"/>
      <c r="D38" s="356"/>
      <c r="E38" s="356"/>
      <c r="F38" s="356"/>
      <c r="G38" s="222" t="s">
        <v>158</v>
      </c>
      <c r="H38" s="356"/>
      <c r="I38" s="356"/>
      <c r="J38" s="356"/>
      <c r="K38" s="356"/>
      <c r="L38" s="223"/>
      <c r="M38" s="348"/>
      <c r="N38" s="348"/>
    </row>
    <row r="39" spans="1:14" ht="15" x14ac:dyDescent="0.2">
      <c r="A39" s="348"/>
      <c r="B39" s="358"/>
      <c r="C39" s="348"/>
      <c r="D39" s="348"/>
      <c r="E39" s="348"/>
      <c r="F39" s="348"/>
      <c r="G39" s="222" t="s">
        <v>159</v>
      </c>
      <c r="H39" s="348"/>
      <c r="I39" s="348"/>
      <c r="J39" s="348"/>
      <c r="K39" s="348"/>
      <c r="L39" s="216"/>
      <c r="M39" s="348"/>
      <c r="N39" s="348"/>
    </row>
    <row r="40" spans="1:14" ht="13.5" thickBot="1" x14ac:dyDescent="0.25">
      <c r="A40" s="348"/>
      <c r="B40" s="359"/>
      <c r="C40" s="360"/>
      <c r="D40" s="360"/>
      <c r="E40" s="360"/>
      <c r="F40" s="360"/>
      <c r="G40" s="360"/>
      <c r="H40" s="360"/>
      <c r="I40" s="360"/>
      <c r="J40" s="360"/>
      <c r="K40" s="360"/>
      <c r="L40" s="361"/>
      <c r="M40" s="348"/>
      <c r="N40" s="348"/>
    </row>
    <row r="41" spans="1:14" x14ac:dyDescent="0.2">
      <c r="A41" s="368"/>
      <c r="B41" s="368"/>
      <c r="C41" s="368"/>
      <c r="D41" s="368"/>
      <c r="E41" s="368"/>
      <c r="F41" s="368"/>
      <c r="G41" s="368"/>
      <c r="H41" s="363"/>
      <c r="I41" s="363"/>
      <c r="J41" s="363"/>
      <c r="K41" s="363"/>
      <c r="L41" s="363"/>
      <c r="M41" s="363"/>
      <c r="N41" s="363"/>
    </row>
    <row r="42" spans="1:14" x14ac:dyDescent="0.2">
      <c r="A42" s="368"/>
      <c r="B42" s="368"/>
      <c r="C42" s="368"/>
      <c r="D42" s="368"/>
      <c r="E42" s="368"/>
      <c r="F42" s="368"/>
      <c r="G42" s="368"/>
      <c r="H42" s="363"/>
      <c r="I42" s="363"/>
      <c r="J42" s="363"/>
      <c r="K42" s="363"/>
      <c r="L42" s="363"/>
      <c r="M42" s="363"/>
      <c r="N42" s="363"/>
    </row>
    <row r="43" spans="1:14" x14ac:dyDescent="0.2">
      <c r="A43" s="225"/>
      <c r="B43" s="225"/>
      <c r="C43" s="225"/>
      <c r="D43" s="225"/>
      <c r="E43" s="225"/>
      <c r="F43" s="225"/>
      <c r="G43" s="225"/>
      <c r="H43" s="363"/>
      <c r="I43" s="363"/>
      <c r="J43" s="363"/>
      <c r="K43" s="363"/>
      <c r="L43" s="363"/>
      <c r="M43" s="363"/>
      <c r="N43" s="363"/>
    </row>
    <row r="44" spans="1:14" x14ac:dyDescent="0.2">
      <c r="A44" s="225"/>
      <c r="B44" s="225"/>
      <c r="C44" s="225"/>
      <c r="D44" s="225"/>
      <c r="E44" s="225"/>
      <c r="F44" s="225"/>
      <c r="G44" s="225"/>
      <c r="H44" s="363"/>
      <c r="I44" s="363"/>
      <c r="J44" s="363"/>
      <c r="K44" s="363"/>
      <c r="L44" s="363"/>
      <c r="M44" s="363"/>
      <c r="N44" s="363"/>
    </row>
    <row r="45" spans="1:14" x14ac:dyDescent="0.2">
      <c r="A45" s="225"/>
      <c r="B45" s="225"/>
      <c r="C45" s="225"/>
      <c r="D45" s="225"/>
      <c r="E45" s="225"/>
      <c r="F45" s="225"/>
      <c r="G45" s="225"/>
      <c r="H45" s="363"/>
      <c r="I45" s="363"/>
      <c r="J45" s="363"/>
      <c r="K45" s="363"/>
      <c r="L45" s="363"/>
      <c r="M45" s="363"/>
      <c r="N45" s="363"/>
    </row>
    <row r="46" spans="1:14" x14ac:dyDescent="0.2">
      <c r="A46" s="225"/>
      <c r="B46" s="225"/>
      <c r="C46" s="225"/>
      <c r="D46" s="225"/>
      <c r="E46" s="225"/>
      <c r="F46" s="225"/>
      <c r="G46" s="225"/>
      <c r="H46" s="363"/>
      <c r="I46" s="363"/>
      <c r="J46" s="363"/>
      <c r="K46" s="363"/>
      <c r="L46" s="363"/>
      <c r="M46" s="363"/>
      <c r="N46" s="363"/>
    </row>
    <row r="47" spans="1:14" x14ac:dyDescent="0.2">
      <c r="A47" s="225"/>
      <c r="B47" s="225"/>
      <c r="C47" s="225"/>
      <c r="D47" s="225"/>
      <c r="E47" s="225"/>
      <c r="F47" s="225"/>
      <c r="G47" s="225"/>
      <c r="H47" s="363"/>
      <c r="I47" s="363"/>
      <c r="J47" s="363"/>
      <c r="K47" s="363"/>
      <c r="L47" s="363"/>
      <c r="M47" s="363"/>
      <c r="N47" s="363"/>
    </row>
    <row r="48" spans="1:14" x14ac:dyDescent="0.2">
      <c r="A48" s="225"/>
      <c r="B48" s="225"/>
      <c r="C48" s="225"/>
      <c r="D48" s="225"/>
      <c r="E48" s="225"/>
      <c r="F48" s="225"/>
      <c r="G48" s="225"/>
      <c r="H48" s="363"/>
      <c r="I48" s="363"/>
      <c r="J48" s="363"/>
      <c r="K48" s="363"/>
      <c r="L48" s="363"/>
      <c r="M48" s="363"/>
      <c r="N48" s="363"/>
    </row>
    <row r="49" spans="1:14" x14ac:dyDescent="0.2">
      <c r="A49" s="225"/>
      <c r="B49" s="225"/>
      <c r="C49" s="225"/>
      <c r="D49" s="225"/>
      <c r="E49" s="225"/>
      <c r="F49" s="225"/>
      <c r="G49" s="225"/>
      <c r="H49" s="363"/>
      <c r="I49" s="363"/>
      <c r="J49" s="363"/>
      <c r="K49" s="363"/>
      <c r="L49" s="363"/>
      <c r="M49" s="363"/>
      <c r="N49" s="363"/>
    </row>
    <row r="50" spans="1:14" x14ac:dyDescent="0.2">
      <c r="A50" s="225"/>
      <c r="B50" s="225"/>
      <c r="C50" s="225"/>
      <c r="D50" s="225"/>
      <c r="E50" s="225"/>
      <c r="F50" s="225"/>
      <c r="G50" s="225"/>
      <c r="H50" s="363"/>
      <c r="I50" s="363"/>
      <c r="J50" s="363"/>
      <c r="K50" s="363"/>
      <c r="L50" s="363"/>
      <c r="M50" s="363"/>
      <c r="N50" s="363"/>
    </row>
    <row r="51" spans="1:14" x14ac:dyDescent="0.2">
      <c r="A51" s="225"/>
      <c r="B51" s="225"/>
      <c r="C51" s="225"/>
      <c r="D51" s="225"/>
      <c r="E51" s="225"/>
      <c r="F51" s="225"/>
      <c r="G51" s="225"/>
      <c r="H51" s="363"/>
      <c r="I51" s="363"/>
      <c r="J51" s="363"/>
      <c r="K51" s="363"/>
      <c r="L51" s="363"/>
      <c r="M51" s="363"/>
      <c r="N51" s="363"/>
    </row>
    <row r="52" spans="1:14" x14ac:dyDescent="0.2">
      <c r="A52" s="225"/>
      <c r="B52" s="225"/>
      <c r="C52" s="225"/>
      <c r="D52" s="225"/>
      <c r="E52" s="225"/>
      <c r="F52" s="225"/>
      <c r="G52" s="225"/>
      <c r="H52" s="363"/>
      <c r="I52" s="363"/>
      <c r="J52" s="363"/>
      <c r="K52" s="363"/>
      <c r="L52" s="363"/>
      <c r="M52" s="363"/>
      <c r="N52" s="363"/>
    </row>
    <row r="53" spans="1:14" x14ac:dyDescent="0.2">
      <c r="A53" s="225"/>
      <c r="B53" s="225"/>
      <c r="C53" s="225"/>
      <c r="D53" s="225"/>
      <c r="E53" s="225"/>
      <c r="F53" s="225"/>
      <c r="G53" s="225"/>
      <c r="H53" s="363"/>
      <c r="I53" s="363"/>
      <c r="J53" s="363"/>
      <c r="K53" s="363"/>
      <c r="L53" s="363"/>
      <c r="M53" s="363"/>
      <c r="N53" s="363"/>
    </row>
    <row r="54" spans="1:14" x14ac:dyDescent="0.2">
      <c r="A54" s="225"/>
      <c r="B54" s="225"/>
      <c r="C54" s="225"/>
      <c r="D54" s="225"/>
      <c r="E54" s="225"/>
      <c r="F54" s="225"/>
      <c r="G54" s="225"/>
      <c r="H54" s="363"/>
      <c r="I54" s="363"/>
      <c r="J54" s="363"/>
      <c r="K54" s="363"/>
      <c r="L54" s="363"/>
      <c r="M54" s="363"/>
      <c r="N54" s="363"/>
    </row>
    <row r="55" spans="1:14" x14ac:dyDescent="0.2">
      <c r="A55" s="225"/>
      <c r="B55" s="225"/>
      <c r="C55" s="225"/>
      <c r="D55" s="225"/>
      <c r="E55" s="225"/>
      <c r="F55" s="225"/>
      <c r="G55" s="225"/>
      <c r="H55" s="363"/>
      <c r="I55" s="363"/>
      <c r="J55" s="363"/>
      <c r="K55" s="363"/>
      <c r="L55" s="363"/>
      <c r="M55" s="363"/>
      <c r="N55" s="363"/>
    </row>
    <row r="56" spans="1:14" x14ac:dyDescent="0.2">
      <c r="A56" s="225"/>
      <c r="B56" s="225"/>
      <c r="C56" s="225"/>
      <c r="D56" s="225"/>
      <c r="E56" s="225"/>
      <c r="F56" s="225"/>
      <c r="G56" s="225"/>
      <c r="H56" s="363"/>
      <c r="I56" s="363"/>
      <c r="J56" s="363"/>
      <c r="K56" s="363"/>
      <c r="L56" s="363"/>
      <c r="M56" s="363"/>
      <c r="N56" s="363"/>
    </row>
    <row r="57" spans="1:14" x14ac:dyDescent="0.2">
      <c r="A57" s="225"/>
      <c r="B57" s="225"/>
      <c r="C57" s="225"/>
      <c r="D57" s="225"/>
      <c r="E57" s="225"/>
      <c r="F57" s="225"/>
      <c r="G57" s="225"/>
      <c r="H57" s="363"/>
      <c r="I57" s="363"/>
      <c r="J57" s="363"/>
      <c r="K57" s="363"/>
      <c r="L57" s="363"/>
      <c r="M57" s="363"/>
      <c r="N57" s="363"/>
    </row>
    <row r="58" spans="1:14" x14ac:dyDescent="0.2">
      <c r="A58" s="225"/>
      <c r="B58" s="225"/>
      <c r="C58" s="225"/>
      <c r="D58" s="225"/>
      <c r="E58" s="225"/>
      <c r="F58" s="225"/>
      <c r="G58" s="225"/>
      <c r="H58" s="363"/>
      <c r="I58" s="363"/>
      <c r="J58" s="363"/>
      <c r="K58" s="363"/>
      <c r="L58" s="363"/>
      <c r="M58" s="363"/>
      <c r="N58" s="363"/>
    </row>
    <row r="59" spans="1:14" x14ac:dyDescent="0.2">
      <c r="A59" s="225"/>
      <c r="B59" s="225"/>
      <c r="C59" s="225"/>
      <c r="D59" s="225"/>
      <c r="E59" s="225"/>
      <c r="F59" s="225"/>
      <c r="G59" s="225"/>
      <c r="H59" s="363"/>
      <c r="I59" s="363"/>
      <c r="J59" s="363"/>
      <c r="K59" s="363"/>
      <c r="L59" s="363"/>
      <c r="M59" s="363"/>
      <c r="N59" s="363"/>
    </row>
    <row r="60" spans="1:14" x14ac:dyDescent="0.2">
      <c r="A60" s="225"/>
      <c r="B60" s="225"/>
      <c r="C60" s="225"/>
      <c r="D60" s="225"/>
      <c r="E60" s="225"/>
      <c r="F60" s="225"/>
      <c r="G60" s="225"/>
      <c r="H60" s="363"/>
      <c r="I60" s="363"/>
      <c r="J60" s="363"/>
      <c r="K60" s="363"/>
      <c r="L60" s="363"/>
      <c r="M60" s="363"/>
      <c r="N60" s="363"/>
    </row>
    <row r="61" spans="1:14" x14ac:dyDescent="0.2">
      <c r="A61" s="225"/>
      <c r="B61" s="225"/>
      <c r="C61" s="225"/>
      <c r="D61" s="225"/>
      <c r="E61" s="225"/>
      <c r="F61" s="225"/>
      <c r="G61" s="225"/>
      <c r="H61" s="363"/>
      <c r="I61" s="363"/>
      <c r="J61" s="363"/>
      <c r="K61" s="363"/>
      <c r="L61" s="363"/>
      <c r="M61" s="363"/>
      <c r="N61" s="363"/>
    </row>
    <row r="62" spans="1:14" x14ac:dyDescent="0.2">
      <c r="A62" s="225"/>
      <c r="B62" s="225"/>
      <c r="C62" s="225"/>
      <c r="D62" s="225"/>
      <c r="E62" s="225"/>
      <c r="F62" s="225"/>
      <c r="G62" s="225"/>
      <c r="H62" s="363"/>
      <c r="I62" s="363"/>
      <c r="J62" s="363"/>
      <c r="K62" s="363"/>
      <c r="L62" s="363"/>
      <c r="M62" s="363"/>
      <c r="N62" s="363"/>
    </row>
    <row r="63" spans="1:14" x14ac:dyDescent="0.2">
      <c r="A63" s="225"/>
      <c r="B63" s="225"/>
      <c r="C63" s="225"/>
      <c r="D63" s="225"/>
      <c r="E63" s="225"/>
      <c r="F63" s="225"/>
      <c r="G63" s="225"/>
      <c r="H63" s="363"/>
      <c r="I63" s="363"/>
      <c r="J63" s="363"/>
      <c r="K63" s="363"/>
      <c r="L63" s="363"/>
      <c r="M63" s="363"/>
      <c r="N63" s="363"/>
    </row>
    <row r="64" spans="1:14" x14ac:dyDescent="0.2">
      <c r="A64" s="225"/>
      <c r="B64" s="225"/>
      <c r="C64" s="225"/>
      <c r="D64" s="225"/>
      <c r="E64" s="225"/>
      <c r="F64" s="225"/>
      <c r="G64" s="225"/>
      <c r="H64" s="363"/>
      <c r="I64" s="363"/>
      <c r="J64" s="363"/>
      <c r="K64" s="363"/>
      <c r="L64" s="363"/>
      <c r="M64" s="363"/>
      <c r="N64" s="363"/>
    </row>
    <row r="65" spans="1:14" x14ac:dyDescent="0.2">
      <c r="A65" s="225"/>
      <c r="B65" s="225"/>
      <c r="C65" s="225"/>
      <c r="D65" s="225"/>
      <c r="E65" s="225"/>
      <c r="F65" s="225"/>
      <c r="G65" s="225"/>
      <c r="H65" s="363"/>
      <c r="I65" s="363"/>
      <c r="J65" s="363"/>
      <c r="K65" s="363"/>
      <c r="L65" s="363"/>
      <c r="M65" s="363"/>
      <c r="N65" s="363"/>
    </row>
    <row r="66" spans="1:14" x14ac:dyDescent="0.2">
      <c r="A66" s="225"/>
      <c r="B66" s="225"/>
      <c r="C66" s="225"/>
      <c r="D66" s="225"/>
      <c r="E66" s="225"/>
      <c r="F66" s="225"/>
      <c r="G66" s="225"/>
      <c r="H66" s="363"/>
      <c r="I66" s="363"/>
      <c r="J66" s="363"/>
      <c r="K66" s="363"/>
      <c r="L66" s="363"/>
      <c r="M66" s="363"/>
      <c r="N66" s="363"/>
    </row>
    <row r="67" spans="1:14" x14ac:dyDescent="0.2">
      <c r="A67" s="225"/>
      <c r="B67" s="225"/>
      <c r="C67" s="225"/>
      <c r="D67" s="225"/>
      <c r="E67" s="225"/>
      <c r="F67" s="225"/>
      <c r="G67" s="225"/>
      <c r="H67" s="363"/>
      <c r="I67" s="363"/>
      <c r="J67" s="363"/>
      <c r="K67" s="363"/>
      <c r="L67" s="363"/>
      <c r="M67" s="363"/>
      <c r="N67" s="363"/>
    </row>
    <row r="68" spans="1:14" x14ac:dyDescent="0.2">
      <c r="A68" s="225"/>
      <c r="B68" s="225"/>
      <c r="C68" s="225"/>
      <c r="D68" s="225"/>
      <c r="E68" s="225"/>
      <c r="F68" s="225"/>
      <c r="G68" s="225"/>
      <c r="H68" s="363"/>
      <c r="I68" s="363"/>
      <c r="J68" s="363"/>
      <c r="K68" s="363"/>
      <c r="L68" s="363"/>
      <c r="M68" s="363"/>
      <c r="N68" s="363"/>
    </row>
    <row r="69" spans="1:14" x14ac:dyDescent="0.2">
      <c r="A69" s="225"/>
      <c r="B69" s="225"/>
      <c r="C69" s="225"/>
      <c r="D69" s="225"/>
      <c r="E69" s="225"/>
      <c r="F69" s="225"/>
      <c r="G69" s="225"/>
      <c r="H69" s="363"/>
      <c r="I69" s="363"/>
      <c r="J69" s="363"/>
      <c r="K69" s="363"/>
      <c r="L69" s="363"/>
      <c r="M69" s="363"/>
      <c r="N69" s="363"/>
    </row>
    <row r="70" spans="1:14" x14ac:dyDescent="0.2">
      <c r="A70" s="225"/>
      <c r="B70" s="225"/>
      <c r="C70" s="225"/>
      <c r="D70" s="225"/>
      <c r="E70" s="225"/>
      <c r="F70" s="225"/>
      <c r="G70" s="225"/>
      <c r="H70" s="363"/>
      <c r="I70" s="363"/>
      <c r="J70" s="363"/>
      <c r="K70" s="363"/>
      <c r="L70" s="363"/>
      <c r="M70" s="363"/>
      <c r="N70" s="363"/>
    </row>
    <row r="71" spans="1:14" x14ac:dyDescent="0.2">
      <c r="A71" s="225"/>
      <c r="B71" s="225"/>
      <c r="C71" s="225"/>
      <c r="D71" s="225"/>
      <c r="E71" s="225"/>
      <c r="F71" s="225"/>
      <c r="G71" s="225"/>
      <c r="H71" s="363"/>
      <c r="I71" s="363"/>
      <c r="J71" s="363"/>
      <c r="K71" s="363"/>
      <c r="L71" s="363"/>
      <c r="M71" s="363"/>
      <c r="N71" s="363"/>
    </row>
    <row r="72" spans="1:14" x14ac:dyDescent="0.2">
      <c r="A72" s="225"/>
      <c r="B72" s="225"/>
      <c r="C72" s="225"/>
      <c r="D72" s="225"/>
      <c r="E72" s="225"/>
      <c r="F72" s="225"/>
      <c r="G72" s="225"/>
      <c r="H72" s="363"/>
      <c r="I72" s="363"/>
      <c r="J72" s="363"/>
      <c r="K72" s="363"/>
      <c r="L72" s="363"/>
      <c r="M72" s="363"/>
      <c r="N72" s="363"/>
    </row>
    <row r="73" spans="1:14" x14ac:dyDescent="0.2">
      <c r="A73" s="225"/>
      <c r="B73" s="225"/>
      <c r="C73" s="225"/>
      <c r="D73" s="225"/>
      <c r="E73" s="225"/>
      <c r="F73" s="225"/>
      <c r="G73" s="225"/>
      <c r="H73" s="363"/>
      <c r="I73" s="363"/>
      <c r="J73" s="363"/>
      <c r="K73" s="363"/>
      <c r="L73" s="363"/>
      <c r="M73" s="363"/>
      <c r="N73" s="363"/>
    </row>
    <row r="74" spans="1:14" x14ac:dyDescent="0.2">
      <c r="A74" s="225"/>
      <c r="B74" s="225"/>
      <c r="C74" s="225"/>
      <c r="D74" s="225"/>
      <c r="E74" s="225"/>
      <c r="F74" s="225"/>
      <c r="G74" s="225"/>
      <c r="H74" s="363"/>
      <c r="I74" s="363"/>
      <c r="J74" s="363"/>
      <c r="K74" s="363"/>
      <c r="L74" s="363"/>
      <c r="M74" s="363"/>
      <c r="N74" s="363"/>
    </row>
    <row r="75" spans="1:14" x14ac:dyDescent="0.2">
      <c r="A75" s="225"/>
      <c r="B75" s="225"/>
      <c r="C75" s="225"/>
      <c r="D75" s="225"/>
      <c r="E75" s="225"/>
      <c r="F75" s="225"/>
      <c r="G75" s="225"/>
      <c r="H75" s="363"/>
      <c r="I75" s="363"/>
      <c r="J75" s="363"/>
      <c r="K75" s="363"/>
      <c r="L75" s="363"/>
      <c r="M75" s="363"/>
      <c r="N75" s="363"/>
    </row>
    <row r="76" spans="1:14" x14ac:dyDescent="0.2">
      <c r="A76" s="225"/>
      <c r="B76" s="225"/>
      <c r="C76" s="225"/>
      <c r="D76" s="225"/>
      <c r="E76" s="225"/>
      <c r="F76" s="225"/>
      <c r="G76" s="225"/>
      <c r="H76" s="363"/>
      <c r="I76" s="363"/>
      <c r="J76" s="363"/>
      <c r="K76" s="363"/>
      <c r="L76" s="363"/>
      <c r="M76" s="363"/>
      <c r="N76" s="363"/>
    </row>
    <row r="77" spans="1:14" x14ac:dyDescent="0.2">
      <c r="A77" s="225"/>
      <c r="B77" s="225"/>
      <c r="C77" s="225"/>
      <c r="D77" s="225"/>
      <c r="E77" s="225"/>
      <c r="F77" s="225"/>
      <c r="G77" s="225"/>
      <c r="H77" s="363"/>
      <c r="I77" s="363"/>
      <c r="J77" s="363"/>
      <c r="K77" s="363"/>
      <c r="L77" s="363"/>
      <c r="M77" s="363"/>
      <c r="N77" s="363"/>
    </row>
    <row r="78" spans="1:14" x14ac:dyDescent="0.2">
      <c r="A78" s="225"/>
      <c r="B78" s="225"/>
      <c r="C78" s="225"/>
      <c r="D78" s="225"/>
      <c r="E78" s="225"/>
      <c r="F78" s="225"/>
      <c r="G78" s="225"/>
      <c r="H78" s="363"/>
      <c r="I78" s="363"/>
      <c r="J78" s="363"/>
      <c r="K78" s="363"/>
      <c r="L78" s="363"/>
      <c r="M78" s="363"/>
      <c r="N78" s="363"/>
    </row>
    <row r="79" spans="1:14" x14ac:dyDescent="0.2">
      <c r="A79" s="225"/>
      <c r="B79" s="225"/>
      <c r="C79" s="225"/>
      <c r="D79" s="225"/>
      <c r="E79" s="225"/>
      <c r="F79" s="225"/>
      <c r="G79" s="225"/>
      <c r="H79" s="363"/>
      <c r="I79" s="363"/>
      <c r="J79" s="363"/>
      <c r="K79" s="363"/>
      <c r="L79" s="363"/>
      <c r="M79" s="363"/>
      <c r="N79" s="363"/>
    </row>
    <row r="80" spans="1:14" x14ac:dyDescent="0.2">
      <c r="A80" s="225"/>
      <c r="B80" s="225"/>
      <c r="C80" s="225"/>
      <c r="D80" s="225"/>
      <c r="E80" s="225"/>
      <c r="F80" s="225"/>
      <c r="G80" s="225"/>
      <c r="H80" s="363"/>
      <c r="I80" s="363"/>
      <c r="J80" s="363"/>
      <c r="K80" s="363"/>
      <c r="L80" s="363"/>
      <c r="M80" s="363"/>
      <c r="N80" s="363"/>
    </row>
    <row r="81" spans="1:14" x14ac:dyDescent="0.2">
      <c r="A81" s="225"/>
      <c r="B81" s="225"/>
      <c r="C81" s="225"/>
      <c r="D81" s="225"/>
      <c r="E81" s="225"/>
      <c r="F81" s="225"/>
      <c r="G81" s="225"/>
      <c r="H81" s="363"/>
      <c r="I81" s="363"/>
      <c r="J81" s="363"/>
      <c r="K81" s="363"/>
      <c r="L81" s="363"/>
      <c r="M81" s="363"/>
      <c r="N81" s="363"/>
    </row>
    <row r="82" spans="1:14" x14ac:dyDescent="0.2">
      <c r="A82" s="225"/>
      <c r="B82" s="225"/>
      <c r="C82" s="225"/>
      <c r="D82" s="225"/>
      <c r="E82" s="225"/>
      <c r="F82" s="225"/>
      <c r="G82" s="225"/>
      <c r="H82" s="363"/>
      <c r="I82" s="363"/>
      <c r="J82" s="363"/>
      <c r="K82" s="363"/>
      <c r="L82" s="363"/>
      <c r="M82" s="363"/>
      <c r="N82" s="363"/>
    </row>
    <row r="83" spans="1:14" x14ac:dyDescent="0.2">
      <c r="A83" s="225"/>
      <c r="B83" s="225"/>
      <c r="C83" s="225"/>
      <c r="D83" s="225"/>
      <c r="E83" s="225"/>
      <c r="F83" s="225"/>
      <c r="G83" s="225"/>
      <c r="H83" s="363"/>
      <c r="I83" s="363"/>
      <c r="J83" s="363"/>
      <c r="K83" s="363"/>
      <c r="L83" s="363"/>
      <c r="M83" s="363"/>
      <c r="N83" s="363"/>
    </row>
    <row r="84" spans="1:14" x14ac:dyDescent="0.2">
      <c r="A84" s="225"/>
      <c r="B84" s="225"/>
      <c r="C84" s="225"/>
      <c r="D84" s="225"/>
      <c r="E84" s="225"/>
      <c r="F84" s="225"/>
      <c r="G84" s="225"/>
      <c r="H84" s="363"/>
      <c r="I84" s="363"/>
      <c r="J84" s="363"/>
      <c r="K84" s="363"/>
      <c r="L84" s="363"/>
      <c r="M84" s="363"/>
      <c r="N84" s="363"/>
    </row>
    <row r="85" spans="1:14" x14ac:dyDescent="0.2">
      <c r="A85" s="225"/>
      <c r="B85" s="225"/>
      <c r="C85" s="225"/>
      <c r="D85" s="225"/>
      <c r="E85" s="225"/>
      <c r="F85" s="225"/>
      <c r="G85" s="225"/>
      <c r="H85" s="363"/>
      <c r="I85" s="363"/>
      <c r="J85" s="363"/>
      <c r="K85" s="363"/>
      <c r="L85" s="363"/>
      <c r="M85" s="363"/>
      <c r="N85" s="363"/>
    </row>
    <row r="86" spans="1:14" x14ac:dyDescent="0.2">
      <c r="A86" s="225"/>
      <c r="B86" s="225"/>
      <c r="C86" s="225"/>
      <c r="D86" s="225"/>
      <c r="E86" s="225"/>
      <c r="F86" s="225"/>
      <c r="G86" s="225"/>
      <c r="H86" s="363"/>
      <c r="I86" s="363"/>
      <c r="J86" s="363"/>
      <c r="K86" s="363"/>
      <c r="L86" s="363"/>
      <c r="M86" s="363"/>
      <c r="N86" s="363"/>
    </row>
    <row r="87" spans="1:14" x14ac:dyDescent="0.2">
      <c r="A87" s="225"/>
      <c r="B87" s="225"/>
      <c r="C87" s="225"/>
      <c r="D87" s="225"/>
      <c r="E87" s="225"/>
      <c r="F87" s="225"/>
      <c r="G87" s="225"/>
      <c r="H87" s="363"/>
      <c r="I87" s="363"/>
      <c r="J87" s="363"/>
      <c r="K87" s="363"/>
      <c r="L87" s="363"/>
      <c r="M87" s="363"/>
      <c r="N87" s="363"/>
    </row>
    <row r="88" spans="1:14" x14ac:dyDescent="0.2">
      <c r="A88" s="225"/>
      <c r="B88" s="225"/>
      <c r="C88" s="225"/>
      <c r="D88" s="225"/>
      <c r="E88" s="225"/>
      <c r="F88" s="225"/>
      <c r="G88" s="225"/>
      <c r="H88" s="363"/>
      <c r="I88" s="363"/>
      <c r="J88" s="363"/>
      <c r="K88" s="363"/>
      <c r="L88" s="363"/>
      <c r="M88" s="363"/>
      <c r="N88" s="363"/>
    </row>
    <row r="89" spans="1:14" x14ac:dyDescent="0.2">
      <c r="A89" s="225"/>
      <c r="B89" s="225"/>
      <c r="C89" s="225"/>
      <c r="D89" s="225"/>
      <c r="E89" s="225"/>
      <c r="F89" s="225"/>
      <c r="G89" s="225"/>
      <c r="H89" s="363"/>
      <c r="I89" s="363"/>
      <c r="J89" s="363"/>
      <c r="K89" s="363"/>
      <c r="L89" s="363"/>
      <c r="M89" s="363"/>
      <c r="N89" s="363"/>
    </row>
    <row r="90" spans="1:14" x14ac:dyDescent="0.2">
      <c r="A90" s="225"/>
      <c r="B90" s="225"/>
      <c r="C90" s="225"/>
      <c r="D90" s="225"/>
      <c r="E90" s="225"/>
      <c r="F90" s="225"/>
      <c r="G90" s="225"/>
      <c r="H90" s="363"/>
      <c r="I90" s="363"/>
      <c r="J90" s="363"/>
      <c r="K90" s="363"/>
      <c r="L90" s="363"/>
      <c r="M90" s="363"/>
      <c r="N90" s="363"/>
    </row>
    <row r="91" spans="1:14" x14ac:dyDescent="0.2">
      <c r="A91" s="225"/>
      <c r="B91" s="225"/>
      <c r="C91" s="225"/>
      <c r="D91" s="225"/>
      <c r="E91" s="225"/>
      <c r="F91" s="225"/>
      <c r="G91" s="225"/>
      <c r="H91" s="363"/>
      <c r="I91" s="363"/>
      <c r="J91" s="363"/>
      <c r="K91" s="363"/>
      <c r="L91" s="363"/>
      <c r="M91" s="363"/>
      <c r="N91" s="363"/>
    </row>
    <row r="92" spans="1:14" x14ac:dyDescent="0.2">
      <c r="A92" s="225"/>
      <c r="B92" s="225"/>
      <c r="C92" s="225"/>
      <c r="D92" s="225"/>
      <c r="E92" s="225"/>
      <c r="F92" s="225"/>
      <c r="G92" s="225"/>
      <c r="H92" s="363"/>
      <c r="I92" s="363"/>
      <c r="J92" s="363"/>
      <c r="K92" s="363"/>
      <c r="L92" s="363"/>
      <c r="M92" s="363"/>
      <c r="N92" s="363"/>
    </row>
    <row r="93" spans="1:14" x14ac:dyDescent="0.2">
      <c r="A93" s="225"/>
      <c r="B93" s="225"/>
      <c r="C93" s="225"/>
      <c r="D93" s="225"/>
      <c r="E93" s="225"/>
      <c r="F93" s="225"/>
      <c r="G93" s="225"/>
      <c r="H93" s="363"/>
      <c r="I93" s="363"/>
      <c r="J93" s="363"/>
      <c r="K93" s="363"/>
      <c r="L93" s="363"/>
      <c r="M93" s="363"/>
      <c r="N93" s="363"/>
    </row>
  </sheetData>
  <mergeCells count="15">
    <mergeCell ref="L41:L93"/>
    <mergeCell ref="M41:M93"/>
    <mergeCell ref="N41:N93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A42:G42"/>
  </mergeCells>
  <hyperlinks>
    <hyperlink ref="G17" r:id="rId1" display="mailto:r.a.wilson@warwick.ac.uk" xr:uid="{5C39AD22-D628-44E6-BE81-477F55DFC7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522</v>
      </c>
      <c r="B1" t="s">
        <v>544</v>
      </c>
    </row>
    <row r="2" spans="1:2" x14ac:dyDescent="0.2">
      <c r="A2" t="s">
        <v>446</v>
      </c>
      <c r="B2" t="s">
        <v>447</v>
      </c>
    </row>
    <row r="3" spans="1:2" x14ac:dyDescent="0.2">
      <c r="A3" t="s">
        <v>448</v>
      </c>
      <c r="B3" t="s">
        <v>519</v>
      </c>
    </row>
    <row r="4" spans="1:2" x14ac:dyDescent="0.2">
      <c r="A4" t="s">
        <v>520</v>
      </c>
      <c r="B4" s="388">
        <v>44967.581817129627</v>
      </c>
    </row>
    <row r="5" spans="1:2" x14ac:dyDescent="0.2">
      <c r="A5" t="s">
        <v>523</v>
      </c>
      <c r="B5" t="s">
        <v>545</v>
      </c>
    </row>
    <row r="6" spans="1:2" x14ac:dyDescent="0.2">
      <c r="A6" t="s">
        <v>121</v>
      </c>
      <c r="B6" t="s">
        <v>546</v>
      </c>
    </row>
    <row r="40" spans="7:7" x14ac:dyDescent="0.2">
      <c r="G40" s="335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5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4" t="s">
        <v>97</v>
      </c>
    </row>
    <row r="4" spans="1:52" x14ac:dyDescent="0.2">
      <c r="B4" s="82" t="s">
        <v>96</v>
      </c>
      <c r="C4" t="str">
        <f>Stored!B11</f>
        <v>M:/IE/Projects/Nuffield via NFER AI and automation/Data/Results/Workbooks/EM/EM_Database.Main.xlsx</v>
      </c>
    </row>
    <row r="5" spans="1:52" x14ac:dyDescent="0.2">
      <c r="B5" s="82"/>
    </row>
    <row r="6" spans="1:52" ht="22.5" customHeight="1" x14ac:dyDescent="0.2">
      <c r="B6" s="175" t="s">
        <v>137</v>
      </c>
      <c r="C6" s="175"/>
      <c r="D6" s="199"/>
    </row>
    <row r="7" spans="1:52" ht="15.75" customHeight="1" x14ac:dyDescent="0.2">
      <c r="B7" s="52"/>
      <c r="C7" s="53"/>
      <c r="D7" s="54"/>
    </row>
    <row r="8" spans="1:52" ht="21" customHeight="1" x14ac:dyDescent="0.2">
      <c r="B8" s="55"/>
      <c r="C8" s="198"/>
      <c r="D8" s="56"/>
    </row>
    <row r="10" spans="1:52" ht="17.25" customHeight="1" x14ac:dyDescent="0.2">
      <c r="B10" s="176" t="s">
        <v>419</v>
      </c>
      <c r="C10" s="50"/>
      <c r="D10" s="50"/>
      <c r="E10" s="50"/>
      <c r="F10" s="50"/>
      <c r="G10" s="50"/>
      <c r="H10" s="51"/>
    </row>
    <row r="11" spans="1:52" x14ac:dyDescent="0.2">
      <c r="B11" s="52"/>
      <c r="C11" s="58" t="s">
        <v>22</v>
      </c>
      <c r="D11" s="58" t="s">
        <v>23</v>
      </c>
      <c r="E11" s="58" t="s">
        <v>24</v>
      </c>
      <c r="F11" s="58" t="s">
        <v>25</v>
      </c>
      <c r="G11" s="58" t="s">
        <v>26</v>
      </c>
      <c r="H11" s="54"/>
    </row>
    <row r="12" spans="1:52" ht="13.5" thickBot="1" x14ac:dyDescent="0.25">
      <c r="B12" s="173" t="s">
        <v>16</v>
      </c>
      <c r="C12" s="59">
        <f>'Ind T3'!B3</f>
        <v>2015</v>
      </c>
      <c r="D12" s="59">
        <f>'Ind T3'!C3</f>
        <v>2019</v>
      </c>
      <c r="E12" s="59">
        <f>'Ind T3'!D3</f>
        <v>2020</v>
      </c>
      <c r="F12" s="59">
        <f>'Ind T3'!E3</f>
        <v>2025</v>
      </c>
      <c r="G12" s="59">
        <f>'Ind T3'!F3</f>
        <v>2035</v>
      </c>
      <c r="H12" s="54"/>
    </row>
    <row r="13" spans="1:52" ht="13.5" thickBot="1" x14ac:dyDescent="0.25">
      <c r="B13" s="204" t="s">
        <v>12</v>
      </c>
      <c r="C13" s="126">
        <v>2015</v>
      </c>
      <c r="D13" s="60">
        <v>2019</v>
      </c>
      <c r="E13" s="60">
        <v>2020</v>
      </c>
      <c r="F13" s="60">
        <v>2025</v>
      </c>
      <c r="G13" s="61">
        <v>2035</v>
      </c>
      <c r="H13" s="57"/>
    </row>
    <row r="14" spans="1:52" x14ac:dyDescent="0.2">
      <c r="A14" s="82"/>
    </row>
    <row r="16" spans="1:52" ht="45.75" customHeight="1" x14ac:dyDescent="0.2"/>
    <row r="17" spans="5:5" ht="15.75" customHeight="1" x14ac:dyDescent="0.2">
      <c r="E17" s="53"/>
    </row>
    <row r="18" spans="5:5" ht="24" customHeight="1" x14ac:dyDescent="0.2">
      <c r="E18" s="53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2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144</v>
      </c>
    </row>
    <row r="2" spans="1:2" x14ac:dyDescent="0.2">
      <c r="A2" s="82" t="s">
        <v>142</v>
      </c>
    </row>
    <row r="3" spans="1:2" s="1" customFormat="1" x14ac:dyDescent="0.2">
      <c r="A3" s="208"/>
      <c r="B3" s="208"/>
    </row>
    <row r="4" spans="1:2" s="82" customFormat="1" x14ac:dyDescent="0.2">
      <c r="A4" s="209" t="s">
        <v>143</v>
      </c>
      <c r="B4" s="209" t="s">
        <v>144</v>
      </c>
    </row>
    <row r="5" spans="1:2" x14ac:dyDescent="0.2">
      <c r="A5" s="210" t="s">
        <v>381</v>
      </c>
      <c r="B5" s="211" t="s">
        <v>384</v>
      </c>
    </row>
    <row r="6" spans="1:2" x14ac:dyDescent="0.2">
      <c r="A6" s="210" t="s">
        <v>382</v>
      </c>
      <c r="B6" s="211" t="s">
        <v>385</v>
      </c>
    </row>
    <row r="7" spans="1:2" x14ac:dyDescent="0.2">
      <c r="A7" s="210" t="s">
        <v>386</v>
      </c>
      <c r="B7" s="211" t="s">
        <v>388</v>
      </c>
    </row>
    <row r="8" spans="1:2" x14ac:dyDescent="0.2">
      <c r="A8" s="210" t="s">
        <v>389</v>
      </c>
      <c r="B8" s="211" t="s">
        <v>393</v>
      </c>
    </row>
    <row r="9" spans="1:2" x14ac:dyDescent="0.2">
      <c r="A9" s="210" t="s">
        <v>392</v>
      </c>
      <c r="B9" s="212" t="s">
        <v>394</v>
      </c>
    </row>
    <row r="10" spans="1:2" x14ac:dyDescent="0.2">
      <c r="A10" s="210" t="s">
        <v>390</v>
      </c>
      <c r="B10" s="212" t="s">
        <v>395</v>
      </c>
    </row>
    <row r="11" spans="1:2" x14ac:dyDescent="0.2">
      <c r="A11" s="210" t="s">
        <v>396</v>
      </c>
      <c r="B11" s="211" t="s">
        <v>405</v>
      </c>
    </row>
    <row r="12" spans="1:2" x14ac:dyDescent="0.2">
      <c r="A12" s="210" t="s">
        <v>398</v>
      </c>
      <c r="B12" s="211" t="s">
        <v>401</v>
      </c>
    </row>
    <row r="13" spans="1:2" x14ac:dyDescent="0.2">
      <c r="A13" s="210" t="s">
        <v>400</v>
      </c>
      <c r="B13" s="211" t="s">
        <v>402</v>
      </c>
    </row>
    <row r="14" spans="1:2" x14ac:dyDescent="0.2">
      <c r="A14" s="210" t="s">
        <v>417</v>
      </c>
      <c r="B14" s="211" t="s">
        <v>403</v>
      </c>
    </row>
    <row r="15" spans="1:2" x14ac:dyDescent="0.2">
      <c r="A15" s="210" t="s">
        <v>404</v>
      </c>
      <c r="B15" s="211" t="s">
        <v>436</v>
      </c>
    </row>
    <row r="16" spans="1:2" x14ac:dyDescent="0.2">
      <c r="A16" s="210" t="s">
        <v>383</v>
      </c>
      <c r="B16" s="211" t="s">
        <v>509</v>
      </c>
    </row>
    <row r="17" spans="1:2" x14ac:dyDescent="0.2">
      <c r="A17" s="210" t="s">
        <v>387</v>
      </c>
      <c r="B17" s="211" t="s">
        <v>510</v>
      </c>
    </row>
    <row r="18" spans="1:2" x14ac:dyDescent="0.2">
      <c r="A18" s="210" t="s">
        <v>391</v>
      </c>
      <c r="B18" s="211" t="s">
        <v>511</v>
      </c>
    </row>
    <row r="19" spans="1:2" x14ac:dyDescent="0.2">
      <c r="A19" s="210" t="s">
        <v>437</v>
      </c>
      <c r="B19" s="211" t="s">
        <v>438</v>
      </c>
    </row>
    <row r="20" spans="1:2" x14ac:dyDescent="0.2">
      <c r="A20" s="210" t="s">
        <v>397</v>
      </c>
      <c r="B20" s="211" t="s">
        <v>512</v>
      </c>
    </row>
    <row r="21" spans="1:2" x14ac:dyDescent="0.2">
      <c r="A21" s="210" t="s">
        <v>399</v>
      </c>
      <c r="B21" s="211" t="s">
        <v>513</v>
      </c>
    </row>
    <row r="22" spans="1:2" x14ac:dyDescent="0.2">
      <c r="A22" s="210" t="s">
        <v>428</v>
      </c>
      <c r="B22" s="211" t="s">
        <v>430</v>
      </c>
    </row>
    <row r="23" spans="1:2" x14ac:dyDescent="0.2">
      <c r="A23" s="210" t="s">
        <v>429</v>
      </c>
      <c r="B23" s="211" t="s">
        <v>431</v>
      </c>
    </row>
    <row r="24" spans="1:2" x14ac:dyDescent="0.2">
      <c r="A24" s="210" t="s">
        <v>434</v>
      </c>
      <c r="B24" s="211" t="s">
        <v>435</v>
      </c>
    </row>
    <row r="25" spans="1:2" x14ac:dyDescent="0.2">
      <c r="A25" s="210" t="s">
        <v>406</v>
      </c>
      <c r="B25" s="211" t="s">
        <v>407</v>
      </c>
    </row>
    <row r="26" spans="1:2" x14ac:dyDescent="0.2">
      <c r="A26" s="210" t="s">
        <v>408</v>
      </c>
      <c r="B26" s="211" t="s">
        <v>409</v>
      </c>
    </row>
    <row r="27" spans="1:2" x14ac:dyDescent="0.2">
      <c r="A27" s="210" t="s">
        <v>410</v>
      </c>
      <c r="B27" s="211" t="s">
        <v>514</v>
      </c>
    </row>
    <row r="28" spans="1:2" x14ac:dyDescent="0.2">
      <c r="A28" s="210" t="s">
        <v>412</v>
      </c>
      <c r="B28" s="211" t="s">
        <v>515</v>
      </c>
    </row>
    <row r="29" spans="1:2" x14ac:dyDescent="0.2">
      <c r="A29" s="210" t="s">
        <v>411</v>
      </c>
      <c r="B29" s="211" t="s">
        <v>516</v>
      </c>
    </row>
    <row r="30" spans="1:2" x14ac:dyDescent="0.2">
      <c r="A30" s="210" t="s">
        <v>413</v>
      </c>
      <c r="B30" s="211" t="s">
        <v>416</v>
      </c>
    </row>
    <row r="31" spans="1:2" x14ac:dyDescent="0.2">
      <c r="A31" s="210" t="s">
        <v>414</v>
      </c>
      <c r="B31" s="211" t="s">
        <v>517</v>
      </c>
    </row>
    <row r="32" spans="1:2" x14ac:dyDescent="0.2">
      <c r="A32" s="210" t="s">
        <v>415</v>
      </c>
      <c r="B32" s="211" t="s">
        <v>518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3'!A1" display="Ind T3" xr:uid="{00000000-0004-0000-0400-000002000000}"/>
    <hyperlink ref="A8" location="'Ind T4'!A1" display="Ind T4" xr:uid="{00000000-0004-0000-0400-000003000000}"/>
    <hyperlink ref="A9" location="'Ind T5'!A1" display="Ind T5" xr:uid="{00000000-0004-0000-0400-000004000000}"/>
    <hyperlink ref="A10" location="'Ind T6'!A1" display="Ind T6" xr:uid="{00000000-0004-0000-0400-000005000000}"/>
    <hyperlink ref="A11" location="'Ind F1'!A1" display="Ind F1" xr:uid="{00000000-0004-0000-0400-000006000000}"/>
    <hyperlink ref="A12" location="'Ind F2'!A1" display="Ind F2" xr:uid="{00000000-0004-0000-0400-000007000000}"/>
    <hyperlink ref="A13" location="'Ind Occ T1'!A1" display="IndOcc T1" xr:uid="{00000000-0004-0000-0400-000008000000}"/>
    <hyperlink ref="A14" location="'Ind Occ T2'!A1" display="IndOcc T2" xr:uid="{00000000-0004-0000-0400-000009000000}"/>
    <hyperlink ref="A15" location="'Occ T1'!A1" display="Occ T1" xr:uid="{00000000-0004-0000-0400-00000A000000}"/>
    <hyperlink ref="A16" location="'Occ T2'!A1" display="Occ T2" xr:uid="{00000000-0004-0000-0400-00000B000000}"/>
    <hyperlink ref="A17" location="'Occ T3'!A1" display="Occ T3" xr:uid="{00000000-0004-0000-0400-00000C000000}"/>
    <hyperlink ref="A18" location="'Occ T4'!A1" display="Occ T4" xr:uid="{00000000-0004-0000-0400-00000D000000}"/>
    <hyperlink ref="A20" location="'Occ F1'!A1" display="Occ F1" xr:uid="{00000000-0004-0000-0400-00000E000000}"/>
    <hyperlink ref="A21" location="'Occ F2'!A1" display="Occ F2" xr:uid="{00000000-0004-0000-0400-00000F000000}"/>
    <hyperlink ref="A25" location="'Qual T1'!A1" display="Qual T1" xr:uid="{00000000-0004-0000-0400-000010000000}"/>
    <hyperlink ref="A26" location="'Qual F1'!A1" display="Qual F1" xr:uid="{00000000-0004-0000-0400-000011000000}"/>
    <hyperlink ref="A27" location="'ShiftShare T1'!A1" display="ShiftShare T1" xr:uid="{00000000-0004-0000-0400-000012000000}"/>
    <hyperlink ref="A28" location="'RD T1'!A1" display="RD T1" xr:uid="{00000000-0004-0000-0400-000013000000}"/>
    <hyperlink ref="A29" location="'RD F1'!A1" display="RD F1" xr:uid="{00000000-0004-0000-0400-000014000000}"/>
    <hyperlink ref="A30" location="'Basic T1'!A1" display="Basic T1" xr:uid="{00000000-0004-0000-0400-000015000000}"/>
    <hyperlink ref="A31" location="'Basic T2'!A1" display="Basic T2" xr:uid="{00000000-0004-0000-0400-000016000000}"/>
    <hyperlink ref="A32" location="'Basic T3'!A1" display="Basic T3" xr:uid="{00000000-0004-0000-0400-000017000000}"/>
    <hyperlink ref="A22" location="'Occ F3'!A1" display="Occ F3" xr:uid="{00000000-0004-0000-0400-000018000000}"/>
    <hyperlink ref="A23" location="'Occ F4'!A1" display="Occ F3" xr:uid="{00000000-0004-0000-0400-000019000000}"/>
    <hyperlink ref="A24" location="'Occ F5'!A1" display="Occ F5" xr:uid="{00000000-0004-0000-0400-00001A000000}"/>
    <hyperlink ref="A19" location="'Occ T5'!A1" display="Occ T5" xr:uid="{00000000-0004-0000-0400-00001B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1" width="11.71093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8" t="str">
        <f>CONCATENATE("Industry Table 1  Employment by Industry Sector (SIC 2007), ",B$5,"-",F$5,", ",Info!B5)</f>
        <v>Industry Table 1  Employment by Industry Sector (SIC 2007), 2015-2035, East Midlands</v>
      </c>
      <c r="L1" s="18" t="str">
        <f>CONCATENATE("Industry Table 1.1  Employment by Industry Sector (SIC 2007), ",B$5,"-",F$5,", ",Info!B5)</f>
        <v>Industry Table 1.1  Employment by Industry Sector (SIC 2007), 2015-2035, East Midlands</v>
      </c>
    </row>
    <row r="2" spans="1:19" x14ac:dyDescent="0.2">
      <c r="A2" s="1" t="s">
        <v>531</v>
      </c>
      <c r="F2" s="15"/>
      <c r="J2" s="15" t="s">
        <v>35</v>
      </c>
    </row>
    <row r="3" spans="1:19" x14ac:dyDescent="0.2">
      <c r="A3" s="35"/>
      <c r="B3" s="35"/>
      <c r="C3" s="35"/>
      <c r="D3" s="35"/>
      <c r="E3" s="35"/>
      <c r="F3" s="35"/>
      <c r="G3" s="16"/>
      <c r="H3" s="27" t="str">
        <f>CONCATENATE(D5,"-",F5)</f>
        <v>2020-2035</v>
      </c>
      <c r="I3" s="35"/>
      <c r="J3" s="35"/>
      <c r="K3" s="16"/>
      <c r="O3" s="1" t="s">
        <v>13</v>
      </c>
      <c r="R3" s="75" t="s">
        <v>41</v>
      </c>
    </row>
    <row r="4" spans="1:19" x14ac:dyDescent="0.2">
      <c r="G4" s="10"/>
      <c r="H4" s="15" t="s">
        <v>29</v>
      </c>
      <c r="I4" s="15" t="s">
        <v>30</v>
      </c>
      <c r="J4" s="15" t="s">
        <v>32</v>
      </c>
      <c r="K4" s="10"/>
      <c r="L4" s="21"/>
      <c r="M4" s="22">
        <f>B5</f>
        <v>2015</v>
      </c>
      <c r="N4" s="22">
        <f>C5</f>
        <v>2019</v>
      </c>
      <c r="O4" s="22">
        <f>D5</f>
        <v>2020</v>
      </c>
      <c r="P4" s="22">
        <f>E5</f>
        <v>2025</v>
      </c>
      <c r="Q4" s="22">
        <f>F5</f>
        <v>2035</v>
      </c>
      <c r="R4" s="74" t="str">
        <f>CONCATENATE(B$5,"-",D$5)</f>
        <v>2015-2020</v>
      </c>
      <c r="S4" s="74" t="str">
        <f>F33</f>
        <v>2020-2035</v>
      </c>
    </row>
    <row r="5" spans="1:19" x14ac:dyDescent="0.2">
      <c r="A5" s="23"/>
      <c r="B5" s="34">
        <f>'Ind T3'!B3</f>
        <v>2015</v>
      </c>
      <c r="C5" s="34">
        <f>'Ind T3'!C3</f>
        <v>2019</v>
      </c>
      <c r="D5" s="34">
        <f>'Ind T3'!D3</f>
        <v>2020</v>
      </c>
      <c r="E5" s="34">
        <f>'Ind T3'!E3</f>
        <v>2025</v>
      </c>
      <c r="F5" s="34">
        <f>'Ind T3'!F3</f>
        <v>2035</v>
      </c>
      <c r="G5" s="11"/>
      <c r="H5" s="62" t="s">
        <v>18</v>
      </c>
      <c r="I5" s="62" t="s">
        <v>31</v>
      </c>
      <c r="J5" s="62" t="s">
        <v>33</v>
      </c>
      <c r="K5" s="11"/>
      <c r="L5" t="str">
        <f t="shared" ref="L5:Q10" si="0">A7</f>
        <v>Primary sector and utilities</v>
      </c>
      <c r="M5" s="11">
        <f t="shared" si="0"/>
        <v>64.021999999765654</v>
      </c>
      <c r="N5" s="11">
        <f t="shared" si="0"/>
        <v>64.061000000047173</v>
      </c>
      <c r="O5" s="11">
        <f t="shared" si="0"/>
        <v>72.964999999731816</v>
      </c>
      <c r="P5" s="11">
        <f t="shared" si="0"/>
        <v>72.076999999945642</v>
      </c>
      <c r="Q5" s="11">
        <f t="shared" si="0"/>
        <v>70.973999999645002</v>
      </c>
      <c r="R5" s="39">
        <f>IF(D$5-B$5 &lt;&gt; 0,(EXP(LN(D7/B7)/(D$5-B$5))-1)*100,0)</f>
        <v>2.6495547554463039</v>
      </c>
      <c r="S5" s="39">
        <f>F34</f>
        <v>-0.18427175294098985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0"/>
        <v>Manufacturing</v>
      </c>
      <c r="M6" s="11">
        <f t="shared" si="0"/>
        <v>280.51099999879995</v>
      </c>
      <c r="N6" s="11">
        <f t="shared" si="0"/>
        <v>285.66899999946503</v>
      </c>
      <c r="O6" s="11">
        <f t="shared" si="0"/>
        <v>278.38900000048039</v>
      </c>
      <c r="P6" s="11">
        <f t="shared" si="0"/>
        <v>270.23900000215787</v>
      </c>
      <c r="Q6" s="11">
        <f t="shared" si="0"/>
        <v>257.66000000058011</v>
      </c>
      <c r="R6" s="39">
        <f t="shared" ref="R6:R10" si="1">IF(D$5-B$5 &lt;&gt; 0,(EXP(LN(D8/B8)/(D$5-B$5))-1)*100,0)</f>
        <v>-0.15175520892835026</v>
      </c>
      <c r="S6" s="39">
        <f t="shared" ref="S6:S12" si="2">F35</f>
        <v>-0.51452860889750207</v>
      </c>
    </row>
    <row r="7" spans="1:19" x14ac:dyDescent="0.2">
      <c r="A7" t="str">
        <f>name!C4</f>
        <v>Primary sector and utilities</v>
      </c>
      <c r="B7" s="11">
        <f t="array" ref="B7:B12">MMULT(aggregation!$B$28:$BX$33,'Ind T3'!B5:B79)</f>
        <v>64.021999999765654</v>
      </c>
      <c r="C7" s="11">
        <f t="array" ref="C7:C12">MMULT(aggregation!$B$28:$BX$33,'Ind T3'!C5:C79)</f>
        <v>64.061000000047173</v>
      </c>
      <c r="D7" s="11">
        <f t="array" ref="D7:D12">MMULT(aggregation!$B$28:$BX$33,'Ind T3'!D5:D79)</f>
        <v>72.964999999731816</v>
      </c>
      <c r="E7" s="11">
        <f t="array" ref="E7:E12">MMULT(aggregation!$B$28:$BX$33,'Ind T3'!E5:E79)</f>
        <v>72.076999999945642</v>
      </c>
      <c r="F7" s="11">
        <f t="array" ref="F7:F12">MMULT(aggregation!$B$28:$BX$33,'Ind T3'!F5:F79)</f>
        <v>70.973999999645002</v>
      </c>
      <c r="G7" s="11"/>
      <c r="H7" s="11">
        <f>F7-D7</f>
        <v>-1.9910000000868138</v>
      </c>
      <c r="I7" s="11">
        <f t="array" ref="I7:I12">MMULT(aggregation!$B$28:$BX$33,'RD T1'!AB7:AB81)</f>
        <v>33.300936697926041</v>
      </c>
      <c r="J7" s="11">
        <f>SUM(H7:I7)</f>
        <v>31.309936697839227</v>
      </c>
      <c r="K7" s="11"/>
      <c r="L7" t="str">
        <f t="shared" si="0"/>
        <v>Construction</v>
      </c>
      <c r="M7" s="11">
        <f t="shared" si="0"/>
        <v>146.13199999695033</v>
      </c>
      <c r="N7" s="11">
        <f t="shared" si="0"/>
        <v>153.65000000114503</v>
      </c>
      <c r="O7" s="11">
        <f t="shared" si="0"/>
        <v>147.90699999913386</v>
      </c>
      <c r="P7" s="11">
        <f t="shared" si="0"/>
        <v>151.27099999665484</v>
      </c>
      <c r="Q7" s="11">
        <f t="shared" si="0"/>
        <v>158.14499999768623</v>
      </c>
      <c r="R7" s="39">
        <f t="shared" si="1"/>
        <v>0.24175926860092734</v>
      </c>
      <c r="S7" s="39">
        <f t="shared" si="2"/>
        <v>0.44718781921486705</v>
      </c>
    </row>
    <row r="8" spans="1:19" x14ac:dyDescent="0.2">
      <c r="A8" t="str">
        <f>name!C5</f>
        <v>Manufacturing</v>
      </c>
      <c r="B8" s="11">
        <v>280.51099999879995</v>
      </c>
      <c r="C8" s="11">
        <v>285.66899999946503</v>
      </c>
      <c r="D8" s="11">
        <v>278.38900000048039</v>
      </c>
      <c r="E8" s="11">
        <v>270.23900000215787</v>
      </c>
      <c r="F8" s="11">
        <v>257.66000000058011</v>
      </c>
      <c r="G8" s="11"/>
      <c r="H8" s="11">
        <f t="shared" ref="H8:H12" si="3">F8-D8</f>
        <v>-20.728999999900282</v>
      </c>
      <c r="I8" s="11">
        <v>112.46545159736787</v>
      </c>
      <c r="J8" s="11">
        <f t="shared" ref="J8:J12" si="4">SUM(H8:I8)</f>
        <v>91.736451597467592</v>
      </c>
      <c r="K8" s="11"/>
      <c r="L8" t="str">
        <f t="shared" si="0"/>
        <v>Trade, accomod. and transport</v>
      </c>
      <c r="M8" s="11">
        <f t="shared" si="0"/>
        <v>613.97400000690345</v>
      </c>
      <c r="N8" s="11">
        <f t="shared" si="0"/>
        <v>672.1640000003456</v>
      </c>
      <c r="O8" s="11">
        <f t="shared" si="0"/>
        <v>671.57400001072688</v>
      </c>
      <c r="P8" s="11">
        <f t="shared" si="0"/>
        <v>683.03300001333264</v>
      </c>
      <c r="Q8" s="11">
        <f t="shared" si="0"/>
        <v>703.64000000016847</v>
      </c>
      <c r="R8" s="39">
        <f t="shared" si="1"/>
        <v>1.8096111539413373</v>
      </c>
      <c r="S8" s="39">
        <f t="shared" si="2"/>
        <v>0.31143495933443344</v>
      </c>
    </row>
    <row r="9" spans="1:19" x14ac:dyDescent="0.2">
      <c r="A9" t="str">
        <f>name!C6</f>
        <v>Construction</v>
      </c>
      <c r="B9" s="11">
        <v>146.13199999695033</v>
      </c>
      <c r="C9" s="11">
        <v>153.65000000114503</v>
      </c>
      <c r="D9" s="11">
        <v>147.90699999913386</v>
      </c>
      <c r="E9" s="11">
        <v>151.27099999665484</v>
      </c>
      <c r="F9" s="11">
        <v>158.14499999768623</v>
      </c>
      <c r="G9" s="11"/>
      <c r="H9" s="11">
        <f t="shared" si="3"/>
        <v>10.237999998552368</v>
      </c>
      <c r="I9" s="11">
        <v>62.236145765503466</v>
      </c>
      <c r="J9" s="11">
        <f t="shared" si="4"/>
        <v>72.474145764055834</v>
      </c>
      <c r="K9" s="11"/>
      <c r="L9" t="str">
        <f t="shared" si="0"/>
        <v>Business and other services</v>
      </c>
      <c r="M9" s="11">
        <f t="shared" si="0"/>
        <v>616.1800000016857</v>
      </c>
      <c r="N9" s="11">
        <f t="shared" si="0"/>
        <v>654.36299999889559</v>
      </c>
      <c r="O9" s="11">
        <f t="shared" si="0"/>
        <v>665.500999994067</v>
      </c>
      <c r="P9" s="11">
        <f t="shared" si="0"/>
        <v>677.85500000502554</v>
      </c>
      <c r="Q9" s="11">
        <f t="shared" si="0"/>
        <v>706.80199999996341</v>
      </c>
      <c r="R9" s="39">
        <f t="shared" si="1"/>
        <v>1.5519396564085186</v>
      </c>
      <c r="S9" s="39">
        <f t="shared" si="2"/>
        <v>0.40220956458576484</v>
      </c>
    </row>
    <row r="10" spans="1:19" x14ac:dyDescent="0.2">
      <c r="A10" t="str">
        <f>name!C7</f>
        <v>Trade, accomod. and transport</v>
      </c>
      <c r="B10" s="11">
        <v>613.97400000690345</v>
      </c>
      <c r="C10" s="11">
        <v>672.1640000003456</v>
      </c>
      <c r="D10" s="11">
        <v>671.57400001072688</v>
      </c>
      <c r="E10" s="11">
        <v>683.03300001333264</v>
      </c>
      <c r="F10" s="11">
        <v>703.64000000016847</v>
      </c>
      <c r="G10" s="11"/>
      <c r="H10" s="11">
        <f t="shared" si="3"/>
        <v>32.065999989441593</v>
      </c>
      <c r="I10" s="11">
        <v>324.0241089354364</v>
      </c>
      <c r="J10" s="11">
        <f t="shared" si="4"/>
        <v>356.090108924878</v>
      </c>
      <c r="K10" s="11"/>
      <c r="L10" t="str">
        <f t="shared" si="0"/>
        <v>Non-marketed services</v>
      </c>
      <c r="M10" s="11">
        <f t="shared" si="0"/>
        <v>553.67199999512275</v>
      </c>
      <c r="N10" s="11">
        <f t="shared" si="0"/>
        <v>575.47699999890733</v>
      </c>
      <c r="O10" s="11">
        <f t="shared" si="0"/>
        <v>567.9019999941986</v>
      </c>
      <c r="P10" s="11">
        <f t="shared" si="0"/>
        <v>588.32499998758328</v>
      </c>
      <c r="Q10" s="11">
        <f t="shared" si="0"/>
        <v>613.47300000122641</v>
      </c>
      <c r="R10" s="39">
        <f t="shared" si="1"/>
        <v>0.50881840595056183</v>
      </c>
      <c r="S10" s="39">
        <f t="shared" si="2"/>
        <v>0.51590881526228927</v>
      </c>
    </row>
    <row r="11" spans="1:19" x14ac:dyDescent="0.2">
      <c r="A11" t="str">
        <f>name!C8</f>
        <v>Business and other services</v>
      </c>
      <c r="B11" s="11">
        <v>616.1800000016857</v>
      </c>
      <c r="C11" s="11">
        <v>654.36299999889559</v>
      </c>
      <c r="D11" s="11">
        <v>665.500999994067</v>
      </c>
      <c r="E11" s="11">
        <v>677.85500000502554</v>
      </c>
      <c r="F11" s="11">
        <v>706.80199999996341</v>
      </c>
      <c r="G11" s="11"/>
      <c r="H11" s="11">
        <f t="shared" si="3"/>
        <v>41.301000005896412</v>
      </c>
      <c r="I11" s="11">
        <v>327.10573261627331</v>
      </c>
      <c r="J11" s="11">
        <f t="shared" si="4"/>
        <v>368.40673262216973</v>
      </c>
      <c r="K11" s="11"/>
      <c r="M11" s="11"/>
      <c r="N11" s="11"/>
      <c r="O11" s="11"/>
      <c r="P11" s="11"/>
      <c r="Q11" s="11"/>
      <c r="R11" s="39"/>
      <c r="S11" s="39"/>
    </row>
    <row r="12" spans="1:19" x14ac:dyDescent="0.2">
      <c r="A12" t="str">
        <f>name!C9</f>
        <v>Non-marketed services</v>
      </c>
      <c r="B12" s="11">
        <v>553.67199999512275</v>
      </c>
      <c r="C12" s="11">
        <v>575.47699999890733</v>
      </c>
      <c r="D12" s="11">
        <v>567.9019999941986</v>
      </c>
      <c r="E12" s="11">
        <v>588.32499998758328</v>
      </c>
      <c r="F12" s="11">
        <v>613.47300000122641</v>
      </c>
      <c r="G12" s="11"/>
      <c r="H12" s="11">
        <f t="shared" si="3"/>
        <v>45.571000007027806</v>
      </c>
      <c r="I12" s="11">
        <v>312.69639053092533</v>
      </c>
      <c r="J12" s="11">
        <f t="shared" si="4"/>
        <v>358.26739053795313</v>
      </c>
      <c r="K12" s="11"/>
      <c r="L12" s="23" t="str">
        <f t="shared" ref="L12:Q12" si="5">A14</f>
        <v>All industries</v>
      </c>
      <c r="M12" s="33">
        <f t="shared" si="5"/>
        <v>2274.4909999992278</v>
      </c>
      <c r="N12" s="33">
        <f t="shared" si="5"/>
        <v>2405.3839999988058</v>
      </c>
      <c r="O12" s="33">
        <f t="shared" si="5"/>
        <v>2404.2379999983386</v>
      </c>
      <c r="P12" s="33">
        <f t="shared" si="5"/>
        <v>2442.8000000047</v>
      </c>
      <c r="Q12" s="33">
        <f t="shared" si="5"/>
        <v>2510.6939999992696</v>
      </c>
      <c r="R12" s="42">
        <f>IF(D$5-B$5 &lt;&gt; 0,(EXP(LN(D14/B14)/(D$5-B$5))-1)*100,0)</f>
        <v>1.1157126085032942</v>
      </c>
      <c r="S12" s="42">
        <f t="shared" si="2"/>
        <v>0.28925885184050149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3" t="str">
        <f>name!C3</f>
        <v>All industries</v>
      </c>
      <c r="B14" s="33">
        <f>SUM(B7:B12)</f>
        <v>2274.4909999992278</v>
      </c>
      <c r="C14" s="33">
        <f t="shared" ref="C14:F14" si="6">SUM(C7:C12)</f>
        <v>2405.3839999988058</v>
      </c>
      <c r="D14" s="33">
        <f t="shared" si="6"/>
        <v>2404.2379999983386</v>
      </c>
      <c r="E14" s="33">
        <f t="shared" si="6"/>
        <v>2442.8000000047</v>
      </c>
      <c r="F14" s="33">
        <f t="shared" si="6"/>
        <v>2510.6939999992696</v>
      </c>
      <c r="G14" s="33"/>
      <c r="H14" s="33">
        <f>SUM(H7:H12)</f>
        <v>106.45600000093108</v>
      </c>
      <c r="I14" s="33">
        <f>SUM(I7:I12)</f>
        <v>1171.8287661434324</v>
      </c>
      <c r="J14" s="33">
        <f t="shared" ref="J14" si="7">SUM(J7:J12)</f>
        <v>1278.2847661443636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6"/>
      <c r="H15" s="11"/>
      <c r="I15" s="11"/>
      <c r="J15" s="11"/>
      <c r="K15" s="16"/>
      <c r="L15" s="11"/>
    </row>
    <row r="16" spans="1:19" x14ac:dyDescent="0.2">
      <c r="B16" s="11"/>
      <c r="C16" s="11"/>
      <c r="D16" s="11"/>
      <c r="E16" s="11"/>
      <c r="F16" s="11"/>
      <c r="G16" s="17"/>
      <c r="H16" s="16"/>
      <c r="I16" s="16"/>
      <c r="J16" s="347" t="s">
        <v>34</v>
      </c>
      <c r="K16" s="17"/>
      <c r="L16" s="11"/>
    </row>
    <row r="17" spans="1:12" x14ac:dyDescent="0.2">
      <c r="A17" s="35"/>
      <c r="B17" s="64"/>
      <c r="C17" s="64"/>
      <c r="D17" s="64"/>
      <c r="E17" s="64"/>
      <c r="F17" s="64"/>
      <c r="G17" s="17"/>
      <c r="H17" s="27" t="str">
        <f>CONCATENATE(D19,"-",F19)</f>
        <v>2020-2035</v>
      </c>
      <c r="I17" s="35"/>
      <c r="J17" s="35"/>
      <c r="K17" s="17"/>
      <c r="L17" s="11"/>
    </row>
    <row r="18" spans="1:12" x14ac:dyDescent="0.2">
      <c r="B18" s="11"/>
      <c r="C18" s="11"/>
      <c r="D18" s="11"/>
      <c r="E18" s="11"/>
      <c r="F18" s="11"/>
      <c r="G18" s="17"/>
      <c r="H18" s="15" t="s">
        <v>29</v>
      </c>
      <c r="I18" s="15" t="s">
        <v>30</v>
      </c>
      <c r="J18" s="15" t="s">
        <v>32</v>
      </c>
      <c r="K18" s="17"/>
      <c r="L18" s="11"/>
    </row>
    <row r="19" spans="1:12" x14ac:dyDescent="0.2">
      <c r="A19" s="40" t="s">
        <v>463</v>
      </c>
      <c r="B19" s="34">
        <f>B$5</f>
        <v>2015</v>
      </c>
      <c r="C19" s="34">
        <f>C$5</f>
        <v>2019</v>
      </c>
      <c r="D19" s="34">
        <f>D$5</f>
        <v>2020</v>
      </c>
      <c r="E19" s="34">
        <f>E$5</f>
        <v>2025</v>
      </c>
      <c r="F19" s="34">
        <f>F$5</f>
        <v>2035</v>
      </c>
      <c r="G19" s="17"/>
      <c r="H19" s="62" t="s">
        <v>18</v>
      </c>
      <c r="I19" s="62" t="s">
        <v>31</v>
      </c>
      <c r="J19" s="62" t="s">
        <v>33</v>
      </c>
      <c r="K19" s="17"/>
      <c r="L19" s="11"/>
    </row>
    <row r="20" spans="1:12" x14ac:dyDescent="0.2">
      <c r="A20" t="str">
        <f>$A$7</f>
        <v>Primary sector and utilities</v>
      </c>
      <c r="B20" s="17">
        <f>B7/B$14*100</f>
        <v>2.814783615313817</v>
      </c>
      <c r="C20" s="17">
        <f>C7/C$14*100</f>
        <v>2.6632338121513643</v>
      </c>
      <c r="D20" s="17">
        <f>D7/D$14*100</f>
        <v>3.0348492952770165</v>
      </c>
      <c r="E20" s="17">
        <f>E7/E$14*100</f>
        <v>2.9505894874654888</v>
      </c>
      <c r="F20" s="17">
        <f>F7/F$14*100</f>
        <v>2.8268677903267245</v>
      </c>
      <c r="G20" s="17"/>
      <c r="H20" s="39">
        <f>IF(D7&gt;0,(H7/D7)*100,0)</f>
        <v>-2.7287055438828642</v>
      </c>
      <c r="I20" s="39">
        <f>IF(D7&gt;0,(I7/D7)*100,0)</f>
        <v>45.639603505856833</v>
      </c>
      <c r="J20" s="39">
        <f>IF(D7&gt;0,(J7/D7)*100,0)</f>
        <v>42.910897961973973</v>
      </c>
      <c r="K20" s="17"/>
      <c r="L20" s="11"/>
    </row>
    <row r="21" spans="1:12" x14ac:dyDescent="0.2">
      <c r="A21" t="str">
        <f>$A$8</f>
        <v>Manufacturing</v>
      </c>
      <c r="B21" s="17">
        <f t="shared" ref="B21:F27" si="8">B8/B$14*100</f>
        <v>12.332913166018031</v>
      </c>
      <c r="C21" s="17">
        <f t="shared" si="8"/>
        <v>11.876232651402306</v>
      </c>
      <c r="D21" s="17">
        <f t="shared" si="8"/>
        <v>11.579094914924095</v>
      </c>
      <c r="E21" s="17">
        <f t="shared" si="8"/>
        <v>11.062673980744961</v>
      </c>
      <c r="F21" s="17">
        <f t="shared" si="8"/>
        <v>10.262501125212992</v>
      </c>
      <c r="G21" s="17"/>
      <c r="H21" s="39">
        <f t="shared" ref="H21:H25" si="9">IF(D8&gt;0,(H8/D8)*100,0)</f>
        <v>-7.4460556989911639</v>
      </c>
      <c r="I21" s="39">
        <f t="shared" ref="I21:I25" si="10">IF(D8&gt;0,(I8/D8)*100,0)</f>
        <v>40.398669342960318</v>
      </c>
      <c r="J21" s="39">
        <f t="shared" ref="J21:J25" si="11">IF(D8&gt;0,(J8/D8)*100,0)</f>
        <v>32.952613643969151</v>
      </c>
      <c r="K21" s="17"/>
      <c r="L21" s="11"/>
    </row>
    <row r="22" spans="1:12" x14ac:dyDescent="0.2">
      <c r="A22" t="str">
        <f>$A$9</f>
        <v>Construction</v>
      </c>
      <c r="B22" s="17">
        <f t="shared" si="8"/>
        <v>6.424822080940304</v>
      </c>
      <c r="C22" s="17">
        <f t="shared" si="8"/>
        <v>6.387753473092916</v>
      </c>
      <c r="D22" s="17">
        <f t="shared" si="8"/>
        <v>6.1519283864258059</v>
      </c>
      <c r="E22" s="17">
        <f t="shared" si="8"/>
        <v>6.1925249711955042</v>
      </c>
      <c r="F22" s="17">
        <f t="shared" si="8"/>
        <v>6.2988560134262572</v>
      </c>
      <c r="G22" s="17"/>
      <c r="H22" s="39">
        <f t="shared" si="9"/>
        <v>6.9219171497037477</v>
      </c>
      <c r="I22" s="39">
        <f t="shared" si="10"/>
        <v>42.077890678512794</v>
      </c>
      <c r="J22" s="39">
        <f t="shared" si="11"/>
        <v>48.999807828216539</v>
      </c>
      <c r="K22" s="17"/>
      <c r="L22" s="11"/>
    </row>
    <row r="23" spans="1:12" x14ac:dyDescent="0.2">
      <c r="A23" t="str">
        <f>$A$10</f>
        <v>Trade, accomod. and transport</v>
      </c>
      <c r="B23" s="17">
        <f t="shared" si="8"/>
        <v>26.993907648221597</v>
      </c>
      <c r="C23" s="17">
        <f t="shared" si="8"/>
        <v>27.944145300736984</v>
      </c>
      <c r="D23" s="17">
        <f t="shared" si="8"/>
        <v>27.93292511020918</v>
      </c>
      <c r="E23" s="17">
        <f t="shared" si="8"/>
        <v>27.961069265270115</v>
      </c>
      <c r="F23" s="17">
        <f t="shared" si="8"/>
        <v>28.02571719215377</v>
      </c>
      <c r="G23" s="17"/>
      <c r="H23" s="39">
        <f t="shared" si="9"/>
        <v>4.7747530412031152</v>
      </c>
      <c r="I23" s="39">
        <f t="shared" si="10"/>
        <v>48.248459429677268</v>
      </c>
      <c r="J23" s="39">
        <f t="shared" si="11"/>
        <v>53.023212470880388</v>
      </c>
      <c r="K23" s="17"/>
      <c r="L23" s="11"/>
    </row>
    <row r="24" spans="1:12" x14ac:dyDescent="0.2">
      <c r="A24" t="str">
        <f>$A$11</f>
        <v>Business and other services</v>
      </c>
      <c r="B24" s="17">
        <f t="shared" si="8"/>
        <v>27.090896380855977</v>
      </c>
      <c r="C24" s="17">
        <f t="shared" si="8"/>
        <v>27.20409714204553</v>
      </c>
      <c r="D24" s="17">
        <f t="shared" si="8"/>
        <v>27.680329484623691</v>
      </c>
      <c r="E24" s="17">
        <f t="shared" si="8"/>
        <v>27.749099394290212</v>
      </c>
      <c r="F24" s="17">
        <f t="shared" si="8"/>
        <v>28.151658465753655</v>
      </c>
      <c r="G24" s="17"/>
      <c r="H24" s="39">
        <f t="shared" si="9"/>
        <v>6.2060011940274489</v>
      </c>
      <c r="I24" s="39">
        <f t="shared" si="10"/>
        <v>49.151801818357818</v>
      </c>
      <c r="J24" s="39">
        <f t="shared" si="11"/>
        <v>55.357803012385276</v>
      </c>
      <c r="K24" s="17"/>
    </row>
    <row r="25" spans="1:12" x14ac:dyDescent="0.2">
      <c r="A25" t="str">
        <f>$A$12</f>
        <v>Non-marketed services</v>
      </c>
      <c r="B25" s="17">
        <f t="shared" si="8"/>
        <v>24.342677108650275</v>
      </c>
      <c r="C25" s="17">
        <f t="shared" si="8"/>
        <v>23.924537620570895</v>
      </c>
      <c r="D25" s="17">
        <f t="shared" si="8"/>
        <v>23.620872808540213</v>
      </c>
      <c r="E25" s="17">
        <f t="shared" si="8"/>
        <v>24.084042901033705</v>
      </c>
      <c r="F25" s="17">
        <f t="shared" si="8"/>
        <v>24.434399413126602</v>
      </c>
      <c r="G25" s="17"/>
      <c r="H25" s="39">
        <f t="shared" si="9"/>
        <v>8.024447881411465</v>
      </c>
      <c r="I25" s="39">
        <f t="shared" si="10"/>
        <v>55.061681510915562</v>
      </c>
      <c r="J25" s="39">
        <f t="shared" si="11"/>
        <v>63.086129392327031</v>
      </c>
      <c r="K25" s="17"/>
      <c r="L25" s="11"/>
    </row>
    <row r="26" spans="1:12" x14ac:dyDescent="0.2">
      <c r="B26" s="17"/>
      <c r="C26" s="17"/>
      <c r="D26" s="17"/>
      <c r="E26" s="17"/>
      <c r="F26" s="17"/>
      <c r="G26" s="17"/>
      <c r="H26" s="39"/>
      <c r="I26" s="39"/>
      <c r="J26" s="39"/>
      <c r="K26" s="17"/>
      <c r="L26" s="11"/>
    </row>
    <row r="27" spans="1:12" x14ac:dyDescent="0.2">
      <c r="A27" s="23" t="str">
        <f>$A$14</f>
        <v>All industries</v>
      </c>
      <c r="B27" s="25">
        <f t="shared" si="8"/>
        <v>100</v>
      </c>
      <c r="C27" s="25">
        <f t="shared" si="8"/>
        <v>100</v>
      </c>
      <c r="D27" s="25">
        <f t="shared" si="8"/>
        <v>100</v>
      </c>
      <c r="E27" s="25">
        <f t="shared" si="8"/>
        <v>100</v>
      </c>
      <c r="F27" s="25">
        <f t="shared" si="8"/>
        <v>100</v>
      </c>
      <c r="G27" s="17"/>
      <c r="H27" s="42">
        <f>IF(D14&gt;0,(H14/D14)*100,0)</f>
        <v>4.4278478254234663</v>
      </c>
      <c r="I27" s="42">
        <f>IF(D14&gt;0,(I14/D14)*100,0)</f>
        <v>48.74013164022206</v>
      </c>
      <c r="J27" s="42">
        <f>IF(D14&gt;0,(J14/D14)*100,0)</f>
        <v>53.16797946564553</v>
      </c>
      <c r="K27" s="17"/>
      <c r="L27" s="11"/>
    </row>
    <row r="28" spans="1:12" x14ac:dyDescent="0.2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1"/>
    </row>
    <row r="29" spans="1:12" x14ac:dyDescent="0.2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1"/>
    </row>
    <row r="30" spans="1:12" x14ac:dyDescent="0.2">
      <c r="B30" s="17"/>
      <c r="C30" s="17"/>
      <c r="D30" s="17"/>
      <c r="E30" s="17"/>
      <c r="F30" s="17"/>
      <c r="H30" s="17"/>
      <c r="I30" s="17"/>
      <c r="J30" s="17"/>
    </row>
    <row r="31" spans="1:12" ht="15.75" x14ac:dyDescent="0.25">
      <c r="A31" s="193" t="str">
        <f>CONCATENATE(A1," (Continued)")</f>
        <v>Industry Table 1  Employment by Industry Sector (SIC 2007), 2015-2035, East Midlands (Continued)</v>
      </c>
      <c r="B31" s="17"/>
      <c r="C31" s="17"/>
      <c r="D31" s="17"/>
      <c r="E31" s="17"/>
      <c r="F31" s="17"/>
      <c r="G31" s="19"/>
      <c r="K31" s="19"/>
    </row>
    <row r="32" spans="1:12" x14ac:dyDescent="0.2">
      <c r="G32" s="17"/>
      <c r="H32" s="19"/>
      <c r="I32" s="19"/>
      <c r="J32" s="19"/>
      <c r="K32" s="17"/>
    </row>
    <row r="33" spans="1:11" x14ac:dyDescent="0.2">
      <c r="A33" s="194" t="s">
        <v>14</v>
      </c>
      <c r="B33" s="24" t="str">
        <f>CONCATENATE(B$5,"-",C$5)</f>
        <v>2015-2019</v>
      </c>
      <c r="C33" s="24" t="str">
        <f>CONCATENATE(C$5,"-",D$5)</f>
        <v>2019-2020</v>
      </c>
      <c r="D33" s="24" t="str">
        <f>CONCATENATE(D$5,"-",E$5)</f>
        <v>2020-2025</v>
      </c>
      <c r="E33" s="24" t="str">
        <f>CONCATENATE(E$5,"-",F$5)</f>
        <v>2025-2035</v>
      </c>
      <c r="F33" s="24" t="str">
        <f>CONCATENATE(D$5,"-",F$5)</f>
        <v>2020-2035</v>
      </c>
      <c r="G33" s="17"/>
      <c r="H33" s="17"/>
      <c r="I33" s="17"/>
      <c r="J33" s="17"/>
      <c r="K33" s="17"/>
    </row>
    <row r="34" spans="1:11" x14ac:dyDescent="0.2">
      <c r="A34" t="str">
        <f>$A$7</f>
        <v>Primary sector and utilities</v>
      </c>
      <c r="B34" s="17">
        <f>IF(C$5-B$5 &lt;&gt; 0,(EXP(LN(C7/B7)/(C$5-B$5))-1)*100,0)</f>
        <v>1.5225662428197673E-2</v>
      </c>
      <c r="C34" s="17">
        <f>IF(D$5-C$5 &lt;&gt; 0,(EXP(LN(D7/C7)/(D$5-C$5))-1)*100,0)</f>
        <v>13.899252274672701</v>
      </c>
      <c r="D34" s="17">
        <f>IF(E$5-D$5 &lt;&gt; 0,(EXP(LN(E7/D7)/(E$5-D$5))-1)*100,0)</f>
        <v>-0.24459801246194957</v>
      </c>
      <c r="E34" s="17">
        <f>IF(F$5-E$5 &lt;&gt; 0,(EXP(LN(F7/E7)/(F$5-E$5))-1)*100,0)</f>
        <v>-0.15409494388045619</v>
      </c>
      <c r="F34" s="17">
        <f>IF(F$5-D$5 &lt;&gt; 0,(EXP(LN(F7/D7)/(F$5-D$5))-1)*100,0)</f>
        <v>-0.18427175294098985</v>
      </c>
      <c r="G34" s="17"/>
      <c r="H34" s="17"/>
      <c r="I34" s="17"/>
      <c r="J34" s="17"/>
      <c r="K34" s="17"/>
    </row>
    <row r="35" spans="1:11" x14ac:dyDescent="0.2">
      <c r="A35" t="str">
        <f>$A$8</f>
        <v>Manufacturing</v>
      </c>
      <c r="B35" s="17">
        <f t="shared" ref="B35:B41" si="12">IF(C$5-B$5 &lt;&gt; 0,(EXP(LN(C8/B8)/(C$5-B$5))-1)*100,0)</f>
        <v>0.45656052726672502</v>
      </c>
      <c r="C35" s="17">
        <f t="shared" ref="C35:C41" si="13">IF(D$5-C$5 &lt;&gt; 0,(EXP(LN(D8/C8)/(D$5-C$5))-1)*100,0)</f>
        <v>-2.5484039216709831</v>
      </c>
      <c r="D35" s="17">
        <f t="shared" ref="D35:E39" si="14">IF(E$5-D$5 &lt;&gt; 0,(EXP(LN(E8/D8)/(E$5-D$5))-1)*100,0)</f>
        <v>-0.59249107842627158</v>
      </c>
      <c r="E35" s="17">
        <f t="shared" si="14"/>
        <v>-0.47552444822765993</v>
      </c>
      <c r="F35" s="17">
        <f t="shared" ref="F35:F41" si="15">IF(F$5-D$5 &lt;&gt; 0,(EXP(LN(F8/D8)/(F$5-D$5))-1)*100,0)</f>
        <v>-0.51452860889750207</v>
      </c>
      <c r="G35" s="17"/>
      <c r="H35" s="17"/>
      <c r="I35" s="17"/>
      <c r="J35" s="17"/>
      <c r="K35" s="17"/>
    </row>
    <row r="36" spans="1:11" x14ac:dyDescent="0.2">
      <c r="A36" t="str">
        <f>$A$9</f>
        <v>Construction</v>
      </c>
      <c r="B36" s="17">
        <f t="shared" si="12"/>
        <v>1.2620718907568884</v>
      </c>
      <c r="C36" s="17">
        <f t="shared" si="13"/>
        <v>-3.7377155886549773</v>
      </c>
      <c r="D36" s="17">
        <f t="shared" si="14"/>
        <v>0.45079769659779334</v>
      </c>
      <c r="E36" s="17">
        <f t="shared" si="14"/>
        <v>0.44538292917142286</v>
      </c>
      <c r="F36" s="17">
        <f t="shared" si="15"/>
        <v>0.44718781921486705</v>
      </c>
      <c r="G36" s="17"/>
      <c r="H36" s="17"/>
      <c r="I36" s="17"/>
      <c r="J36" s="17"/>
      <c r="K36" s="17"/>
    </row>
    <row r="37" spans="1:11" x14ac:dyDescent="0.2">
      <c r="A37" t="str">
        <f>$A$10</f>
        <v>Trade, accomod. and transport</v>
      </c>
      <c r="B37" s="17">
        <f t="shared" si="12"/>
        <v>2.2895615466106189</v>
      </c>
      <c r="C37" s="17">
        <f t="shared" si="13"/>
        <v>-8.7776195931110745E-2</v>
      </c>
      <c r="D37" s="17">
        <f t="shared" si="14"/>
        <v>0.33895242345571841</v>
      </c>
      <c r="E37" s="17">
        <f t="shared" si="14"/>
        <v>0.29767905735158529</v>
      </c>
      <c r="F37" s="17">
        <f t="shared" si="15"/>
        <v>0.31143495933443344</v>
      </c>
      <c r="G37" s="17"/>
      <c r="H37" s="17"/>
      <c r="I37" s="17"/>
      <c r="J37" s="17"/>
      <c r="K37" s="17"/>
    </row>
    <row r="38" spans="1:11" x14ac:dyDescent="0.2">
      <c r="A38" t="str">
        <f>$A$11</f>
        <v>Business and other services</v>
      </c>
      <c r="B38" s="17">
        <f t="shared" si="12"/>
        <v>1.5144308932158568</v>
      </c>
      <c r="C38" s="17">
        <f t="shared" si="13"/>
        <v>1.702113352250989</v>
      </c>
      <c r="D38" s="17">
        <f t="shared" si="14"/>
        <v>0.36854266078307774</v>
      </c>
      <c r="E38" s="17">
        <f t="shared" si="14"/>
        <v>0.41904725111965302</v>
      </c>
      <c r="F38" s="17">
        <f t="shared" si="15"/>
        <v>0.40220956458576484</v>
      </c>
      <c r="G38" s="17"/>
      <c r="H38" s="17"/>
      <c r="I38" s="17"/>
      <c r="J38" s="17"/>
      <c r="K38" s="17"/>
    </row>
    <row r="39" spans="1:11" x14ac:dyDescent="0.2">
      <c r="A39" t="str">
        <f>$A$12</f>
        <v>Non-marketed services</v>
      </c>
      <c r="B39" s="17">
        <f t="shared" si="12"/>
        <v>0.97034785133414125</v>
      </c>
      <c r="C39" s="17">
        <f t="shared" si="13"/>
        <v>-1.3162993490136166</v>
      </c>
      <c r="D39" s="17">
        <f t="shared" si="14"/>
        <v>0.70911535311286578</v>
      </c>
      <c r="E39" s="17">
        <f t="shared" si="14"/>
        <v>0.41944458803533369</v>
      </c>
      <c r="F39" s="17">
        <f t="shared" si="15"/>
        <v>0.51590881526228927</v>
      </c>
      <c r="G39" s="17"/>
      <c r="H39" s="17"/>
      <c r="I39" s="17"/>
      <c r="J39" s="17"/>
      <c r="K39" s="17"/>
    </row>
    <row r="40" spans="1:11" x14ac:dyDescent="0.2"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1:11" x14ac:dyDescent="0.2">
      <c r="A41" t="str">
        <f>$A$14</f>
        <v>All industries</v>
      </c>
      <c r="B41" s="17">
        <f t="shared" si="12"/>
        <v>1.4086611058431231</v>
      </c>
      <c r="C41" s="17">
        <f t="shared" si="13"/>
        <v>-4.7643120618900969E-2</v>
      </c>
      <c r="D41" s="17">
        <f>IF(E$5-D$5 &lt;&gt; 0,(EXP(LN(E14/D14)/(E$5-D$5))-1)*100,0)</f>
        <v>0.31874509394067552</v>
      </c>
      <c r="E41" s="17">
        <f>IF(F$5-E$5 &lt;&gt; 0,(EXP(LN(F14/E14)/(F$5-E$5))-1)*100,0)</f>
        <v>0.27451898098458383</v>
      </c>
      <c r="F41" s="17">
        <f t="shared" si="15"/>
        <v>0.28925885184050149</v>
      </c>
      <c r="H41" s="17"/>
      <c r="I41" s="17"/>
      <c r="J41" s="17"/>
    </row>
    <row r="42" spans="1:11" x14ac:dyDescent="0.2">
      <c r="B42" s="17"/>
      <c r="C42" s="17"/>
      <c r="D42" s="17"/>
      <c r="E42" s="17"/>
      <c r="F42" s="17"/>
      <c r="G42" s="19"/>
      <c r="K42" s="19"/>
    </row>
    <row r="43" spans="1:11" x14ac:dyDescent="0.2">
      <c r="G43" s="26"/>
      <c r="H43" s="19"/>
      <c r="I43" s="19"/>
      <c r="J43" s="19"/>
      <c r="K43" s="26"/>
    </row>
    <row r="44" spans="1:11" x14ac:dyDescent="0.2">
      <c r="A44" s="1" t="s">
        <v>15</v>
      </c>
      <c r="B44" s="19" t="str">
        <f>CONCATENATE(B$5,"-",C$5)</f>
        <v>2015-2019</v>
      </c>
      <c r="C44" s="19" t="str">
        <f>CONCATENATE(C$5,"-",D$5)</f>
        <v>2019-2020</v>
      </c>
      <c r="D44" s="19" t="str">
        <f>CONCATENATE(D$5,"-",E$5)</f>
        <v>2020-2025</v>
      </c>
      <c r="E44" s="19" t="str">
        <f>CONCATENATE(E$5,"-",F$5)</f>
        <v>2025-2035</v>
      </c>
      <c r="F44" s="19" t="str">
        <f>CONCATENATE(D$5,"-",F$5)</f>
        <v>2020-2035</v>
      </c>
      <c r="G44" s="26"/>
      <c r="H44" s="26"/>
      <c r="I44" s="26"/>
      <c r="J44" s="26"/>
      <c r="K44" s="26"/>
    </row>
    <row r="45" spans="1:11" x14ac:dyDescent="0.2">
      <c r="A45" t="str">
        <f>$A$7</f>
        <v>Primary sector and utilities</v>
      </c>
      <c r="B45" s="26">
        <f>C7-B7</f>
        <v>3.900000028151851E-2</v>
      </c>
      <c r="C45" s="26">
        <f>D7-C7</f>
        <v>8.9039999996846433</v>
      </c>
      <c r="D45" s="26">
        <f>E7-D7</f>
        <v>-0.8879999997861745</v>
      </c>
      <c r="E45" s="26">
        <f>F7-E7</f>
        <v>-1.1030000003006393</v>
      </c>
      <c r="F45" s="26">
        <f>F7-D7</f>
        <v>-1.9910000000868138</v>
      </c>
      <c r="G45" s="26"/>
      <c r="H45" s="26"/>
      <c r="I45" s="26"/>
      <c r="J45" s="26"/>
      <c r="K45" s="26"/>
    </row>
    <row r="46" spans="1:11" x14ac:dyDescent="0.2">
      <c r="A46" t="str">
        <f>$A$8</f>
        <v>Manufacturing</v>
      </c>
      <c r="B46" s="26">
        <f t="shared" ref="B46:E52" si="16">C8-B8</f>
        <v>5.1580000006650835</v>
      </c>
      <c r="C46" s="26">
        <f>D8-C8</f>
        <v>-7.2799999989846356</v>
      </c>
      <c r="D46" s="26">
        <f t="shared" si="16"/>
        <v>-8.149999998322528</v>
      </c>
      <c r="E46" s="26">
        <f t="shared" si="16"/>
        <v>-12.579000001577754</v>
      </c>
      <c r="F46" s="26">
        <f t="shared" ref="F46:F52" si="17">F8-D8</f>
        <v>-20.728999999900282</v>
      </c>
      <c r="G46" s="26"/>
      <c r="H46" s="26"/>
      <c r="I46" s="26"/>
      <c r="J46" s="26"/>
      <c r="K46" s="26"/>
    </row>
    <row r="47" spans="1:11" x14ac:dyDescent="0.2">
      <c r="A47" t="str">
        <f>$A$9</f>
        <v>Construction</v>
      </c>
      <c r="B47" s="26">
        <f t="shared" si="16"/>
        <v>7.5180000041947039</v>
      </c>
      <c r="C47" s="26">
        <f t="shared" ref="C47:C50" si="18">D9-C9</f>
        <v>-5.743000002011172</v>
      </c>
      <c r="D47" s="26">
        <f t="shared" si="16"/>
        <v>3.3639999975209776</v>
      </c>
      <c r="E47" s="26">
        <f t="shared" si="16"/>
        <v>6.8740000010313906</v>
      </c>
      <c r="F47" s="26">
        <f t="shared" si="17"/>
        <v>10.237999998552368</v>
      </c>
      <c r="G47" s="26"/>
      <c r="H47" s="26"/>
      <c r="I47" s="26"/>
      <c r="J47" s="26"/>
      <c r="K47" s="26"/>
    </row>
    <row r="48" spans="1:11" x14ac:dyDescent="0.2">
      <c r="A48" t="str">
        <f>$A$10</f>
        <v>Trade, accomod. and transport</v>
      </c>
      <c r="B48" s="26">
        <f t="shared" si="16"/>
        <v>58.189999993442143</v>
      </c>
      <c r="C48" s="26">
        <f t="shared" si="18"/>
        <v>-0.58999998961871825</v>
      </c>
      <c r="D48" s="26">
        <f t="shared" si="16"/>
        <v>11.459000002605762</v>
      </c>
      <c r="E48" s="26">
        <f t="shared" si="16"/>
        <v>20.606999986835831</v>
      </c>
      <c r="F48" s="26">
        <f t="shared" si="17"/>
        <v>32.065999989441593</v>
      </c>
      <c r="G48" s="26"/>
      <c r="H48" s="26"/>
      <c r="I48" s="26"/>
      <c r="J48" s="26"/>
      <c r="K48" s="26"/>
    </row>
    <row r="49" spans="1:11" x14ac:dyDescent="0.2">
      <c r="A49" t="str">
        <f>$A$11</f>
        <v>Business and other services</v>
      </c>
      <c r="B49" s="26">
        <f t="shared" si="16"/>
        <v>38.18299999720989</v>
      </c>
      <c r="C49" s="26">
        <f t="shared" si="18"/>
        <v>11.137999995171413</v>
      </c>
      <c r="D49" s="26">
        <f t="shared" si="16"/>
        <v>12.354000010958543</v>
      </c>
      <c r="E49" s="26">
        <f t="shared" si="16"/>
        <v>28.946999994937869</v>
      </c>
      <c r="F49" s="26">
        <f t="shared" si="17"/>
        <v>41.301000005896412</v>
      </c>
      <c r="G49" s="26"/>
      <c r="H49" s="26"/>
      <c r="I49" s="26"/>
      <c r="J49" s="26"/>
      <c r="K49" s="26"/>
    </row>
    <row r="50" spans="1:11" x14ac:dyDescent="0.2">
      <c r="A50" t="str">
        <f>$A$12</f>
        <v>Non-marketed services</v>
      </c>
      <c r="B50" s="26">
        <f t="shared" si="16"/>
        <v>21.805000003784585</v>
      </c>
      <c r="C50" s="26">
        <f t="shared" si="18"/>
        <v>-7.5750000047087269</v>
      </c>
      <c r="D50" s="26">
        <f t="shared" si="16"/>
        <v>20.422999993384678</v>
      </c>
      <c r="E50" s="26">
        <f t="shared" si="16"/>
        <v>25.148000013643127</v>
      </c>
      <c r="F50" s="26">
        <f t="shared" si="17"/>
        <v>45.571000007027806</v>
      </c>
      <c r="G50" s="26"/>
      <c r="H50" s="26"/>
      <c r="I50" s="26"/>
      <c r="J50" s="26"/>
      <c r="K50" s="26"/>
    </row>
    <row r="51" spans="1:11" x14ac:dyDescent="0.2">
      <c r="B51" s="26"/>
      <c r="C51" s="26"/>
      <c r="D51" s="26"/>
      <c r="E51" s="26"/>
      <c r="F51" s="26"/>
      <c r="H51" s="26"/>
      <c r="I51" s="26"/>
      <c r="J51" s="26"/>
    </row>
    <row r="52" spans="1:11" x14ac:dyDescent="0.2">
      <c r="A52" s="23" t="str">
        <f>$A$14</f>
        <v>All industries</v>
      </c>
      <c r="B52" s="28">
        <f>C14-B14</f>
        <v>130.89299999957802</v>
      </c>
      <c r="C52" s="28">
        <f>D14-C14</f>
        <v>-1.1460000004672111</v>
      </c>
      <c r="D52" s="28">
        <f t="shared" si="16"/>
        <v>38.562000006361359</v>
      </c>
      <c r="E52" s="28">
        <f t="shared" si="16"/>
        <v>67.89399999456964</v>
      </c>
      <c r="F52" s="28">
        <f t="shared" si="17"/>
        <v>106.456000000931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13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</cols>
  <sheetData>
    <row r="1" spans="1:7" ht="15.75" x14ac:dyDescent="0.25">
      <c r="A1" s="18" t="str">
        <f>CONCATENATE("Industry Table 2  Employment by Industry Group (SIC 2007), ",B$3,"-",F$3,", ",Info!B5)</f>
        <v>Industry Table 2  Employment by Industry Group (SIC 2007), 2015-2035, East Midlands</v>
      </c>
    </row>
    <row r="2" spans="1:7" x14ac:dyDescent="0.2">
      <c r="A2" s="1" t="s">
        <v>532</v>
      </c>
    </row>
    <row r="3" spans="1:7" x14ac:dyDescent="0.2">
      <c r="A3" s="21"/>
      <c r="B3" s="22">
        <f>'Ind T3'!B3</f>
        <v>2015</v>
      </c>
      <c r="C3" s="22">
        <f>'Ind T3'!C3</f>
        <v>2019</v>
      </c>
      <c r="D3" s="22">
        <f>'Ind T3'!D3</f>
        <v>2020</v>
      </c>
      <c r="E3" s="22">
        <f>'Ind T3'!E3</f>
        <v>2025</v>
      </c>
      <c r="F3" s="22">
        <f>'Ind T3'!F3</f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f t="array" ref="B5:B26">MMULT(aggregation!$B$3:$BX$24,'Ind T3'!B5:B79)</f>
        <v>27.710999999905233</v>
      </c>
      <c r="C5" s="11">
        <f t="array" ref="C5:C26">MMULT(aggregation!$B$3:$BX$24,'Ind T3'!C5:C79)</f>
        <v>28.427000000194997</v>
      </c>
      <c r="D5" s="11">
        <f t="array" ref="D5:D26">MMULT(aggregation!$B$3:$BX$24,'Ind T3'!D5:D79)</f>
        <v>40.702999999819355</v>
      </c>
      <c r="E5" s="11">
        <f t="array" ref="E5:E26">MMULT(aggregation!$B$3:$BX$24,'Ind T3'!E5:E79)</f>
        <v>40.257999999791139</v>
      </c>
      <c r="F5" s="11">
        <f t="array" ref="F5:F26">MMULT(aggregation!$B$3:$BX$24,'Ind T3'!F5:F79)</f>
        <v>38.939999999747165</v>
      </c>
      <c r="G5" s="10"/>
    </row>
    <row r="6" spans="1:7" x14ac:dyDescent="0.2">
      <c r="A6" s="10" t="str">
        <f>name!B5</f>
        <v>Mining and quarrying</v>
      </c>
      <c r="B6" s="11">
        <v>5.5839999999539556</v>
      </c>
      <c r="C6" s="11">
        <v>4.039999999997776</v>
      </c>
      <c r="D6" s="11">
        <v>4.0610000000043804</v>
      </c>
      <c r="E6" s="11">
        <v>3.3150000000162803</v>
      </c>
      <c r="F6" s="11">
        <v>2.5030000000094232</v>
      </c>
    </row>
    <row r="7" spans="1:7" x14ac:dyDescent="0.2">
      <c r="A7" s="10" t="str">
        <f>name!B6</f>
        <v>Food drink and tobacco</v>
      </c>
      <c r="B7" s="11">
        <v>57.5069999997772</v>
      </c>
      <c r="C7" s="11">
        <v>58.852999999795728</v>
      </c>
      <c r="D7" s="11">
        <v>57.156000000340534</v>
      </c>
      <c r="E7" s="11">
        <v>62.283000000784199</v>
      </c>
      <c r="F7" s="11">
        <v>68.406000000164283</v>
      </c>
      <c r="G7" s="11"/>
    </row>
    <row r="8" spans="1:7" x14ac:dyDescent="0.2">
      <c r="A8" s="10" t="str">
        <f>name!B7</f>
        <v>Engineering</v>
      </c>
      <c r="B8" s="11">
        <v>37.410999999920257</v>
      </c>
      <c r="C8" s="11">
        <v>30.664999999911633</v>
      </c>
      <c r="D8" s="11">
        <v>28.80599999994547</v>
      </c>
      <c r="E8" s="11">
        <v>28.23300000015599</v>
      </c>
      <c r="F8" s="11">
        <v>23.583000000040798</v>
      </c>
      <c r="G8" s="11"/>
    </row>
    <row r="9" spans="1:7" x14ac:dyDescent="0.2">
      <c r="A9" s="10" t="str">
        <f>name!B8</f>
        <v>Rest of manufacturing</v>
      </c>
      <c r="B9" s="11">
        <v>185.59299999910246</v>
      </c>
      <c r="C9" s="11">
        <v>196.15099999975763</v>
      </c>
      <c r="D9" s="11">
        <v>192.42700000019437</v>
      </c>
      <c r="E9" s="11">
        <v>179.72300000121766</v>
      </c>
      <c r="F9" s="11">
        <v>165.67100000037496</v>
      </c>
      <c r="G9" s="11"/>
    </row>
    <row r="10" spans="1:7" x14ac:dyDescent="0.2">
      <c r="A10" s="10" t="str">
        <f>name!B9</f>
        <v>Electricity and gas</v>
      </c>
      <c r="B10" s="11">
        <v>17.00700000003021</v>
      </c>
      <c r="C10" s="11">
        <v>16.459999999861971</v>
      </c>
      <c r="D10" s="11">
        <v>14.054999999894086</v>
      </c>
      <c r="E10" s="11">
        <v>13.825000000009407</v>
      </c>
      <c r="F10" s="11">
        <v>14.084999999828621</v>
      </c>
      <c r="G10" s="11"/>
    </row>
    <row r="11" spans="1:7" x14ac:dyDescent="0.2">
      <c r="A11" s="10" t="str">
        <f>name!B10</f>
        <v>Water and sewerage</v>
      </c>
      <c r="B11" s="11">
        <v>13.719999999876247</v>
      </c>
      <c r="C11" s="11">
        <v>15.133999999992428</v>
      </c>
      <c r="D11" s="11">
        <v>14.146000000013986</v>
      </c>
      <c r="E11" s="11">
        <v>14.679000000128806</v>
      </c>
      <c r="F11" s="11">
        <v>15.446000000059801</v>
      </c>
      <c r="G11" s="11"/>
    </row>
    <row r="12" spans="1:7" x14ac:dyDescent="0.2">
      <c r="A12" s="10" t="str">
        <f>name!B11</f>
        <v>Construction</v>
      </c>
      <c r="B12" s="11">
        <v>146.13199999695033</v>
      </c>
      <c r="C12" s="11">
        <v>153.65000000114503</v>
      </c>
      <c r="D12" s="11">
        <v>147.90699999913386</v>
      </c>
      <c r="E12" s="11">
        <v>151.27099999665484</v>
      </c>
      <c r="F12" s="11">
        <v>158.14499999768623</v>
      </c>
      <c r="G12" s="11"/>
    </row>
    <row r="13" spans="1:7" x14ac:dyDescent="0.2">
      <c r="A13" s="10" t="str">
        <f>name!B12</f>
        <v>Wholesale and retail trade</v>
      </c>
      <c r="B13" s="11">
        <v>363.62400000565094</v>
      </c>
      <c r="C13" s="11">
        <v>387.14900000081957</v>
      </c>
      <c r="D13" s="11">
        <v>365.71500000646415</v>
      </c>
      <c r="E13" s="11">
        <v>372.71100000772367</v>
      </c>
      <c r="F13" s="11">
        <v>381.25099999911191</v>
      </c>
      <c r="G13" s="11"/>
    </row>
    <row r="14" spans="1:7" x14ac:dyDescent="0.2">
      <c r="A14" s="10" t="str">
        <f>name!B13</f>
        <v>Transport and storage</v>
      </c>
      <c r="B14" s="11">
        <v>117.80199999919714</v>
      </c>
      <c r="C14" s="11">
        <v>139.11599999913904</v>
      </c>
      <c r="D14" s="11">
        <v>162.21900000183695</v>
      </c>
      <c r="E14" s="11">
        <v>167.66100000316038</v>
      </c>
      <c r="F14" s="11">
        <v>169.70700000184658</v>
      </c>
      <c r="G14" s="11"/>
    </row>
    <row r="15" spans="1:7" x14ac:dyDescent="0.2">
      <c r="A15" s="10" t="str">
        <f>name!B14</f>
        <v>Accommodation and food</v>
      </c>
      <c r="B15" s="11">
        <v>132.54800000205535</v>
      </c>
      <c r="C15" s="11">
        <v>145.89900000038691</v>
      </c>
      <c r="D15" s="11">
        <v>143.64000000242572</v>
      </c>
      <c r="E15" s="11">
        <v>142.6610000024487</v>
      </c>
      <c r="F15" s="11">
        <v>152.68199999921001</v>
      </c>
      <c r="G15" s="11"/>
    </row>
    <row r="16" spans="1:7" x14ac:dyDescent="0.2">
      <c r="A16" s="10" t="str">
        <f>name!B15</f>
        <v>Media</v>
      </c>
      <c r="B16" s="11">
        <v>8.2350000000653427</v>
      </c>
      <c r="C16" s="11">
        <v>11.626000000056054</v>
      </c>
      <c r="D16" s="11">
        <v>8.6399999999464896</v>
      </c>
      <c r="E16" s="11">
        <v>8.4940000000726616</v>
      </c>
      <c r="F16" s="11">
        <v>8.6300000000032373</v>
      </c>
      <c r="G16" s="11"/>
    </row>
    <row r="17" spans="1:7" x14ac:dyDescent="0.2">
      <c r="A17" s="10" t="str">
        <f>name!B16</f>
        <v>Information technology</v>
      </c>
      <c r="B17" s="11">
        <v>44.996000000155043</v>
      </c>
      <c r="C17" s="11">
        <v>51.616999999546536</v>
      </c>
      <c r="D17" s="11">
        <v>46.717999999053148</v>
      </c>
      <c r="E17" s="11">
        <v>50.246999999775063</v>
      </c>
      <c r="F17" s="11">
        <v>53.841999999295126</v>
      </c>
      <c r="G17" s="11"/>
    </row>
    <row r="18" spans="1:7" x14ac:dyDescent="0.2">
      <c r="A18" s="10" t="str">
        <f>name!B17</f>
        <v>Finance and insurance</v>
      </c>
      <c r="B18" s="11">
        <v>41.772000000069056</v>
      </c>
      <c r="C18" s="11">
        <v>39.803999999771619</v>
      </c>
      <c r="D18" s="11">
        <v>44.767999999405674</v>
      </c>
      <c r="E18" s="11">
        <v>44.137000000458116</v>
      </c>
      <c r="F18" s="11">
        <v>41.496999999939959</v>
      </c>
      <c r="G18" s="11"/>
    </row>
    <row r="19" spans="1:7" x14ac:dyDescent="0.2">
      <c r="A19" s="10" t="str">
        <f>name!B18</f>
        <v>Real estate</v>
      </c>
      <c r="B19" s="11">
        <v>27.166000000009245</v>
      </c>
      <c r="C19" s="11">
        <v>36.995999999929118</v>
      </c>
      <c r="D19" s="11">
        <v>38.778999999762249</v>
      </c>
      <c r="E19" s="11">
        <v>36.874000000281022</v>
      </c>
      <c r="F19" s="11">
        <v>40.303999999940245</v>
      </c>
      <c r="G19" s="11"/>
    </row>
    <row r="20" spans="1:7" x14ac:dyDescent="0.2">
      <c r="A20" s="10" t="str">
        <f>name!B19</f>
        <v>Professional services</v>
      </c>
      <c r="B20" s="11">
        <v>155.69900000005234</v>
      </c>
      <c r="C20" s="11">
        <v>188.27999999924353</v>
      </c>
      <c r="D20" s="11">
        <v>205.36499999595711</v>
      </c>
      <c r="E20" s="11">
        <v>212.28900000194429</v>
      </c>
      <c r="F20" s="11">
        <v>223.75500000025241</v>
      </c>
      <c r="G20" s="11"/>
    </row>
    <row r="21" spans="1:7" x14ac:dyDescent="0.2">
      <c r="A21" s="10" t="str">
        <f>name!B20</f>
        <v>Support services</v>
      </c>
      <c r="B21" s="11">
        <v>224.21700000051538</v>
      </c>
      <c r="C21" s="11">
        <v>194.16699999986977</v>
      </c>
      <c r="D21" s="11">
        <v>195.54200000063364</v>
      </c>
      <c r="E21" s="11">
        <v>207.87400000127505</v>
      </c>
      <c r="F21" s="11">
        <v>220.94200000003084</v>
      </c>
      <c r="G21" s="11"/>
    </row>
    <row r="22" spans="1:7" x14ac:dyDescent="0.2">
      <c r="A22" s="10" t="str">
        <f>name!B21</f>
        <v>Public admin. and defence</v>
      </c>
      <c r="B22" s="11">
        <v>75.665999999336734</v>
      </c>
      <c r="C22" s="11">
        <v>77.918999999931529</v>
      </c>
      <c r="D22" s="11">
        <v>80.2239999989512</v>
      </c>
      <c r="E22" s="11">
        <v>86.404000000294957</v>
      </c>
      <c r="F22" s="11">
        <v>92.753000000063949</v>
      </c>
      <c r="G22" s="11"/>
    </row>
    <row r="23" spans="1:7" x14ac:dyDescent="0.2">
      <c r="A23" s="10" t="str">
        <f>name!B22</f>
        <v>Education</v>
      </c>
      <c r="B23" s="11">
        <v>204.37499999959886</v>
      </c>
      <c r="C23" s="11">
        <v>210.96600000147009</v>
      </c>
      <c r="D23" s="11">
        <v>209.79399999727281</v>
      </c>
      <c r="E23" s="11">
        <v>204.86899999060074</v>
      </c>
      <c r="F23" s="11">
        <v>206.32500000142213</v>
      </c>
      <c r="G23" s="11"/>
    </row>
    <row r="24" spans="1:7" x14ac:dyDescent="0.2">
      <c r="A24" s="10" t="str">
        <f>name!B23</f>
        <v>Health and social work</v>
      </c>
      <c r="B24" s="11">
        <v>273.63099999618714</v>
      </c>
      <c r="C24" s="11">
        <v>286.59199999750564</v>
      </c>
      <c r="D24" s="11">
        <v>277.88399999797457</v>
      </c>
      <c r="E24" s="11">
        <v>297.05199999668764</v>
      </c>
      <c r="F24" s="11">
        <v>314.39499999974032</v>
      </c>
      <c r="G24" s="11"/>
    </row>
    <row r="25" spans="1:7" x14ac:dyDescent="0.2">
      <c r="A25" s="10" t="str">
        <f>name!B24</f>
        <v>Arts and entertainment</v>
      </c>
      <c r="B25" s="11">
        <v>58.840000000436149</v>
      </c>
      <c r="C25" s="11">
        <v>63.907000000180204</v>
      </c>
      <c r="D25" s="11">
        <v>56.808999999831144</v>
      </c>
      <c r="E25" s="11">
        <v>52.877000000806248</v>
      </c>
      <c r="F25" s="11">
        <v>53.687000000441728</v>
      </c>
      <c r="G25" s="11"/>
    </row>
    <row r="26" spans="1:7" x14ac:dyDescent="0.2">
      <c r="A26" s="10" t="str">
        <f>name!B25</f>
        <v>Other services</v>
      </c>
      <c r="B26" s="11">
        <v>55.255000000383248</v>
      </c>
      <c r="C26" s="11">
        <v>67.966000000298777</v>
      </c>
      <c r="D26" s="11">
        <v>68.879999999477434</v>
      </c>
      <c r="E26" s="11">
        <v>65.063000000413254</v>
      </c>
      <c r="F26" s="11">
        <v>64.145000000060094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2274.4909999992283</v>
      </c>
      <c r="C28" s="11">
        <f t="shared" ref="C28:F28" si="0">SUM(C5:C26)</f>
        <v>2405.3839999988054</v>
      </c>
      <c r="D28" s="11">
        <f t="shared" si="0"/>
        <v>2404.2379999983382</v>
      </c>
      <c r="E28" s="11">
        <f t="shared" si="0"/>
        <v>2442.8000000047</v>
      </c>
      <c r="F28" s="11">
        <f t="shared" si="0"/>
        <v>2510.6939999992705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40" t="s">
        <v>463</v>
      </c>
      <c r="B31" s="16">
        <f>B$3</f>
        <v>2015</v>
      </c>
      <c r="C31" s="16">
        <f>C$3</f>
        <v>2019</v>
      </c>
      <c r="D31" s="16">
        <f>D$3</f>
        <v>2020</v>
      </c>
      <c r="E31" s="16">
        <f>E$3</f>
        <v>2025</v>
      </c>
      <c r="F31" s="16">
        <f>F$3</f>
        <v>2035</v>
      </c>
      <c r="G31" s="11"/>
    </row>
    <row r="32" spans="1:7" x14ac:dyDescent="0.2">
      <c r="A32" t="str">
        <f>$A$5</f>
        <v>Agriculture</v>
      </c>
      <c r="B32" s="17">
        <f>B5/B$28*100</f>
        <v>1.2183385205707402</v>
      </c>
      <c r="C32" s="17">
        <f t="shared" ref="C32:E32" si="1">C5/C$28*100</f>
        <v>1.1818071459779027</v>
      </c>
      <c r="D32" s="17">
        <f t="shared" si="1"/>
        <v>1.6929688325302024</v>
      </c>
      <c r="E32" s="17">
        <f t="shared" si="1"/>
        <v>1.6480268544176224</v>
      </c>
      <c r="F32" s="17">
        <f>F5/F$28*100</f>
        <v>1.5509655895843333</v>
      </c>
    </row>
    <row r="33" spans="1:6" x14ac:dyDescent="0.2">
      <c r="A33" t="str">
        <f>$A$6</f>
        <v>Mining and quarrying</v>
      </c>
      <c r="B33" s="17">
        <f t="shared" ref="B33:F53" si="2">B6/B$28*100</f>
        <v>0.24550547792696695</v>
      </c>
      <c r="C33" s="17">
        <f t="shared" si="2"/>
        <v>0.16795655080435318</v>
      </c>
      <c r="D33" s="17">
        <f t="shared" si="2"/>
        <v>0.16891006630821023</v>
      </c>
      <c r="E33" s="17">
        <f t="shared" si="2"/>
        <v>0.135704928770669</v>
      </c>
      <c r="F33" s="17">
        <f t="shared" si="2"/>
        <v>9.9693550867216402E-2</v>
      </c>
    </row>
    <row r="34" spans="1:6" x14ac:dyDescent="0.2">
      <c r="A34" t="str">
        <f>$A$7</f>
        <v>Food drink and tobacco</v>
      </c>
      <c r="B34" s="17">
        <f t="shared" si="2"/>
        <v>2.5283459024369281</v>
      </c>
      <c r="C34" s="17">
        <f t="shared" si="2"/>
        <v>2.446719525856369</v>
      </c>
      <c r="D34" s="17">
        <f t="shared" si="2"/>
        <v>2.3773020807582297</v>
      </c>
      <c r="E34" s="17">
        <f t="shared" si="2"/>
        <v>2.5496561323343854</v>
      </c>
      <c r="F34" s="17">
        <f t="shared" si="2"/>
        <v>2.7245853138687615</v>
      </c>
    </row>
    <row r="35" spans="1:6" x14ac:dyDescent="0.2">
      <c r="A35" t="str">
        <f>$A$8</f>
        <v>Engineering</v>
      </c>
      <c r="B35" s="17">
        <f t="shared" si="2"/>
        <v>1.6448075635354438</v>
      </c>
      <c r="C35" s="17">
        <f t="shared" si="2"/>
        <v>1.2748484233671988</v>
      </c>
      <c r="D35" s="17">
        <f t="shared" si="2"/>
        <v>1.1981342945234781</v>
      </c>
      <c r="E35" s="17">
        <f t="shared" si="2"/>
        <v>1.1557638775217647</v>
      </c>
      <c r="F35" s="17">
        <f t="shared" si="2"/>
        <v>0.9393020415888057</v>
      </c>
    </row>
    <row r="36" spans="1:6" x14ac:dyDescent="0.2">
      <c r="A36" t="str">
        <f>$A$9</f>
        <v>Rest of manufacturing</v>
      </c>
      <c r="B36" s="17">
        <f t="shared" si="2"/>
        <v>8.1597597000456563</v>
      </c>
      <c r="C36" s="17">
        <f t="shared" si="2"/>
        <v>8.1546647021787386</v>
      </c>
      <c r="D36" s="17">
        <f t="shared" si="2"/>
        <v>8.0036585396423892</v>
      </c>
      <c r="E36" s="17">
        <f t="shared" si="2"/>
        <v>7.3572539708888112</v>
      </c>
      <c r="F36" s="17">
        <f t="shared" si="2"/>
        <v>6.5986137697554179</v>
      </c>
    </row>
    <row r="37" spans="1:6" x14ac:dyDescent="0.2">
      <c r="A37" t="str">
        <f>$A$10</f>
        <v>Electricity and gas</v>
      </c>
      <c r="B37" s="17">
        <f t="shared" si="2"/>
        <v>0.74772773337137766</v>
      </c>
      <c r="C37" s="17">
        <f t="shared" si="2"/>
        <v>0.68429822431138421</v>
      </c>
      <c r="D37" s="17">
        <f t="shared" si="2"/>
        <v>0.58459270670806307</v>
      </c>
      <c r="E37" s="17">
        <f t="shared" si="2"/>
        <v>0.56594891108493561</v>
      </c>
      <c r="F37" s="17">
        <f t="shared" si="2"/>
        <v>0.56100026525863822</v>
      </c>
    </row>
    <row r="38" spans="1:6" x14ac:dyDescent="0.2">
      <c r="A38" t="str">
        <f>$A$11</f>
        <v>Water and sewerage</v>
      </c>
      <c r="B38" s="17">
        <f t="shared" si="2"/>
        <v>0.60321188344473131</v>
      </c>
      <c r="C38" s="17">
        <f t="shared" si="2"/>
        <v>0.62917189105772486</v>
      </c>
      <c r="D38" s="17">
        <f t="shared" si="2"/>
        <v>0.58837768973054094</v>
      </c>
      <c r="E38" s="17">
        <f t="shared" si="2"/>
        <v>0.60090879319226143</v>
      </c>
      <c r="F38" s="17">
        <f t="shared" si="2"/>
        <v>0.61520838461653582</v>
      </c>
    </row>
    <row r="39" spans="1:6" x14ac:dyDescent="0.2">
      <c r="A39" t="str">
        <f>$A$12</f>
        <v>Construction</v>
      </c>
      <c r="B39" s="17">
        <f t="shared" si="2"/>
        <v>6.4248220809403023</v>
      </c>
      <c r="C39" s="17">
        <f t="shared" si="2"/>
        <v>6.3877534730929177</v>
      </c>
      <c r="D39" s="17">
        <f t="shared" si="2"/>
        <v>6.1519283864258067</v>
      </c>
      <c r="E39" s="17">
        <f t="shared" si="2"/>
        <v>6.1925249711955042</v>
      </c>
      <c r="F39" s="17">
        <f t="shared" si="2"/>
        <v>6.2988560134262546</v>
      </c>
    </row>
    <row r="40" spans="1:6" x14ac:dyDescent="0.2">
      <c r="A40" t="str">
        <f>$A$13</f>
        <v>Wholesale and retail trade</v>
      </c>
      <c r="B40" s="17">
        <f t="shared" si="2"/>
        <v>15.987049410429599</v>
      </c>
      <c r="C40" s="17">
        <f t="shared" si="2"/>
        <v>16.095101655328705</v>
      </c>
      <c r="D40" s="17">
        <f t="shared" si="2"/>
        <v>15.211264442485184</v>
      </c>
      <c r="E40" s="17">
        <f t="shared" si="2"/>
        <v>15.257532340224603</v>
      </c>
      <c r="F40" s="17">
        <f t="shared" si="2"/>
        <v>15.185084283438071</v>
      </c>
    </row>
    <row r="41" spans="1:6" x14ac:dyDescent="0.2">
      <c r="A41" t="str">
        <f>$A$14</f>
        <v>Transport and storage</v>
      </c>
      <c r="B41" s="17">
        <f t="shared" si="2"/>
        <v>5.1792686802997725</v>
      </c>
      <c r="C41" s="17">
        <f t="shared" si="2"/>
        <v>5.7835256241501618</v>
      </c>
      <c r="D41" s="17">
        <f t="shared" si="2"/>
        <v>6.7472105507836195</v>
      </c>
      <c r="E41" s="17">
        <f t="shared" si="2"/>
        <v>6.8634763387439737</v>
      </c>
      <c r="F41" s="17">
        <f t="shared" si="2"/>
        <v>6.759366135494643</v>
      </c>
    </row>
    <row r="42" spans="1:6" x14ac:dyDescent="0.2">
      <c r="A42" t="str">
        <f>$A$15</f>
        <v>Accommodation and food</v>
      </c>
      <c r="B42" s="17">
        <f t="shared" si="2"/>
        <v>5.8275895574922183</v>
      </c>
      <c r="C42" s="17">
        <f t="shared" si="2"/>
        <v>6.0655180212581179</v>
      </c>
      <c r="D42" s="17">
        <f t="shared" si="2"/>
        <v>5.9744501169403783</v>
      </c>
      <c r="E42" s="17">
        <f t="shared" si="2"/>
        <v>5.840060586301548</v>
      </c>
      <c r="F42" s="17">
        <f t="shared" si="2"/>
        <v>6.0812667732210448</v>
      </c>
    </row>
    <row r="43" spans="1:6" x14ac:dyDescent="0.2">
      <c r="A43" t="str">
        <f>$A$16</f>
        <v>Media</v>
      </c>
      <c r="B43" s="17">
        <f t="shared" si="2"/>
        <v>0.36205902771512999</v>
      </c>
      <c r="C43" s="17">
        <f t="shared" si="2"/>
        <v>0.48333239100542069</v>
      </c>
      <c r="D43" s="17">
        <f t="shared" si="2"/>
        <v>0.35936542055954784</v>
      </c>
      <c r="E43" s="17">
        <f t="shared" si="2"/>
        <v>0.34771573604291461</v>
      </c>
      <c r="F43" s="17">
        <f t="shared" si="2"/>
        <v>0.34372966199806687</v>
      </c>
    </row>
    <row r="44" spans="1:6" x14ac:dyDescent="0.2">
      <c r="A44" t="str">
        <f>$A$17</f>
        <v>Information technology</v>
      </c>
      <c r="B44" s="17">
        <f t="shared" si="2"/>
        <v>1.9782887687913606</v>
      </c>
      <c r="C44" s="17">
        <f t="shared" si="2"/>
        <v>2.1458943769299279</v>
      </c>
      <c r="D44" s="17">
        <f t="shared" si="2"/>
        <v>1.9431520506324846</v>
      </c>
      <c r="E44" s="17">
        <f t="shared" si="2"/>
        <v>2.0569428524512197</v>
      </c>
      <c r="F44" s="17">
        <f t="shared" si="2"/>
        <v>2.1445066582909256</v>
      </c>
    </row>
    <row r="45" spans="1:6" x14ac:dyDescent="0.2">
      <c r="A45" t="str">
        <f>$A$18</f>
        <v>Finance and insurance</v>
      </c>
      <c r="B45" s="17">
        <f t="shared" si="2"/>
        <v>1.8365427693529335</v>
      </c>
      <c r="C45" s="17">
        <f t="shared" si="2"/>
        <v>1.6547877594509395</v>
      </c>
      <c r="D45" s="17">
        <f t="shared" si="2"/>
        <v>1.8620452717009139</v>
      </c>
      <c r="E45" s="17">
        <f t="shared" si="2"/>
        <v>1.8068200425893726</v>
      </c>
      <c r="F45" s="17">
        <f t="shared" si="2"/>
        <v>1.6528099401978902</v>
      </c>
    </row>
    <row r="46" spans="1:6" x14ac:dyDescent="0.2">
      <c r="A46" t="str">
        <f>$A$19</f>
        <v>Real estate</v>
      </c>
      <c r="B46" s="17">
        <f t="shared" si="2"/>
        <v>1.1943771155840344</v>
      </c>
      <c r="C46" s="17">
        <f t="shared" si="2"/>
        <v>1.5380496419676646</v>
      </c>
      <c r="D46" s="17">
        <f t="shared" si="2"/>
        <v>1.6129434773008766</v>
      </c>
      <c r="E46" s="17">
        <f t="shared" si="2"/>
        <v>1.5094972981910135</v>
      </c>
      <c r="F46" s="17">
        <f t="shared" si="2"/>
        <v>1.6052931978151042</v>
      </c>
    </row>
    <row r="47" spans="1:6" x14ac:dyDescent="0.2">
      <c r="A47" s="10" t="str">
        <f>$A$20</f>
        <v>Professional services</v>
      </c>
      <c r="B47" s="17">
        <f t="shared" si="2"/>
        <v>6.845443661905243</v>
      </c>
      <c r="C47" s="17">
        <f t="shared" si="2"/>
        <v>7.8274404419143488</v>
      </c>
      <c r="D47" s="17">
        <f t="shared" si="2"/>
        <v>8.5417916194694143</v>
      </c>
      <c r="E47" s="17">
        <f t="shared" si="2"/>
        <v>8.6903962666422068</v>
      </c>
      <c r="F47" s="17">
        <f t="shared" si="2"/>
        <v>8.9120776964583257</v>
      </c>
    </row>
    <row r="48" spans="1:6" x14ac:dyDescent="0.2">
      <c r="A48" s="10" t="str">
        <f>$A$21</f>
        <v>Support services</v>
      </c>
      <c r="B48" s="17">
        <f t="shared" si="2"/>
        <v>9.8578978769575905</v>
      </c>
      <c r="C48" s="17">
        <f t="shared" si="2"/>
        <v>8.0721830693130983</v>
      </c>
      <c r="D48" s="17">
        <f t="shared" si="2"/>
        <v>8.1332214198747721</v>
      </c>
      <c r="E48" s="17">
        <f t="shared" si="2"/>
        <v>8.5096610447386247</v>
      </c>
      <c r="F48" s="17">
        <f t="shared" si="2"/>
        <v>8.8000369618955965</v>
      </c>
    </row>
    <row r="49" spans="1:6" x14ac:dyDescent="0.2">
      <c r="A49" s="10" t="str">
        <f>$A$22</f>
        <v>Public admin. and defence</v>
      </c>
      <c r="B49" s="17">
        <f t="shared" si="2"/>
        <v>3.3267223303746816</v>
      </c>
      <c r="C49" s="17">
        <f t="shared" si="2"/>
        <v>3.2393580401287378</v>
      </c>
      <c r="D49" s="17">
        <f t="shared" si="2"/>
        <v>3.3367744790243998</v>
      </c>
      <c r="E49" s="17">
        <f t="shared" si="2"/>
        <v>3.5370885868727981</v>
      </c>
      <c r="F49" s="17">
        <f t="shared" si="2"/>
        <v>3.6943171887968385</v>
      </c>
    </row>
    <row r="50" spans="1:6" x14ac:dyDescent="0.2">
      <c r="A50" s="10" t="str">
        <f>$A$23</f>
        <v>Education</v>
      </c>
      <c r="B50" s="17">
        <f t="shared" si="2"/>
        <v>8.9855268717118761</v>
      </c>
      <c r="C50" s="17">
        <f t="shared" si="2"/>
        <v>8.7705746775390079</v>
      </c>
      <c r="D50" s="17">
        <f t="shared" si="2"/>
        <v>8.7260079907820192</v>
      </c>
      <c r="E50" s="17">
        <f t="shared" si="2"/>
        <v>8.3866464708615744</v>
      </c>
      <c r="F50" s="17">
        <f t="shared" si="2"/>
        <v>8.2178473362935538</v>
      </c>
    </row>
    <row r="51" spans="1:6" x14ac:dyDescent="0.2">
      <c r="A51" s="10" t="str">
        <f>$A$24</f>
        <v>Health and social work</v>
      </c>
      <c r="B51" s="17">
        <f t="shared" si="2"/>
        <v>12.030427906563709</v>
      </c>
      <c r="C51" s="17">
        <f t="shared" si="2"/>
        <v>11.914604902903154</v>
      </c>
      <c r="D51" s="17">
        <f t="shared" si="2"/>
        <v>11.558090338733797</v>
      </c>
      <c r="E51" s="17">
        <f t="shared" si="2"/>
        <v>12.160307843299332</v>
      </c>
      <c r="F51" s="17">
        <f t="shared" si="2"/>
        <v>12.522234888036202</v>
      </c>
    </row>
    <row r="52" spans="1:6" x14ac:dyDescent="0.2">
      <c r="A52" s="10" t="str">
        <f>$A$25</f>
        <v>Arts and entertainment</v>
      </c>
      <c r="B52" s="17">
        <f t="shared" si="2"/>
        <v>2.5869524214629172</v>
      </c>
      <c r="C52" s="17">
        <f t="shared" si="2"/>
        <v>2.6568315079925675</v>
      </c>
      <c r="D52" s="17">
        <f t="shared" si="2"/>
        <v>2.3628692334066099</v>
      </c>
      <c r="E52" s="17">
        <f t="shared" si="2"/>
        <v>2.1646061896473108</v>
      </c>
      <c r="F52" s="17">
        <f t="shared" si="2"/>
        <v>2.1383330664930624</v>
      </c>
    </row>
    <row r="53" spans="1:6" x14ac:dyDescent="0.2">
      <c r="A53" s="10" t="str">
        <f>$A$26</f>
        <v>Other services</v>
      </c>
      <c r="B53" s="17">
        <f t="shared" si="2"/>
        <v>2.4293347390867668</v>
      </c>
      <c r="C53" s="17">
        <f t="shared" si="2"/>
        <v>2.8255779534715675</v>
      </c>
      <c r="D53" s="17">
        <f t="shared" si="2"/>
        <v>2.8649409916790702</v>
      </c>
      <c r="E53" s="17">
        <f t="shared" si="2"/>
        <v>2.6634599639875582</v>
      </c>
      <c r="F53" s="17">
        <f t="shared" si="2"/>
        <v>2.5548712826046795</v>
      </c>
    </row>
    <row r="54" spans="1:6" x14ac:dyDescent="0.2">
      <c r="B54" s="17"/>
      <c r="C54" s="17"/>
      <c r="D54" s="17"/>
      <c r="E54" s="17"/>
      <c r="F54" s="17"/>
    </row>
    <row r="55" spans="1:6" x14ac:dyDescent="0.2">
      <c r="A55" s="23" t="str">
        <f>$A$28</f>
        <v>All industries</v>
      </c>
      <c r="B55" s="25">
        <f>B28/B$28*100</f>
        <v>100</v>
      </c>
      <c r="C55" s="25">
        <f>C28/C$28*100</f>
        <v>100</v>
      </c>
      <c r="D55" s="25">
        <f>D28/D$28*100</f>
        <v>100</v>
      </c>
      <c r="E55" s="25">
        <f>E28/E$28*100</f>
        <v>100</v>
      </c>
      <c r="F55" s="25">
        <f>F28/F$28*100</f>
        <v>100</v>
      </c>
    </row>
    <row r="56" spans="1:6" x14ac:dyDescent="0.2">
      <c r="B56" s="17"/>
      <c r="C56" s="17"/>
      <c r="D56" s="17"/>
      <c r="E56" s="17"/>
      <c r="F56" s="17"/>
    </row>
    <row r="57" spans="1:6" x14ac:dyDescent="0.2">
      <c r="B57" s="17"/>
      <c r="C57" s="17"/>
      <c r="D57" s="17"/>
      <c r="E57" s="17"/>
      <c r="F57" s="17"/>
    </row>
    <row r="58" spans="1:6" x14ac:dyDescent="0.2">
      <c r="B58" s="17"/>
      <c r="C58" s="17"/>
      <c r="D58" s="17"/>
      <c r="E58" s="17"/>
      <c r="F58" s="17"/>
    </row>
    <row r="59" spans="1:6" ht="15.75" x14ac:dyDescent="0.25">
      <c r="A59" s="18" t="str">
        <f>CONCATENATE(A1," (Continued)")</f>
        <v>Industry Table 2  Employment by Industry Group (SIC 2007), 2015-2035, East Midlands (Continued)</v>
      </c>
      <c r="B59" s="17"/>
      <c r="C59" s="17"/>
      <c r="D59" s="17"/>
      <c r="E59" s="17"/>
      <c r="F59" s="17"/>
    </row>
    <row r="61" spans="1:6" x14ac:dyDescent="0.2">
      <c r="A61" s="21"/>
      <c r="B61" s="24" t="str">
        <f>CONCATENATE(B$3,"-",C$3)</f>
        <v>2015-2019</v>
      </c>
      <c r="C61" s="24" t="str">
        <f>CONCATENATE(C$3,"-",D$3)</f>
        <v>2019-2020</v>
      </c>
      <c r="D61" s="24" t="str">
        <f>CONCATENATE(D$3,"-",E$3)</f>
        <v>2020-2025</v>
      </c>
      <c r="E61" s="24" t="str">
        <f>CONCATENATE(E$3,"-",F$3)</f>
        <v>2025-2035</v>
      </c>
      <c r="F61" s="24" t="str">
        <f>CONCATENATE(D$3,"-",F$3)</f>
        <v>2020-2035</v>
      </c>
    </row>
    <row r="62" spans="1:6" x14ac:dyDescent="0.2">
      <c r="A62" s="27" t="s">
        <v>14</v>
      </c>
    </row>
    <row r="63" spans="1:6" x14ac:dyDescent="0.2">
      <c r="A63" t="str">
        <f>$A$5</f>
        <v>Agriculture</v>
      </c>
      <c r="B63" s="17">
        <f>IF(AND(C$3-B$3 &lt;&gt; 0,B5&lt;&gt;0,C5&lt;&gt;0),(EXP(LN(C5/B5)/(C$3-B$3))-1)*100,0)</f>
        <v>0.63978673488294113</v>
      </c>
      <c r="C63" s="17">
        <f>IF(AND(D$3-C$3 &lt;&gt; 0,C5&lt;&gt;0,D5&lt;&gt;0),(EXP(LN(D5/C5)/(D$3-C$3))-1)*100,0)</f>
        <v>43.184296617793464</v>
      </c>
      <c r="D63" s="17">
        <f t="shared" ref="B63:E78" si="3">IF(AND(E$3-D$3 &lt;&gt; 0,D5&lt;&gt;0,E5&lt;&gt;0),(EXP(LN(E5/D5)/(E$3-D$3))-1)*100,0)</f>
        <v>-0.21961964094266984</v>
      </c>
      <c r="E63" s="17">
        <f t="shared" si="3"/>
        <v>-0.33231402995451687</v>
      </c>
      <c r="F63" s="17">
        <f>IF(AND(F$3-D$3 &lt;&gt; 0,D5&lt;&gt;0,F5&lt;&gt;0),(EXP(LN(F5/D5)/(F$3-D$3))-1)*100,0)</f>
        <v>-0.29476338291910542</v>
      </c>
    </row>
    <row r="64" spans="1:6" x14ac:dyDescent="0.2">
      <c r="A64" t="str">
        <f>$A$6</f>
        <v>Mining and quarrying</v>
      </c>
      <c r="B64" s="17">
        <f t="shared" si="3"/>
        <v>-7.7728074042879847</v>
      </c>
      <c r="C64" s="17">
        <f t="shared" ref="C64:C78" si="4">IF(AND(D$3-C$3 &lt;&gt; 0,C6&lt;&gt;0,D6&lt;&gt;0),(EXP(LN(D6/C6)/(D$3-C$3))-1)*100,0)</f>
        <v>0.51980198036178926</v>
      </c>
      <c r="D64" s="17">
        <f t="shared" si="3"/>
        <v>-3.9781412390633042</v>
      </c>
      <c r="E64" s="17">
        <f t="shared" si="3"/>
        <v>-2.7705718033212423</v>
      </c>
      <c r="F64" s="17">
        <f t="shared" ref="F64:F86" si="5">IF(AND(F$3-D$3 &lt;&gt; 0,D6&lt;&gt;0,F6&lt;&gt;0),(EXP(LN(F6/D6)/(F$3-D$3))-1)*100,0)</f>
        <v>-3.1747729608764819</v>
      </c>
    </row>
    <row r="65" spans="1:6" x14ac:dyDescent="0.2">
      <c r="A65" t="str">
        <f>$A$7</f>
        <v>Food drink and tobacco</v>
      </c>
      <c r="B65" s="17">
        <f t="shared" si="3"/>
        <v>0.58007922993179584</v>
      </c>
      <c r="C65" s="17">
        <f t="shared" si="4"/>
        <v>-2.883455387934486</v>
      </c>
      <c r="D65" s="17">
        <f t="shared" si="3"/>
        <v>1.7329268075813031</v>
      </c>
      <c r="E65" s="17">
        <f t="shared" si="3"/>
        <v>0.94213061824661715</v>
      </c>
      <c r="F65" s="17">
        <f t="shared" si="5"/>
        <v>1.2050439707365301</v>
      </c>
    </row>
    <row r="66" spans="1:6" x14ac:dyDescent="0.2">
      <c r="A66" t="str">
        <f>$A$8</f>
        <v>Engineering</v>
      </c>
      <c r="B66" s="17">
        <f t="shared" si="3"/>
        <v>-4.8495354471289387</v>
      </c>
      <c r="C66" s="17">
        <f t="shared" si="4"/>
        <v>-6.0622859937111357</v>
      </c>
      <c r="D66" s="17">
        <f t="shared" si="3"/>
        <v>-0.4010375325167348</v>
      </c>
      <c r="E66" s="17">
        <f t="shared" si="3"/>
        <v>-1.7835568677893043</v>
      </c>
      <c r="F66" s="17">
        <f t="shared" si="5"/>
        <v>-1.3248626357906912</v>
      </c>
    </row>
    <row r="67" spans="1:6" x14ac:dyDescent="0.2">
      <c r="A67" t="str">
        <f>$A$9</f>
        <v>Rest of manufacturing</v>
      </c>
      <c r="B67" s="17">
        <f t="shared" si="3"/>
        <v>1.3928273694328253</v>
      </c>
      <c r="C67" s="17">
        <f t="shared" si="4"/>
        <v>-1.8985373511059667</v>
      </c>
      <c r="D67" s="17">
        <f t="shared" si="3"/>
        <v>-1.3567142205350491</v>
      </c>
      <c r="E67" s="17">
        <f t="shared" si="3"/>
        <v>-0.81082377320090826</v>
      </c>
      <c r="F67" s="17">
        <f t="shared" si="5"/>
        <v>-0.99312209377682148</v>
      </c>
    </row>
    <row r="68" spans="1:6" x14ac:dyDescent="0.2">
      <c r="A68" t="str">
        <f>$A$10</f>
        <v>Electricity and gas</v>
      </c>
      <c r="B68" s="17">
        <f t="shared" si="3"/>
        <v>-0.81396493811152215</v>
      </c>
      <c r="C68" s="17">
        <f t="shared" si="4"/>
        <v>-14.61117861475123</v>
      </c>
      <c r="D68" s="17">
        <f t="shared" si="3"/>
        <v>-0.32944925989808471</v>
      </c>
      <c r="E68" s="17">
        <f t="shared" si="3"/>
        <v>0.18649221991069442</v>
      </c>
      <c r="F68" s="17">
        <f t="shared" si="5"/>
        <v>1.421565676347214E-2</v>
      </c>
    </row>
    <row r="69" spans="1:6" x14ac:dyDescent="0.2">
      <c r="A69" t="str">
        <f>$A$11</f>
        <v>Water and sewerage</v>
      </c>
      <c r="B69" s="17">
        <f t="shared" si="3"/>
        <v>2.4825456240959776</v>
      </c>
      <c r="C69" s="17">
        <f t="shared" si="4"/>
        <v>-6.5283467687256236</v>
      </c>
      <c r="D69" s="17">
        <f t="shared" si="3"/>
        <v>0.74246273468929758</v>
      </c>
      <c r="E69" s="17">
        <f t="shared" si="3"/>
        <v>0.510620939445805</v>
      </c>
      <c r="F69" s="17">
        <f t="shared" si="5"/>
        <v>0.58784219438701157</v>
      </c>
    </row>
    <row r="70" spans="1:6" x14ac:dyDescent="0.2">
      <c r="A70" t="str">
        <f>$A$12</f>
        <v>Construction</v>
      </c>
      <c r="B70" s="17">
        <f t="shared" si="3"/>
        <v>1.2620718907568884</v>
      </c>
      <c r="C70" s="17">
        <f t="shared" si="4"/>
        <v>-3.7377155886549773</v>
      </c>
      <c r="D70" s="17">
        <f t="shared" si="3"/>
        <v>0.45079769659779334</v>
      </c>
      <c r="E70" s="17">
        <f t="shared" si="3"/>
        <v>0.44538292917142286</v>
      </c>
      <c r="F70" s="17">
        <f t="shared" si="5"/>
        <v>0.44718781921486705</v>
      </c>
    </row>
    <row r="71" spans="1:6" x14ac:dyDescent="0.2">
      <c r="A71" t="str">
        <f>$A$13</f>
        <v>Wholesale and retail trade</v>
      </c>
      <c r="B71" s="17">
        <f t="shared" si="3"/>
        <v>1.579577112474384</v>
      </c>
      <c r="C71" s="17">
        <f t="shared" si="4"/>
        <v>-5.5363697166491583</v>
      </c>
      <c r="D71" s="17">
        <f t="shared" si="3"/>
        <v>0.37969861296678342</v>
      </c>
      <c r="E71" s="17">
        <f t="shared" si="3"/>
        <v>0.22680311445049117</v>
      </c>
      <c r="F71" s="17">
        <f t="shared" si="5"/>
        <v>0.27774238685975838</v>
      </c>
    </row>
    <row r="72" spans="1:6" x14ac:dyDescent="0.2">
      <c r="A72" t="str">
        <f>$A$14</f>
        <v>Transport and storage</v>
      </c>
      <c r="B72" s="17">
        <f t="shared" si="3"/>
        <v>4.2452090331989156</v>
      </c>
      <c r="C72" s="17">
        <f t="shared" si="4"/>
        <v>16.607004228730627</v>
      </c>
      <c r="D72" s="17">
        <f t="shared" si="3"/>
        <v>0.66211856692022231</v>
      </c>
      <c r="E72" s="17">
        <f t="shared" si="3"/>
        <v>0.12136696016935566</v>
      </c>
      <c r="F72" s="17">
        <f t="shared" si="5"/>
        <v>0.30129395725082553</v>
      </c>
    </row>
    <row r="73" spans="1:6" x14ac:dyDescent="0.2">
      <c r="A73" t="str">
        <f>$A$15</f>
        <v>Accommodation and food</v>
      </c>
      <c r="B73" s="17">
        <f t="shared" si="3"/>
        <v>2.4282573646806194</v>
      </c>
      <c r="C73" s="17">
        <f t="shared" si="4"/>
        <v>-1.5483313785256914</v>
      </c>
      <c r="D73" s="17">
        <f t="shared" si="3"/>
        <v>-0.13668615644039095</v>
      </c>
      <c r="E73" s="17">
        <f t="shared" si="3"/>
        <v>0.68117089278336707</v>
      </c>
      <c r="F73" s="17">
        <f t="shared" si="5"/>
        <v>0.40781034387984416</v>
      </c>
    </row>
    <row r="74" spans="1:6" x14ac:dyDescent="0.2">
      <c r="A74" t="str">
        <f>$A$16</f>
        <v>Media</v>
      </c>
      <c r="B74" s="17">
        <f t="shared" si="3"/>
        <v>9.0038101801831907</v>
      </c>
      <c r="C74" s="17">
        <f t="shared" si="4"/>
        <v>-25.683812146010389</v>
      </c>
      <c r="D74" s="17">
        <f t="shared" si="3"/>
        <v>-0.3402707805555405</v>
      </c>
      <c r="E74" s="17">
        <f t="shared" si="3"/>
        <v>0.15897095703023556</v>
      </c>
      <c r="F74" s="17">
        <f t="shared" si="5"/>
        <v>-7.7202200693959888E-3</v>
      </c>
    </row>
    <row r="75" spans="1:6" x14ac:dyDescent="0.2">
      <c r="A75" t="str">
        <f>$A$17</f>
        <v>Information technology</v>
      </c>
      <c r="B75" s="17">
        <f t="shared" si="3"/>
        <v>3.491507443263786</v>
      </c>
      <c r="C75" s="17">
        <f t="shared" si="4"/>
        <v>-9.4910591482194384</v>
      </c>
      <c r="D75" s="17">
        <f t="shared" si="3"/>
        <v>1.4670838505468797</v>
      </c>
      <c r="E75" s="17">
        <f t="shared" si="3"/>
        <v>0.69342300145778246</v>
      </c>
      <c r="F75" s="17">
        <f t="shared" si="5"/>
        <v>0.95065227916140138</v>
      </c>
    </row>
    <row r="76" spans="1:6" x14ac:dyDescent="0.2">
      <c r="A76" t="str">
        <f>$A$18</f>
        <v>Finance and insurance</v>
      </c>
      <c r="B76" s="17">
        <f t="shared" si="3"/>
        <v>-1.1992225381281751</v>
      </c>
      <c r="C76" s="17">
        <f t="shared" si="4"/>
        <v>12.471108430465616</v>
      </c>
      <c r="D76" s="17">
        <f t="shared" si="3"/>
        <v>-0.28350068575804244</v>
      </c>
      <c r="E76" s="17">
        <f t="shared" si="3"/>
        <v>-0.61487483489156558</v>
      </c>
      <c r="F76" s="17">
        <f t="shared" si="5"/>
        <v>-0.50453932293708093</v>
      </c>
    </row>
    <row r="77" spans="1:6" x14ac:dyDescent="0.2">
      <c r="A77" t="str">
        <f>$A$19</f>
        <v>Real estate</v>
      </c>
      <c r="B77" s="17">
        <f t="shared" si="3"/>
        <v>8.0269883256338872</v>
      </c>
      <c r="C77" s="17">
        <f t="shared" si="4"/>
        <v>4.8194399390111053</v>
      </c>
      <c r="D77" s="17">
        <f t="shared" si="3"/>
        <v>-1.0023856349366866</v>
      </c>
      <c r="E77" s="17">
        <f t="shared" si="3"/>
        <v>0.89340751267930063</v>
      </c>
      <c r="F77" s="17">
        <f t="shared" si="5"/>
        <v>0.2574766139615825</v>
      </c>
    </row>
    <row r="78" spans="1:6" x14ac:dyDescent="0.2">
      <c r="A78" t="str">
        <f>$A$20</f>
        <v>Professional services</v>
      </c>
      <c r="B78" s="17">
        <f t="shared" si="3"/>
        <v>4.8647658823580908</v>
      </c>
      <c r="C78" s="17">
        <f t="shared" si="4"/>
        <v>9.0742511136510551</v>
      </c>
      <c r="D78" s="17">
        <f t="shared" si="3"/>
        <v>0.6653974004191765</v>
      </c>
      <c r="E78" s="17">
        <f t="shared" si="3"/>
        <v>0.52741746852380533</v>
      </c>
      <c r="F78" s="17">
        <f t="shared" si="5"/>
        <v>0.57338975232432698</v>
      </c>
    </row>
    <row r="79" spans="1:6" x14ac:dyDescent="0.2">
      <c r="A79" s="10" t="str">
        <f>$A$21</f>
        <v>Support services</v>
      </c>
      <c r="B79" s="17">
        <f t="shared" ref="B79:B84" si="6">IF(AND(C$3-B$3 &lt;&gt; 0,B21&lt;&gt;0,C21&lt;&gt;0),(EXP(LN(C21/B21)/(C$3-B$3))-1)*100,0)</f>
        <v>-3.5334557875314254</v>
      </c>
      <c r="C79" s="17">
        <f t="shared" ref="C79:C84" si="7">IF(AND(D$3-C$3 &lt;&gt; 0,C21&lt;&gt;0,D21&lt;&gt;0),(EXP(LN(D21/C21)/(D$3-C$3))-1)*100,0)</f>
        <v>0.7081532911178412</v>
      </c>
      <c r="D79" s="17">
        <f t="shared" ref="D79:D84" si="8">IF(AND(E$3-D$3 &lt;&gt; 0,D21&lt;&gt;0,E21&lt;&gt;0),(EXP(LN(E21/D21)/(E$3-D$3))-1)*100,0)</f>
        <v>1.2306496698389457</v>
      </c>
      <c r="E79" s="17">
        <f t="shared" ref="E79:E84" si="9">IF(AND(F$3-E$3 &lt;&gt; 0,E21&lt;&gt;0,F21&lt;&gt;0),(EXP(LN(F21/E21)/(F$3-E$3))-1)*100,0)</f>
        <v>0.61154330435948534</v>
      </c>
      <c r="F79" s="17">
        <f t="shared" si="5"/>
        <v>0.81749024184467611</v>
      </c>
    </row>
    <row r="80" spans="1:6" x14ac:dyDescent="0.2">
      <c r="A80" s="10" t="str">
        <f>$A$22</f>
        <v>Public admin. and defence</v>
      </c>
      <c r="B80" s="17">
        <f t="shared" si="6"/>
        <v>0.73621955221789825</v>
      </c>
      <c r="C80" s="17">
        <f t="shared" si="7"/>
        <v>2.9582001809849823</v>
      </c>
      <c r="D80" s="17">
        <f t="shared" si="8"/>
        <v>1.4952942971976357</v>
      </c>
      <c r="E80" s="17">
        <f t="shared" si="9"/>
        <v>0.71158053722522041</v>
      </c>
      <c r="F80" s="17">
        <f t="shared" si="5"/>
        <v>0.97214374101770584</v>
      </c>
    </row>
    <row r="81" spans="1:6" x14ac:dyDescent="0.2">
      <c r="A81" s="10" t="str">
        <f>$A$23</f>
        <v>Education</v>
      </c>
      <c r="B81" s="17">
        <f t="shared" si="6"/>
        <v>0.79666767794435156</v>
      </c>
      <c r="C81" s="17">
        <f t="shared" si="7"/>
        <v>-0.55553975720690207</v>
      </c>
      <c r="D81" s="17">
        <f t="shared" si="8"/>
        <v>-0.47398008102845779</v>
      </c>
      <c r="E81" s="17">
        <f t="shared" si="9"/>
        <v>7.0843532649877972E-2</v>
      </c>
      <c r="F81" s="17">
        <f t="shared" si="5"/>
        <v>-0.11109491977920882</v>
      </c>
    </row>
    <row r="82" spans="1:6" x14ac:dyDescent="0.2">
      <c r="A82" s="10" t="str">
        <f>$A$24</f>
        <v>Health and social work</v>
      </c>
      <c r="B82" s="17">
        <f t="shared" si="6"/>
        <v>1.1636968298387451</v>
      </c>
      <c r="C82" s="17">
        <f t="shared" si="7"/>
        <v>-3.0384658328239667</v>
      </c>
      <c r="D82" s="17">
        <f t="shared" si="8"/>
        <v>1.3430073481638827</v>
      </c>
      <c r="E82" s="17">
        <f t="shared" si="9"/>
        <v>0.56904242524928872</v>
      </c>
      <c r="F82" s="17">
        <f t="shared" si="5"/>
        <v>0.8263717343517607</v>
      </c>
    </row>
    <row r="83" spans="1:6" x14ac:dyDescent="0.2">
      <c r="A83" s="10" t="str">
        <f>$A$25</f>
        <v>Arts and entertainment</v>
      </c>
      <c r="B83" s="17">
        <f>IF(AND(C$3-B$3 &lt;&gt; 0,B25&lt;&gt;0,C25&lt;&gt;0),(EXP(LN(C25/B25)/(C$3-B$3))-1)*100,0)</f>
        <v>2.0866474460041973</v>
      </c>
      <c r="C83" s="17">
        <f t="shared" si="7"/>
        <v>-11.106764517703926</v>
      </c>
      <c r="D83" s="17">
        <f t="shared" si="8"/>
        <v>-1.424285743247633</v>
      </c>
      <c r="E83" s="17">
        <f t="shared" si="9"/>
        <v>0.15213986373137089</v>
      </c>
      <c r="F83" s="17">
        <f t="shared" si="5"/>
        <v>-0.37611675117814602</v>
      </c>
    </row>
    <row r="84" spans="1:6" x14ac:dyDescent="0.2">
      <c r="A84" s="10" t="str">
        <f>$A$26</f>
        <v>Other services</v>
      </c>
      <c r="B84" s="17">
        <f t="shared" si="6"/>
        <v>5.3125265349826423</v>
      </c>
      <c r="C84" s="17">
        <f t="shared" si="7"/>
        <v>1.3447900408654956</v>
      </c>
      <c r="D84" s="17">
        <f t="shared" si="8"/>
        <v>-1.1337209705756912</v>
      </c>
      <c r="E84" s="17">
        <f t="shared" si="9"/>
        <v>-0.14199794306146707</v>
      </c>
      <c r="F84" s="17">
        <f t="shared" si="5"/>
        <v>-0.47367271170984937</v>
      </c>
    </row>
    <row r="85" spans="1:6" x14ac:dyDescent="0.2">
      <c r="B85" s="17"/>
      <c r="C85" s="17"/>
      <c r="D85" s="17"/>
      <c r="E85" s="17"/>
      <c r="F85" s="17"/>
    </row>
    <row r="86" spans="1:6" x14ac:dyDescent="0.2">
      <c r="A86" t="str">
        <f>$A$28</f>
        <v>All industries</v>
      </c>
      <c r="B86" s="17">
        <f>IF(AND(C$3-B$3 &lt;&gt; 0,B28&lt;&gt;0,C28&lt;&gt;0),(EXP(LN(C28/B28)/(C$3-B$3))-1)*100,0)</f>
        <v>1.4086611058431009</v>
      </c>
      <c r="C86" s="17">
        <f>IF(AND(D$3-C$3 &lt;&gt; 0,C28&lt;&gt;0,D28&lt;&gt;0),(EXP(LN(D28/C28)/(D$3-C$3))-1)*100,0)</f>
        <v>-4.7643120618900969E-2</v>
      </c>
      <c r="D86" s="17">
        <f>IF(AND(E$3-D$3 &lt;&gt; 0,D28&lt;&gt;0,E28&lt;&gt;0),(EXP(LN(E28/D28)/(E$3-D$3))-1)*100,0)</f>
        <v>0.31874509394069772</v>
      </c>
      <c r="E86" s="17">
        <f>IF(AND(F$3-E$3 &lt;&gt; 0,E28&lt;&gt;0,F28&lt;&gt;0),(EXP(LN(F28/E28)/(F$3-E$3))-1)*100,0)</f>
        <v>0.27451898098460603</v>
      </c>
      <c r="F86" s="17">
        <f t="shared" si="5"/>
        <v>0.28925885184050149</v>
      </c>
    </row>
    <row r="89" spans="1:6" x14ac:dyDescent="0.2">
      <c r="A89" s="1" t="s">
        <v>15</v>
      </c>
      <c r="B89" s="19" t="str">
        <f>CONCATENATE(B$3,"-",C$3)</f>
        <v>2015-2019</v>
      </c>
      <c r="C89" s="19" t="str">
        <f>CONCATENATE(C$3,"-",D$3)</f>
        <v>2019-2020</v>
      </c>
      <c r="D89" s="19" t="str">
        <f>CONCATENATE(D$3,"-",E$3)</f>
        <v>2020-2025</v>
      </c>
      <c r="E89" s="19" t="str">
        <f>CONCATENATE(E$3,"-",F$3)</f>
        <v>2025-2035</v>
      </c>
      <c r="F89" s="19" t="str">
        <f>CONCATENATE(D$3,"-",F$3)</f>
        <v>2020-2035</v>
      </c>
    </row>
    <row r="90" spans="1:6" x14ac:dyDescent="0.2">
      <c r="A90" t="str">
        <f>$A$5</f>
        <v>Agriculture</v>
      </c>
      <c r="B90" s="26">
        <f t="shared" ref="B90:E105" si="10">C5-B5</f>
        <v>0.71600000028976396</v>
      </c>
      <c r="C90" s="26">
        <f>D5-C5</f>
        <v>12.275999999624357</v>
      </c>
      <c r="D90" s="26">
        <f t="shared" si="10"/>
        <v>-0.44500000002821594</v>
      </c>
      <c r="E90" s="26">
        <f t="shared" si="10"/>
        <v>-1.3180000000439733</v>
      </c>
      <c r="F90" s="26">
        <f>F5-D5</f>
        <v>-1.7630000000721893</v>
      </c>
    </row>
    <row r="91" spans="1:6" x14ac:dyDescent="0.2">
      <c r="A91" t="str">
        <f>$A$6</f>
        <v>Mining and quarrying</v>
      </c>
      <c r="B91" s="26">
        <f t="shared" si="10"/>
        <v>-1.5439999999561795</v>
      </c>
      <c r="C91" s="26">
        <f t="shared" ref="C91:C105" si="11">D6-C6</f>
        <v>2.1000000006604402E-2</v>
      </c>
      <c r="D91" s="26">
        <f t="shared" si="10"/>
        <v>-0.74599999998810018</v>
      </c>
      <c r="E91" s="26">
        <f t="shared" si="10"/>
        <v>-0.81200000000685701</v>
      </c>
      <c r="F91" s="26">
        <f t="shared" ref="F91:F113" si="12">F6-D6</f>
        <v>-1.5579999999949572</v>
      </c>
    </row>
    <row r="92" spans="1:6" x14ac:dyDescent="0.2">
      <c r="A92" t="str">
        <f>$A$7</f>
        <v>Food drink and tobacco</v>
      </c>
      <c r="B92" s="26">
        <f t="shared" si="10"/>
        <v>1.3460000000185275</v>
      </c>
      <c r="C92" s="26">
        <f t="shared" si="11"/>
        <v>-1.6969999994551941</v>
      </c>
      <c r="D92" s="26">
        <f t="shared" si="10"/>
        <v>5.1270000004436653</v>
      </c>
      <c r="E92" s="26">
        <f t="shared" si="10"/>
        <v>6.1229999993800845</v>
      </c>
      <c r="F92" s="26">
        <f t="shared" si="12"/>
        <v>11.24999999982375</v>
      </c>
    </row>
    <row r="93" spans="1:6" x14ac:dyDescent="0.2">
      <c r="A93" t="str">
        <f>$A$8</f>
        <v>Engineering</v>
      </c>
      <c r="B93" s="26">
        <f t="shared" si="10"/>
        <v>-6.7460000000086247</v>
      </c>
      <c r="C93" s="26">
        <f t="shared" si="11"/>
        <v>-1.8589999999661622</v>
      </c>
      <c r="D93" s="26">
        <f t="shared" si="10"/>
        <v>-0.5729999997894808</v>
      </c>
      <c r="E93" s="26">
        <f t="shared" si="10"/>
        <v>-4.6500000001151918</v>
      </c>
      <c r="F93" s="26">
        <f t="shared" si="12"/>
        <v>-5.2229999999046726</v>
      </c>
    </row>
    <row r="94" spans="1:6" x14ac:dyDescent="0.2">
      <c r="A94" t="str">
        <f>$A$9</f>
        <v>Rest of manufacturing</v>
      </c>
      <c r="B94" s="26">
        <f t="shared" si="10"/>
        <v>10.55800000065517</v>
      </c>
      <c r="C94" s="26">
        <f t="shared" si="11"/>
        <v>-3.7239999995632616</v>
      </c>
      <c r="D94" s="26">
        <f t="shared" si="10"/>
        <v>-12.703999998976713</v>
      </c>
      <c r="E94" s="26">
        <f t="shared" si="10"/>
        <v>-14.052000000842696</v>
      </c>
      <c r="F94" s="26">
        <f t="shared" si="12"/>
        <v>-26.755999999819409</v>
      </c>
    </row>
    <row r="95" spans="1:6" x14ac:dyDescent="0.2">
      <c r="A95" t="str">
        <f>$A$10</f>
        <v>Electricity and gas</v>
      </c>
      <c r="B95" s="26">
        <f t="shared" si="10"/>
        <v>-0.54700000016823935</v>
      </c>
      <c r="C95" s="26">
        <f t="shared" si="11"/>
        <v>-2.4049999999678846</v>
      </c>
      <c r="D95" s="26">
        <f t="shared" si="10"/>
        <v>-0.22999999988467934</v>
      </c>
      <c r="E95" s="26">
        <f t="shared" si="10"/>
        <v>0.25999999981921462</v>
      </c>
      <c r="F95" s="26">
        <f t="shared" si="12"/>
        <v>2.9999999934535282E-2</v>
      </c>
    </row>
    <row r="96" spans="1:6" x14ac:dyDescent="0.2">
      <c r="A96" t="str">
        <f>$A$11</f>
        <v>Water and sewerage</v>
      </c>
      <c r="B96" s="26">
        <f t="shared" si="10"/>
        <v>1.4140000001161805</v>
      </c>
      <c r="C96" s="26">
        <f t="shared" si="11"/>
        <v>-0.98799999997844168</v>
      </c>
      <c r="D96" s="26">
        <f t="shared" si="10"/>
        <v>0.53300000011481963</v>
      </c>
      <c r="E96" s="26">
        <f t="shared" si="10"/>
        <v>0.7669999999309951</v>
      </c>
      <c r="F96" s="26">
        <f t="shared" si="12"/>
        <v>1.3000000000458147</v>
      </c>
    </row>
    <row r="97" spans="1:6" x14ac:dyDescent="0.2">
      <c r="A97" t="str">
        <f>$A$12</f>
        <v>Construction</v>
      </c>
      <c r="B97" s="26">
        <f t="shared" si="10"/>
        <v>7.5180000041947039</v>
      </c>
      <c r="C97" s="26">
        <f t="shared" si="11"/>
        <v>-5.743000002011172</v>
      </c>
      <c r="D97" s="26">
        <f t="shared" si="10"/>
        <v>3.3639999975209776</v>
      </c>
      <c r="E97" s="26">
        <f t="shared" si="10"/>
        <v>6.8740000010313906</v>
      </c>
      <c r="F97" s="26">
        <f t="shared" si="12"/>
        <v>10.237999998552368</v>
      </c>
    </row>
    <row r="98" spans="1:6" x14ac:dyDescent="0.2">
      <c r="A98" t="str">
        <f>$A$13</f>
        <v>Wholesale and retail trade</v>
      </c>
      <c r="B98" s="26">
        <f t="shared" si="10"/>
        <v>23.524999995168628</v>
      </c>
      <c r="C98" s="26">
        <f t="shared" si="11"/>
        <v>-21.433999994355418</v>
      </c>
      <c r="D98" s="26">
        <f t="shared" si="10"/>
        <v>6.9960000012595174</v>
      </c>
      <c r="E98" s="26">
        <f t="shared" si="10"/>
        <v>8.5399999913882425</v>
      </c>
      <c r="F98" s="26">
        <f t="shared" si="12"/>
        <v>15.53599999264776</v>
      </c>
    </row>
    <row r="99" spans="1:6" x14ac:dyDescent="0.2">
      <c r="A99" t="str">
        <f>$A$14</f>
        <v>Transport and storage</v>
      </c>
      <c r="B99" s="26">
        <f t="shared" si="10"/>
        <v>21.313999999941899</v>
      </c>
      <c r="C99" s="26">
        <f t="shared" si="11"/>
        <v>23.103000002697911</v>
      </c>
      <c r="D99" s="26">
        <f t="shared" si="10"/>
        <v>5.4420000013234358</v>
      </c>
      <c r="E99" s="26">
        <f t="shared" si="10"/>
        <v>2.0459999986861988</v>
      </c>
      <c r="F99" s="26">
        <f t="shared" si="12"/>
        <v>7.4880000000096345</v>
      </c>
    </row>
    <row r="100" spans="1:6" x14ac:dyDescent="0.2">
      <c r="A100" t="str">
        <f>$A$15</f>
        <v>Accommodation and food</v>
      </c>
      <c r="B100" s="26">
        <f t="shared" si="10"/>
        <v>13.350999998331559</v>
      </c>
      <c r="C100" s="26">
        <f t="shared" si="11"/>
        <v>-2.2589999979611832</v>
      </c>
      <c r="D100" s="26">
        <f t="shared" si="10"/>
        <v>-0.97899999997702025</v>
      </c>
      <c r="E100" s="26">
        <f t="shared" si="10"/>
        <v>10.020999996761304</v>
      </c>
      <c r="F100" s="26">
        <f t="shared" si="12"/>
        <v>9.0419999967842841</v>
      </c>
    </row>
    <row r="101" spans="1:6" x14ac:dyDescent="0.2">
      <c r="A101" t="str">
        <f>$A$16</f>
        <v>Media</v>
      </c>
      <c r="B101" s="26">
        <f t="shared" si="10"/>
        <v>3.3909999999907114</v>
      </c>
      <c r="C101" s="26">
        <f t="shared" si="11"/>
        <v>-2.9860000001095646</v>
      </c>
      <c r="D101" s="26">
        <f t="shared" si="10"/>
        <v>-0.14599999987382795</v>
      </c>
      <c r="E101" s="26">
        <f t="shared" si="10"/>
        <v>0.13599999993057565</v>
      </c>
      <c r="F101" s="26">
        <f t="shared" si="12"/>
        <v>-9.9999999432522912E-3</v>
      </c>
    </row>
    <row r="102" spans="1:6" x14ac:dyDescent="0.2">
      <c r="A102" t="str">
        <f>$A$17</f>
        <v>Information technology</v>
      </c>
      <c r="B102" s="26">
        <f t="shared" si="10"/>
        <v>6.6209999993914934</v>
      </c>
      <c r="C102" s="26">
        <f t="shared" si="11"/>
        <v>-4.8990000004933876</v>
      </c>
      <c r="D102" s="26">
        <f t="shared" si="10"/>
        <v>3.5290000007219149</v>
      </c>
      <c r="E102" s="26">
        <f t="shared" si="10"/>
        <v>3.5949999995200628</v>
      </c>
      <c r="F102" s="26">
        <f t="shared" si="12"/>
        <v>7.1240000002419777</v>
      </c>
    </row>
    <row r="103" spans="1:6" x14ac:dyDescent="0.2">
      <c r="A103" t="str">
        <f>$A$18</f>
        <v>Finance and insurance</v>
      </c>
      <c r="B103" s="26">
        <f t="shared" si="10"/>
        <v>-1.9680000002974367</v>
      </c>
      <c r="C103" s="26">
        <f t="shared" si="11"/>
        <v>4.9639999996340549</v>
      </c>
      <c r="D103" s="26">
        <f t="shared" si="10"/>
        <v>-0.63099999894755854</v>
      </c>
      <c r="E103" s="26">
        <f t="shared" si="10"/>
        <v>-2.6400000005181568</v>
      </c>
      <c r="F103" s="26">
        <f t="shared" si="12"/>
        <v>-3.2709999994657153</v>
      </c>
    </row>
    <row r="104" spans="1:6" x14ac:dyDescent="0.2">
      <c r="A104" t="str">
        <f>$A$19</f>
        <v>Real estate</v>
      </c>
      <c r="B104" s="26">
        <f t="shared" si="10"/>
        <v>9.8299999999198739</v>
      </c>
      <c r="C104" s="26">
        <f t="shared" si="11"/>
        <v>1.7829999998331303</v>
      </c>
      <c r="D104" s="26">
        <f t="shared" si="10"/>
        <v>-1.9049999994812268</v>
      </c>
      <c r="E104" s="26">
        <f t="shared" si="10"/>
        <v>3.4299999996592234</v>
      </c>
      <c r="F104" s="26">
        <f t="shared" si="12"/>
        <v>1.5250000001779966</v>
      </c>
    </row>
    <row r="105" spans="1:6" x14ac:dyDescent="0.2">
      <c r="A105" t="str">
        <f>$A$20</f>
        <v>Professional services</v>
      </c>
      <c r="B105" s="26">
        <f t="shared" si="10"/>
        <v>32.580999999191192</v>
      </c>
      <c r="C105" s="26">
        <f t="shared" si="11"/>
        <v>17.084999996713577</v>
      </c>
      <c r="D105" s="26">
        <f t="shared" si="10"/>
        <v>6.9240000059871818</v>
      </c>
      <c r="E105" s="26">
        <f t="shared" si="10"/>
        <v>11.465999998308121</v>
      </c>
      <c r="F105" s="26">
        <f t="shared" si="12"/>
        <v>18.390000004295302</v>
      </c>
    </row>
    <row r="106" spans="1:6" x14ac:dyDescent="0.2">
      <c r="A106" s="10" t="str">
        <f>$A$21</f>
        <v>Support services</v>
      </c>
      <c r="B106" s="26">
        <f t="shared" ref="B106:B111" si="13">C21-B21</f>
        <v>-30.05000000064561</v>
      </c>
      <c r="C106" s="26">
        <f t="shared" ref="C106:C111" si="14">D21-C21</f>
        <v>1.3750000007638619</v>
      </c>
      <c r="D106" s="26">
        <f t="shared" ref="D106:D111" si="15">E21-D21</f>
        <v>12.332000000641415</v>
      </c>
      <c r="E106" s="26">
        <f t="shared" ref="E106:E111" si="16">F21-E21</f>
        <v>13.067999998755795</v>
      </c>
      <c r="F106" s="26">
        <f t="shared" si="12"/>
        <v>25.39999999939721</v>
      </c>
    </row>
    <row r="107" spans="1:6" x14ac:dyDescent="0.2">
      <c r="A107" s="10" t="str">
        <f>$A$22</f>
        <v>Public admin. and defence</v>
      </c>
      <c r="B107" s="26">
        <f t="shared" si="13"/>
        <v>2.2530000005947954</v>
      </c>
      <c r="C107" s="26">
        <f t="shared" si="14"/>
        <v>2.304999999019671</v>
      </c>
      <c r="D107" s="26">
        <f t="shared" si="15"/>
        <v>6.1800000013437568</v>
      </c>
      <c r="E107" s="26">
        <f t="shared" si="16"/>
        <v>6.3489999997689921</v>
      </c>
      <c r="F107" s="26">
        <f t="shared" si="12"/>
        <v>12.529000001112749</v>
      </c>
    </row>
    <row r="108" spans="1:6" x14ac:dyDescent="0.2">
      <c r="A108" s="10" t="str">
        <f>$A$23</f>
        <v>Education</v>
      </c>
      <c r="B108" s="26">
        <f t="shared" si="13"/>
        <v>6.5910000018712367</v>
      </c>
      <c r="C108" s="26">
        <f t="shared" si="14"/>
        <v>-1.1720000041972867</v>
      </c>
      <c r="D108" s="26">
        <f t="shared" si="15"/>
        <v>-4.9250000066720645</v>
      </c>
      <c r="E108" s="26">
        <f t="shared" si="16"/>
        <v>1.4560000108213842</v>
      </c>
      <c r="F108" s="26">
        <f t="shared" si="12"/>
        <v>-3.4689999958506803</v>
      </c>
    </row>
    <row r="109" spans="1:6" x14ac:dyDescent="0.2">
      <c r="A109" s="10" t="str">
        <f>$A$24</f>
        <v>Health and social work</v>
      </c>
      <c r="B109" s="26">
        <f t="shared" si="13"/>
        <v>12.961000001318496</v>
      </c>
      <c r="C109" s="26">
        <f t="shared" si="14"/>
        <v>-8.7079999995310686</v>
      </c>
      <c r="D109" s="26">
        <f t="shared" si="15"/>
        <v>19.167999998713071</v>
      </c>
      <c r="E109" s="26">
        <f t="shared" si="16"/>
        <v>17.34300000305268</v>
      </c>
      <c r="F109" s="26">
        <f t="shared" si="12"/>
        <v>36.511000001765751</v>
      </c>
    </row>
    <row r="110" spans="1:6" x14ac:dyDescent="0.2">
      <c r="A110" s="10" t="str">
        <f>$A$25</f>
        <v>Arts and entertainment</v>
      </c>
      <c r="B110" s="26">
        <f t="shared" si="13"/>
        <v>5.0669999997440556</v>
      </c>
      <c r="C110" s="26">
        <f t="shared" si="14"/>
        <v>-7.0980000003490602</v>
      </c>
      <c r="D110" s="26">
        <f t="shared" si="15"/>
        <v>-3.9319999990248959</v>
      </c>
      <c r="E110" s="26">
        <f t="shared" si="16"/>
        <v>0.80999999963547964</v>
      </c>
      <c r="F110" s="26">
        <f t="shared" si="12"/>
        <v>-3.1219999993894163</v>
      </c>
    </row>
    <row r="111" spans="1:6" x14ac:dyDescent="0.2">
      <c r="A111" s="10" t="str">
        <f>$A$26</f>
        <v>Other services</v>
      </c>
      <c r="B111" s="26">
        <f t="shared" si="13"/>
        <v>12.710999999915529</v>
      </c>
      <c r="C111" s="26">
        <f t="shared" si="14"/>
        <v>0.91399999917865671</v>
      </c>
      <c r="D111" s="26">
        <f t="shared" si="15"/>
        <v>-3.8169999990641799</v>
      </c>
      <c r="E111" s="26">
        <f t="shared" si="16"/>
        <v>-0.91800000035316032</v>
      </c>
      <c r="F111" s="26">
        <f t="shared" si="12"/>
        <v>-4.7349999994173402</v>
      </c>
    </row>
    <row r="112" spans="1:6" x14ac:dyDescent="0.2">
      <c r="B112" s="26"/>
      <c r="C112" s="26"/>
      <c r="D112" s="26"/>
      <c r="E112" s="26"/>
      <c r="F112" s="26"/>
    </row>
    <row r="113" spans="1:6" x14ac:dyDescent="0.2">
      <c r="A113" s="23" t="str">
        <f>$A$28</f>
        <v>All industries</v>
      </c>
      <c r="B113" s="28">
        <f>C28-B28</f>
        <v>130.89299999957711</v>
      </c>
      <c r="C113" s="28">
        <f>D28-C28</f>
        <v>-1.1460000004672111</v>
      </c>
      <c r="D113" s="28">
        <f>E28-D28</f>
        <v>38.562000006361814</v>
      </c>
      <c r="E113" s="28">
        <f>F28-E28</f>
        <v>67.893999994570549</v>
      </c>
      <c r="F113" s="28">
        <f t="shared" si="12"/>
        <v>106.45600000093236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333"/>
  <sheetViews>
    <sheetView showGridLines="0" zoomScale="85" zoomScaleNormal="85" workbookViewId="0"/>
  </sheetViews>
  <sheetFormatPr defaultColWidth="9.140625" defaultRowHeight="12.75" x14ac:dyDescent="0.2"/>
  <cols>
    <col min="1" max="1" width="26.7109375" customWidth="1"/>
    <col min="2" max="6" width="11.7109375" customWidth="1"/>
  </cols>
  <sheetData>
    <row r="1" spans="1:7" ht="15.75" x14ac:dyDescent="0.25">
      <c r="A1" s="18" t="str">
        <f>CONCATENATE("Industry Table 3  Employment by Industry (SIC 2007), ",B$3,"-",F$3,", ",Info!B5)</f>
        <v>Industry Table 3  Employment by Industry (SIC 2007), 2015-2035, East Midlands</v>
      </c>
    </row>
    <row r="2" spans="1:7" x14ac:dyDescent="0.2">
      <c r="A2" s="1" t="s">
        <v>533</v>
      </c>
    </row>
    <row r="3" spans="1:7" x14ac:dyDescent="0.2">
      <c r="A3" s="21"/>
      <c r="B3" s="22">
        <v>2015</v>
      </c>
      <c r="C3" s="22">
        <v>2019</v>
      </c>
      <c r="D3" s="22">
        <v>2020</v>
      </c>
      <c r="E3" s="22">
        <v>2025</v>
      </c>
      <c r="F3" s="22">
        <v>2035</v>
      </c>
    </row>
    <row r="4" spans="1:7" x14ac:dyDescent="0.2">
      <c r="A4" s="1" t="s">
        <v>13</v>
      </c>
    </row>
    <row r="5" spans="1:7" x14ac:dyDescent="0.2">
      <c r="A5" t="str">
        <f>name!A4</f>
        <v>Agriculture, etc</v>
      </c>
      <c r="B5" s="11">
        <v>27.710999999905233</v>
      </c>
      <c r="C5" s="11">
        <v>28.427000000194997</v>
      </c>
      <c r="D5" s="11">
        <v>40.702999999819355</v>
      </c>
      <c r="E5" s="11">
        <v>40.257999999791139</v>
      </c>
      <c r="F5" s="11">
        <v>38.939999999747165</v>
      </c>
      <c r="G5" s="10"/>
    </row>
    <row r="6" spans="1:7" x14ac:dyDescent="0.2">
      <c r="A6" t="str">
        <f>name!A5</f>
        <v>Coal, oil &amp; gas; Mining &amp; related</v>
      </c>
      <c r="B6" s="11">
        <v>5.5839999999539556</v>
      </c>
      <c r="C6" s="11">
        <v>4.039999999997776</v>
      </c>
      <c r="D6" s="11">
        <v>4.0610000000043804</v>
      </c>
      <c r="E6" s="11">
        <v>3.3150000000162803</v>
      </c>
      <c r="F6" s="11">
        <v>2.5030000000094232</v>
      </c>
    </row>
    <row r="7" spans="1:7" x14ac:dyDescent="0.2">
      <c r="A7" t="str">
        <f>name!A6</f>
        <v>Food products</v>
      </c>
      <c r="B7" s="11">
        <v>55.699999999774313</v>
      </c>
      <c r="C7" s="11">
        <v>57.684999999797185</v>
      </c>
      <c r="D7" s="11">
        <v>55.955000000341492</v>
      </c>
      <c r="E7" s="11">
        <v>60.988000000781589</v>
      </c>
      <c r="F7" s="11">
        <v>67.003000000166082</v>
      </c>
      <c r="G7" s="11"/>
    </row>
    <row r="8" spans="1:7" x14ac:dyDescent="0.2">
      <c r="A8" t="str">
        <f>name!A7</f>
        <v>Beverages and tobacco</v>
      </c>
      <c r="B8" s="11">
        <v>1.8070000000028865</v>
      </c>
      <c r="C8" s="11">
        <v>1.1679999999985442</v>
      </c>
      <c r="D8" s="11">
        <v>1.2009999999990386</v>
      </c>
      <c r="E8" s="11">
        <v>1.2950000000026061</v>
      </c>
      <c r="F8" s="11">
        <v>1.4029999999982055</v>
      </c>
      <c r="G8" s="11"/>
    </row>
    <row r="9" spans="1:7" x14ac:dyDescent="0.2">
      <c r="A9" t="str">
        <f>name!A8</f>
        <v>Textiles</v>
      </c>
      <c r="B9" s="11">
        <v>5.68899999999977</v>
      </c>
      <c r="C9" s="11">
        <v>11.962999999984156</v>
      </c>
      <c r="D9" s="11">
        <v>11.633000000033537</v>
      </c>
      <c r="E9" s="11">
        <v>10.324000000111182</v>
      </c>
      <c r="F9" s="11">
        <v>8.7440000000142906</v>
      </c>
      <c r="G9" s="11"/>
    </row>
    <row r="10" spans="1:7" x14ac:dyDescent="0.2">
      <c r="A10" t="str">
        <f>name!A9</f>
        <v>Wearing apparel; Leather, etc</v>
      </c>
      <c r="B10" s="11">
        <v>10.702000000040014</v>
      </c>
      <c r="C10" s="11">
        <v>15.184000000088529</v>
      </c>
      <c r="D10" s="11">
        <v>16.072000000114091</v>
      </c>
      <c r="E10" s="11">
        <v>14.229000000062877</v>
      </c>
      <c r="F10" s="11">
        <v>12.205000000008331</v>
      </c>
      <c r="G10" s="11"/>
    </row>
    <row r="11" spans="1:7" x14ac:dyDescent="0.2">
      <c r="A11" t="str">
        <f>name!A10</f>
        <v xml:space="preserve">Wood and cork </v>
      </c>
      <c r="B11" s="11">
        <v>8.4989999998955064</v>
      </c>
      <c r="C11" s="11">
        <v>11.01200000000388</v>
      </c>
      <c r="D11" s="11">
        <v>12.011000000005378</v>
      </c>
      <c r="E11" s="11">
        <v>11.23299999997761</v>
      </c>
      <c r="F11" s="11">
        <v>10.210999999997195</v>
      </c>
      <c r="G11" s="11"/>
    </row>
    <row r="12" spans="1:7" x14ac:dyDescent="0.2">
      <c r="A12" t="str">
        <f>name!A11</f>
        <v>Paper, etc</v>
      </c>
      <c r="B12" s="11">
        <v>10.060999999977875</v>
      </c>
      <c r="C12" s="11">
        <v>10.019000000000128</v>
      </c>
      <c r="D12" s="11">
        <v>8.800000000041079</v>
      </c>
      <c r="E12" s="11">
        <v>8.315000000077406</v>
      </c>
      <c r="F12" s="11">
        <v>7.6040000000445405</v>
      </c>
      <c r="G12" s="11"/>
    </row>
    <row r="13" spans="1:7" x14ac:dyDescent="0.2">
      <c r="A13" t="str">
        <f>name!A12</f>
        <v>Printing and recording</v>
      </c>
      <c r="B13" s="11">
        <v>13.167000000005368</v>
      </c>
      <c r="C13" s="11">
        <v>8.4769999999780943</v>
      </c>
      <c r="D13" s="11">
        <v>7.7610000000053425</v>
      </c>
      <c r="E13" s="11">
        <v>7.1990000000625507</v>
      </c>
      <c r="F13" s="11">
        <v>6.1350000000008409</v>
      </c>
      <c r="G13" s="11"/>
    </row>
    <row r="14" spans="1:7" x14ac:dyDescent="0.2">
      <c r="A14" t="str">
        <f>name!A13</f>
        <v>Coke and petroleum; Chemicals, etc</v>
      </c>
      <c r="B14" s="11">
        <v>6.1419999999767816</v>
      </c>
      <c r="C14" s="11">
        <v>6.8679999999784194</v>
      </c>
      <c r="D14" s="11">
        <v>6.5379999999803227</v>
      </c>
      <c r="E14" s="11">
        <v>6.8790000000616995</v>
      </c>
      <c r="F14" s="11">
        <v>6.9730000000054346</v>
      </c>
      <c r="G14" s="11"/>
    </row>
    <row r="15" spans="1:7" x14ac:dyDescent="0.2">
      <c r="A15" t="str">
        <f>name!A14</f>
        <v>Pharmaceuticals</v>
      </c>
      <c r="B15" s="11">
        <v>2.4689999999937746</v>
      </c>
      <c r="C15" s="11">
        <v>2.7759999999938074</v>
      </c>
      <c r="D15" s="11">
        <v>2.8139999999869394</v>
      </c>
      <c r="E15" s="11">
        <v>2.7210000000314825</v>
      </c>
      <c r="F15" s="11">
        <v>2.3570000000118352</v>
      </c>
      <c r="G15" s="11"/>
    </row>
    <row r="16" spans="1:7" x14ac:dyDescent="0.2">
      <c r="A16" t="str">
        <f>name!A15</f>
        <v>Rubber and plastic</v>
      </c>
      <c r="B16" s="11">
        <v>22.526999999836839</v>
      </c>
      <c r="C16" s="11">
        <v>19.649999999965765</v>
      </c>
      <c r="D16" s="11">
        <v>20.843000000052729</v>
      </c>
      <c r="E16" s="11">
        <v>19.181000000156196</v>
      </c>
      <c r="F16" s="11">
        <v>16.313000000070783</v>
      </c>
      <c r="G16" s="11"/>
    </row>
    <row r="17" spans="1:7" x14ac:dyDescent="0.2">
      <c r="A17" t="str">
        <f>name!A16</f>
        <v>Other non-metallic</v>
      </c>
      <c r="B17" s="11">
        <v>12.695999999879682</v>
      </c>
      <c r="C17" s="11">
        <v>15.197999999979945</v>
      </c>
      <c r="D17" s="11">
        <v>15.198000000055742</v>
      </c>
      <c r="E17" s="11">
        <v>13.985000000188847</v>
      </c>
      <c r="F17" s="11">
        <v>11.86400000008126</v>
      </c>
      <c r="G17" s="11"/>
    </row>
    <row r="18" spans="1:7" x14ac:dyDescent="0.2">
      <c r="A18" t="str">
        <f>name!A17</f>
        <v>Basic metals</v>
      </c>
      <c r="B18" s="11">
        <v>4.4699999999570093</v>
      </c>
      <c r="C18" s="11">
        <v>4.9610000000023158</v>
      </c>
      <c r="D18" s="11">
        <v>4.2290000000123538</v>
      </c>
      <c r="E18" s="11">
        <v>4.1250000000372351</v>
      </c>
      <c r="F18" s="11">
        <v>3.6340000000294173</v>
      </c>
      <c r="G18" s="11"/>
    </row>
    <row r="19" spans="1:7" x14ac:dyDescent="0.2">
      <c r="A19" t="str">
        <f>name!A18</f>
        <v>Metal products</v>
      </c>
      <c r="B19" s="11">
        <v>32.390999999826455</v>
      </c>
      <c r="C19" s="11">
        <v>32.791999999944181</v>
      </c>
      <c r="D19" s="11">
        <v>28.706000000021962</v>
      </c>
      <c r="E19" s="11">
        <v>27.95100000017317</v>
      </c>
      <c r="F19" s="11">
        <v>24.529000000071957</v>
      </c>
      <c r="G19" s="11"/>
    </row>
    <row r="20" spans="1:7" x14ac:dyDescent="0.2">
      <c r="A20" t="str">
        <f>name!A19</f>
        <v>Computer, etc</v>
      </c>
      <c r="B20" s="11">
        <v>11.479000000014192</v>
      </c>
      <c r="C20" s="11">
        <v>6.4309999999734213</v>
      </c>
      <c r="D20" s="11">
        <v>6.7219999999784932</v>
      </c>
      <c r="E20" s="11">
        <v>6.2440000000355802</v>
      </c>
      <c r="F20" s="11">
        <v>4.4880000000014642</v>
      </c>
      <c r="G20" s="11"/>
    </row>
    <row r="21" spans="1:7" x14ac:dyDescent="0.2">
      <c r="A21" t="str">
        <f>name!A20</f>
        <v>Electrical equipment</v>
      </c>
      <c r="B21" s="11">
        <v>6.9999999999825437</v>
      </c>
      <c r="C21" s="11">
        <v>4.8719999999855981</v>
      </c>
      <c r="D21" s="11">
        <v>4.3179999999976992</v>
      </c>
      <c r="E21" s="11">
        <v>3.9800000000239155</v>
      </c>
      <c r="F21" s="11">
        <v>3.5050000000015364</v>
      </c>
      <c r="G21" s="11"/>
    </row>
    <row r="22" spans="1:7" x14ac:dyDescent="0.2">
      <c r="A22" t="str">
        <f>name!A21</f>
        <v>Machinery n.e.c.</v>
      </c>
      <c r="B22" s="11">
        <v>18.931999999923519</v>
      </c>
      <c r="C22" s="11">
        <v>19.361999999952612</v>
      </c>
      <c r="D22" s="11">
        <v>17.765999999969278</v>
      </c>
      <c r="E22" s="11">
        <v>18.009000000096492</v>
      </c>
      <c r="F22" s="11">
        <v>15.590000000037799</v>
      </c>
      <c r="G22" s="11"/>
    </row>
    <row r="23" spans="1:7" x14ac:dyDescent="0.2">
      <c r="A23" t="str">
        <f>name!A22</f>
        <v>Motor vehicles, etc</v>
      </c>
      <c r="B23" s="11">
        <v>8.1759999999541186</v>
      </c>
      <c r="C23" s="11">
        <v>8.8179999999739458</v>
      </c>
      <c r="D23" s="11">
        <v>7.7250000000032166</v>
      </c>
      <c r="E23" s="11">
        <v>8.0460000000566687</v>
      </c>
      <c r="F23" s="11">
        <v>8.2580000000274314</v>
      </c>
      <c r="G23" s="11"/>
    </row>
    <row r="24" spans="1:7" x14ac:dyDescent="0.2">
      <c r="A24" t="str">
        <f>name!A23</f>
        <v>Other transport equipment</v>
      </c>
      <c r="B24" s="11">
        <v>19.237999999903654</v>
      </c>
      <c r="C24" s="11">
        <v>23.334999999921283</v>
      </c>
      <c r="D24" s="11">
        <v>23.294999999894461</v>
      </c>
      <c r="E24" s="11">
        <v>21.130000000066175</v>
      </c>
      <c r="F24" s="11">
        <v>21.787999999978513</v>
      </c>
      <c r="G24" s="11"/>
    </row>
    <row r="25" spans="1:7" x14ac:dyDescent="0.2">
      <c r="A25" t="str">
        <f>name!A24</f>
        <v>Furniture</v>
      </c>
      <c r="B25" s="11">
        <v>12.745999999909914</v>
      </c>
      <c r="C25" s="11">
        <v>8.5449999999894199</v>
      </c>
      <c r="D25" s="11">
        <v>8.7720000000243594</v>
      </c>
      <c r="E25" s="11">
        <v>7.975000000075676</v>
      </c>
      <c r="F25" s="11">
        <v>8.0980000000457739</v>
      </c>
      <c r="G25" s="11"/>
    </row>
    <row r="26" spans="1:7" x14ac:dyDescent="0.2">
      <c r="A26" t="str">
        <f>name!A25</f>
        <v>Other manufacturing</v>
      </c>
      <c r="B26" s="11">
        <v>5.6689999999728995</v>
      </c>
      <c r="C26" s="11">
        <v>5.7909999999882329</v>
      </c>
      <c r="D26" s="11">
        <v>5.9169999999984206</v>
      </c>
      <c r="E26" s="11">
        <v>5.340000000050102</v>
      </c>
      <c r="F26" s="11">
        <v>5.3910000000042144</v>
      </c>
      <c r="G26" s="11"/>
    </row>
    <row r="27" spans="1:7" x14ac:dyDescent="0.2">
      <c r="A27" t="str">
        <f>name!A26</f>
        <v>Repair and installation</v>
      </c>
      <c r="B27" s="11">
        <v>10.950999999972783</v>
      </c>
      <c r="C27" s="11">
        <v>10.76199999996555</v>
      </c>
      <c r="D27" s="11">
        <v>12.112999999964478</v>
      </c>
      <c r="E27" s="11">
        <v>11.090000000028803</v>
      </c>
      <c r="F27" s="11">
        <v>11.566999999983135</v>
      </c>
      <c r="G27" s="11"/>
    </row>
    <row r="28" spans="1:7" x14ac:dyDescent="0.2">
      <c r="A28" t="str">
        <f>name!A27</f>
        <v>Electricity, gas, etc</v>
      </c>
      <c r="B28" s="11">
        <v>17.00700000003021</v>
      </c>
      <c r="C28" s="11">
        <v>16.459999999861971</v>
      </c>
      <c r="D28" s="11">
        <v>14.054999999894086</v>
      </c>
      <c r="E28" s="11">
        <v>13.825000000009407</v>
      </c>
      <c r="F28" s="11">
        <v>14.084999999828621</v>
      </c>
      <c r="G28" s="11"/>
    </row>
    <row r="29" spans="1:7" x14ac:dyDescent="0.2">
      <c r="A29" t="str">
        <f>name!A28</f>
        <v>Water</v>
      </c>
      <c r="B29" s="11">
        <v>2.0719999999945449</v>
      </c>
      <c r="C29" s="11">
        <v>2.7629999999887209</v>
      </c>
      <c r="D29" s="11">
        <v>2.5859999999826053</v>
      </c>
      <c r="E29" s="11">
        <v>2.6780000000051158</v>
      </c>
      <c r="F29" s="11">
        <v>2.8059999999803451</v>
      </c>
      <c r="G29" s="11"/>
    </row>
    <row r="30" spans="1:7" x14ac:dyDescent="0.2">
      <c r="A30" t="str">
        <f>name!A29</f>
        <v>Sewerage</v>
      </c>
      <c r="B30" s="11">
        <v>1.1009999999891686</v>
      </c>
      <c r="C30" s="11">
        <v>1.2230000000015973</v>
      </c>
      <c r="D30" s="11">
        <v>1.1440000000052326</v>
      </c>
      <c r="E30" s="11">
        <v>1.1830000000112089</v>
      </c>
      <c r="F30" s="11">
        <v>1.233000000010041</v>
      </c>
      <c r="G30" s="11"/>
    </row>
    <row r="31" spans="1:7" x14ac:dyDescent="0.2">
      <c r="A31" t="str">
        <f>name!A30</f>
        <v>Waste management</v>
      </c>
      <c r="B31" s="11">
        <v>10.546999999892535</v>
      </c>
      <c r="C31" s="11">
        <v>11.14800000000211</v>
      </c>
      <c r="D31" s="11">
        <v>10.416000000026148</v>
      </c>
      <c r="E31" s="11">
        <v>10.81800000011248</v>
      </c>
      <c r="F31" s="11">
        <v>11.407000000069415</v>
      </c>
      <c r="G31" s="11"/>
    </row>
    <row r="32" spans="1:7" x14ac:dyDescent="0.2">
      <c r="A32" t="str">
        <f>name!A31</f>
        <v>Construction</v>
      </c>
      <c r="B32" s="11">
        <v>31.813999999364022</v>
      </c>
      <c r="C32" s="11">
        <v>37.676000000250447</v>
      </c>
      <c r="D32" s="11">
        <v>36.826999999783254</v>
      </c>
      <c r="E32" s="11">
        <v>37.674999999288239</v>
      </c>
      <c r="F32" s="11">
        <v>39.497999999473528</v>
      </c>
      <c r="G32" s="11"/>
    </row>
    <row r="33" spans="1:7" x14ac:dyDescent="0.2">
      <c r="A33" t="str">
        <f>name!A32</f>
        <v>Civil engineering</v>
      </c>
      <c r="B33" s="11">
        <v>23.968999999475116</v>
      </c>
      <c r="C33" s="11">
        <v>18.158000000148338</v>
      </c>
      <c r="D33" s="11">
        <v>17.283999999892885</v>
      </c>
      <c r="E33" s="11">
        <v>17.670999999565982</v>
      </c>
      <c r="F33" s="11">
        <v>18.439999999721746</v>
      </c>
      <c r="G33" s="11"/>
    </row>
    <row r="34" spans="1:7" x14ac:dyDescent="0.2">
      <c r="A34" t="str">
        <f>name!A33</f>
        <v>Specialised construction</v>
      </c>
      <c r="B34" s="11">
        <v>90.348999998111182</v>
      </c>
      <c r="C34" s="11">
        <v>97.816000000746257</v>
      </c>
      <c r="D34" s="11">
        <v>93.79599999945772</v>
      </c>
      <c r="E34" s="11">
        <v>95.924999997800626</v>
      </c>
      <c r="F34" s="11">
        <v>100.20699999849094</v>
      </c>
      <c r="G34" s="11"/>
    </row>
    <row r="35" spans="1:7" x14ac:dyDescent="0.2">
      <c r="A35" t="str">
        <f>name!A34</f>
        <v>Motor vehicle trade</v>
      </c>
      <c r="B35" s="11">
        <v>43.748999999815027</v>
      </c>
      <c r="C35" s="11">
        <v>46.930000000133234</v>
      </c>
      <c r="D35" s="11">
        <v>40.817000000310443</v>
      </c>
      <c r="E35" s="11">
        <v>42.721000000258066</v>
      </c>
      <c r="F35" s="11">
        <v>45.238000000168739</v>
      </c>
      <c r="G35" s="11"/>
    </row>
    <row r="36" spans="1:7" x14ac:dyDescent="0.2">
      <c r="A36" t="str">
        <f>name!A35</f>
        <v>Wholesale trade</v>
      </c>
      <c r="B36" s="11">
        <v>94.835000000035151</v>
      </c>
      <c r="C36" s="11">
        <v>125.46499999941906</v>
      </c>
      <c r="D36" s="11">
        <v>119.32400000101906</v>
      </c>
      <c r="E36" s="11">
        <v>122.24600000164915</v>
      </c>
      <c r="F36" s="11">
        <v>124.35799999993505</v>
      </c>
      <c r="G36" s="11"/>
    </row>
    <row r="37" spans="1:7" x14ac:dyDescent="0.2">
      <c r="A37" t="str">
        <f>name!A36</f>
        <v>Retail trade</v>
      </c>
      <c r="B37" s="11">
        <v>225.04000000580081</v>
      </c>
      <c r="C37" s="11">
        <v>214.75400000126731</v>
      </c>
      <c r="D37" s="11">
        <v>205.57400000513462</v>
      </c>
      <c r="E37" s="11">
        <v>207.74400000581642</v>
      </c>
      <c r="F37" s="11">
        <v>211.65499999900811</v>
      </c>
      <c r="G37" s="11"/>
    </row>
    <row r="38" spans="1:7" x14ac:dyDescent="0.2">
      <c r="A38" t="str">
        <f>name!A37</f>
        <v>Land transport, etc</v>
      </c>
      <c r="B38" s="11">
        <v>51.787999999490921</v>
      </c>
      <c r="C38" s="11">
        <v>60.318999999214064</v>
      </c>
      <c r="D38" s="11">
        <v>70.997000001075648</v>
      </c>
      <c r="E38" s="11">
        <v>70.183000001967287</v>
      </c>
      <c r="F38" s="11">
        <v>68.328000001448032</v>
      </c>
      <c r="G38" s="11"/>
    </row>
    <row r="39" spans="1:7" x14ac:dyDescent="0.2">
      <c r="A39" t="str">
        <f>name!A38</f>
        <v>Water transport</v>
      </c>
      <c r="B39" s="11">
        <v>2.0000000000029727E-2</v>
      </c>
      <c r="C39" s="11">
        <v>1.3999999999959411E-2</v>
      </c>
      <c r="D39" s="11">
        <v>1.8000000000116499E-2</v>
      </c>
      <c r="E39" s="11">
        <v>1.3000000000052992E-2</v>
      </c>
      <c r="F39" s="11">
        <v>1.2999999999953714E-2</v>
      </c>
      <c r="G39" s="11"/>
    </row>
    <row r="40" spans="1:7" x14ac:dyDescent="0.2">
      <c r="A40" t="str">
        <f>name!A39</f>
        <v>Air transport</v>
      </c>
      <c r="B40" s="11">
        <v>1.5000000000014531</v>
      </c>
      <c r="C40" s="11">
        <v>1.130999999993632</v>
      </c>
      <c r="D40" s="11">
        <v>1.0630000000037032</v>
      </c>
      <c r="E40" s="11">
        <v>1.3990000000134439</v>
      </c>
      <c r="F40" s="11">
        <v>1.4569999999947347</v>
      </c>
      <c r="G40" s="11"/>
    </row>
    <row r="41" spans="1:7" x14ac:dyDescent="0.2">
      <c r="A41" t="str">
        <f>name!A40</f>
        <v>Warehousing, etc</v>
      </c>
      <c r="B41" s="11">
        <v>40.924999999697611</v>
      </c>
      <c r="C41" s="11">
        <v>49.990000000023066</v>
      </c>
      <c r="D41" s="11">
        <v>57.371000000414085</v>
      </c>
      <c r="E41" s="11">
        <v>60.910000000688527</v>
      </c>
      <c r="F41" s="11">
        <v>62.865000000378828</v>
      </c>
      <c r="G41" s="11"/>
    </row>
    <row r="42" spans="1:7" x14ac:dyDescent="0.2">
      <c r="A42" t="str">
        <f>name!A41</f>
        <v>Postal and courier</v>
      </c>
      <c r="B42" s="11">
        <v>23.569000000007129</v>
      </c>
      <c r="C42" s="11">
        <v>27.661999999908311</v>
      </c>
      <c r="D42" s="11">
        <v>32.770000000343408</v>
      </c>
      <c r="E42" s="11">
        <v>35.156000000491076</v>
      </c>
      <c r="F42" s="11">
        <v>37.044000000025015</v>
      </c>
      <c r="G42" s="11"/>
    </row>
    <row r="43" spans="1:7" x14ac:dyDescent="0.2">
      <c r="A43" t="str">
        <f>name!A42</f>
        <v>Accommodation</v>
      </c>
      <c r="B43" s="11">
        <v>28.086000000463507</v>
      </c>
      <c r="C43" s="11">
        <v>29.392000000041403</v>
      </c>
      <c r="D43" s="11">
        <v>28.609000000511976</v>
      </c>
      <c r="E43" s="11">
        <v>33.184000000601479</v>
      </c>
      <c r="F43" s="11">
        <v>36.432999999766743</v>
      </c>
      <c r="G43" s="11"/>
    </row>
    <row r="44" spans="1:7" x14ac:dyDescent="0.2">
      <c r="A44" t="str">
        <f>name!A43</f>
        <v>Food and beverage services</v>
      </c>
      <c r="B44" s="11">
        <v>104.46200000159183</v>
      </c>
      <c r="C44" s="11">
        <v>116.5070000003455</v>
      </c>
      <c r="D44" s="11">
        <v>115.03100000191375</v>
      </c>
      <c r="E44" s="11">
        <v>109.47700000184722</v>
      </c>
      <c r="F44" s="11">
        <v>116.24899999944327</v>
      </c>
      <c r="G44" s="11"/>
    </row>
    <row r="45" spans="1:7" x14ac:dyDescent="0.2">
      <c r="A45" t="str">
        <f>name!A44</f>
        <v>Publishing activities</v>
      </c>
      <c r="B45" s="11">
        <v>5.0530000000386739</v>
      </c>
      <c r="C45" s="11">
        <v>7.4250000000318961</v>
      </c>
      <c r="D45" s="11">
        <v>5.0839999999473839</v>
      </c>
      <c r="E45" s="11">
        <v>4.9840000000366311</v>
      </c>
      <c r="F45" s="11">
        <v>5.0529999999909236</v>
      </c>
      <c r="G45" s="11"/>
    </row>
    <row r="46" spans="1:7" x14ac:dyDescent="0.2">
      <c r="A46" t="str">
        <f>name!A45</f>
        <v>Film and music</v>
      </c>
      <c r="B46" s="11">
        <v>2.6330000000193086</v>
      </c>
      <c r="C46" s="11">
        <v>2.8720000000093799</v>
      </c>
      <c r="D46" s="11">
        <v>2.576000000010005</v>
      </c>
      <c r="E46" s="11">
        <v>2.5540000000252552</v>
      </c>
      <c r="F46" s="11">
        <v>2.6190000000054114</v>
      </c>
      <c r="G46" s="11"/>
    </row>
    <row r="47" spans="1:7" x14ac:dyDescent="0.2">
      <c r="A47" t="str">
        <f>name!A46</f>
        <v>Broadcasting</v>
      </c>
      <c r="B47" s="11">
        <v>0.54900000000736005</v>
      </c>
      <c r="C47" s="11">
        <v>1.3290000000147777</v>
      </c>
      <c r="D47" s="11">
        <v>0.97999999998910126</v>
      </c>
      <c r="E47" s="11">
        <v>0.95600000001077456</v>
      </c>
      <c r="F47" s="11">
        <v>0.95800000000690211</v>
      </c>
      <c r="G47" s="11"/>
    </row>
    <row r="48" spans="1:7" x14ac:dyDescent="0.2">
      <c r="A48" t="str">
        <f>name!A47</f>
        <v>Telecommunications</v>
      </c>
      <c r="B48" s="11">
        <v>8.139000000039152</v>
      </c>
      <c r="C48" s="11">
        <v>8.7339999999333742</v>
      </c>
      <c r="D48" s="11">
        <v>7.8089999998727428</v>
      </c>
      <c r="E48" s="11">
        <v>8.3839999999822119</v>
      </c>
      <c r="F48" s="11">
        <v>8.9599999998854578</v>
      </c>
      <c r="G48" s="11"/>
    </row>
    <row r="49" spans="1:7" x14ac:dyDescent="0.2">
      <c r="A49" t="str">
        <f>name!A48</f>
        <v>Computing services</v>
      </c>
      <c r="B49" s="11">
        <v>31.497000000088317</v>
      </c>
      <c r="C49" s="11">
        <v>36.481999999662946</v>
      </c>
      <c r="D49" s="11">
        <v>33.081999999268184</v>
      </c>
      <c r="E49" s="11">
        <v>35.599999999824533</v>
      </c>
      <c r="F49" s="11">
        <v>38.193999999490423</v>
      </c>
      <c r="G49" s="11"/>
    </row>
    <row r="50" spans="1:7" x14ac:dyDescent="0.2">
      <c r="A50" t="str">
        <f>name!A49</f>
        <v>Information services</v>
      </c>
      <c r="B50" s="11">
        <v>5.3600000000275756</v>
      </c>
      <c r="C50" s="11">
        <v>6.4009999999502138</v>
      </c>
      <c r="D50" s="11">
        <v>5.8269999999122204</v>
      </c>
      <c r="E50" s="11">
        <v>6.2629999999683248</v>
      </c>
      <c r="F50" s="11">
        <v>6.6879999999192385</v>
      </c>
      <c r="G50" s="11"/>
    </row>
    <row r="51" spans="1:7" x14ac:dyDescent="0.2">
      <c r="A51" t="str">
        <f>name!A50</f>
        <v>Financial services</v>
      </c>
      <c r="B51" s="11">
        <v>23.165000000019557</v>
      </c>
      <c r="C51" s="11">
        <v>18.822999999885301</v>
      </c>
      <c r="D51" s="11">
        <v>20.615999999723982</v>
      </c>
      <c r="E51" s="11">
        <v>20.167000000215367</v>
      </c>
      <c r="F51" s="11">
        <v>18.890999999954499</v>
      </c>
      <c r="G51" s="11"/>
    </row>
    <row r="52" spans="1:7" x14ac:dyDescent="0.2">
      <c r="A52" t="str">
        <f>name!A51</f>
        <v>Insurance and pensions</v>
      </c>
      <c r="B52" s="11">
        <v>2.0709999999901711</v>
      </c>
      <c r="C52" s="11">
        <v>3.864999999979803</v>
      </c>
      <c r="D52" s="11">
        <v>4.2489999999430426</v>
      </c>
      <c r="E52" s="11">
        <v>4.1550000000607099</v>
      </c>
      <c r="F52" s="11">
        <v>3.8760000000030304</v>
      </c>
      <c r="G52" s="11"/>
    </row>
    <row r="53" spans="1:7" x14ac:dyDescent="0.2">
      <c r="A53" t="str">
        <f>name!A52</f>
        <v>Auxiliary financial services</v>
      </c>
      <c r="B53" s="11">
        <v>16.536000000059328</v>
      </c>
      <c r="C53" s="11">
        <v>17.115999999906514</v>
      </c>
      <c r="D53" s="11">
        <v>19.902999999738647</v>
      </c>
      <c r="E53" s="11">
        <v>19.815000000182035</v>
      </c>
      <c r="F53" s="11">
        <v>18.729999999982429</v>
      </c>
      <c r="G53" s="11"/>
    </row>
    <row r="54" spans="1:7" x14ac:dyDescent="0.2">
      <c r="A54" t="str">
        <f>name!A53</f>
        <v>Real estate</v>
      </c>
      <c r="B54" s="11">
        <v>27.166000000009245</v>
      </c>
      <c r="C54" s="11">
        <v>36.995999999929118</v>
      </c>
      <c r="D54" s="11">
        <v>38.778999999762249</v>
      </c>
      <c r="E54" s="11">
        <v>36.874000000281022</v>
      </c>
      <c r="F54" s="11">
        <v>40.303999999940245</v>
      </c>
      <c r="G54" s="11"/>
    </row>
    <row r="55" spans="1:7" x14ac:dyDescent="0.2">
      <c r="A55" t="str">
        <f>name!A54</f>
        <v>Legal and accounting</v>
      </c>
      <c r="B55" s="11">
        <v>30.610999999853259</v>
      </c>
      <c r="C55" s="11">
        <v>38.693999999940388</v>
      </c>
      <c r="D55" s="11">
        <v>41.981999999071952</v>
      </c>
      <c r="E55" s="11">
        <v>44.022000000670452</v>
      </c>
      <c r="F55" s="11">
        <v>46.243000000204169</v>
      </c>
      <c r="G55" s="11"/>
    </row>
    <row r="56" spans="1:7" x14ac:dyDescent="0.2">
      <c r="A56" t="str">
        <f>name!A55</f>
        <v>Head offices, etc</v>
      </c>
      <c r="B56" s="11">
        <v>48.953999999853821</v>
      </c>
      <c r="C56" s="11">
        <v>59.751999999807843</v>
      </c>
      <c r="D56" s="11">
        <v>65.677999998593648</v>
      </c>
      <c r="E56" s="11">
        <v>66.216000000569295</v>
      </c>
      <c r="F56" s="11">
        <v>67.03600000003425</v>
      </c>
      <c r="G56" s="11"/>
    </row>
    <row r="57" spans="1:7" x14ac:dyDescent="0.2">
      <c r="A57" t="str">
        <f>name!A56</f>
        <v>Architectural and related</v>
      </c>
      <c r="B57" s="11">
        <v>34.393000000173103</v>
      </c>
      <c r="C57" s="11">
        <v>41.011999999638</v>
      </c>
      <c r="D57" s="11">
        <v>43.881999998952644</v>
      </c>
      <c r="E57" s="11">
        <v>43.427000000154017</v>
      </c>
      <c r="F57" s="11">
        <v>45.356999999741014</v>
      </c>
      <c r="G57" s="11"/>
    </row>
    <row r="58" spans="1:7" x14ac:dyDescent="0.2">
      <c r="A58" t="str">
        <f>name!A57</f>
        <v>Scientific research and development</v>
      </c>
      <c r="B58" s="11">
        <v>5.6370000001034963</v>
      </c>
      <c r="C58" s="11">
        <v>8.3149999999866431</v>
      </c>
      <c r="D58" s="11">
        <v>8.6629999998188243</v>
      </c>
      <c r="E58" s="11">
        <v>9.4310000000075291</v>
      </c>
      <c r="F58" s="11">
        <v>10.459999999997416</v>
      </c>
      <c r="G58" s="11"/>
    </row>
    <row r="59" spans="1:7" x14ac:dyDescent="0.2">
      <c r="A59" t="str">
        <f>name!A58</f>
        <v>Advertising, etc</v>
      </c>
      <c r="B59" s="11">
        <v>6.9090000000164089</v>
      </c>
      <c r="C59" s="11">
        <v>4.2680000000035436</v>
      </c>
      <c r="D59" s="11">
        <v>4.7689999998971428</v>
      </c>
      <c r="E59" s="11">
        <v>5.1850000000767213</v>
      </c>
      <c r="F59" s="11">
        <v>5.7400000000379201</v>
      </c>
      <c r="G59" s="11"/>
    </row>
    <row r="60" spans="1:7" x14ac:dyDescent="0.2">
      <c r="A60" t="str">
        <f>name!A59</f>
        <v>Other professional</v>
      </c>
      <c r="B60" s="11">
        <v>24.532000000097522</v>
      </c>
      <c r="C60" s="11">
        <v>27.744000000013632</v>
      </c>
      <c r="D60" s="11">
        <v>30.65699999949064</v>
      </c>
      <c r="E60" s="11">
        <v>33.357000000438219</v>
      </c>
      <c r="F60" s="11">
        <v>36.942000000183299</v>
      </c>
      <c r="G60" s="11"/>
    </row>
    <row r="61" spans="1:7" x14ac:dyDescent="0.2">
      <c r="A61" t="str">
        <f>name!A60</f>
        <v>Veterinary</v>
      </c>
      <c r="B61" s="11">
        <v>4.6629999999547316</v>
      </c>
      <c r="C61" s="11">
        <v>8.4949999998534604</v>
      </c>
      <c r="D61" s="11">
        <v>9.7340000001322622</v>
      </c>
      <c r="E61" s="11">
        <v>10.65100000002805</v>
      </c>
      <c r="F61" s="11">
        <v>11.977000000054311</v>
      </c>
      <c r="G61" s="11"/>
    </row>
    <row r="62" spans="1:7" x14ac:dyDescent="0.2">
      <c r="A62" t="str">
        <f>name!A61</f>
        <v>Rental and leasing</v>
      </c>
      <c r="B62" s="11">
        <v>11.014000000005748</v>
      </c>
      <c r="C62" s="11">
        <v>16.777999999985379</v>
      </c>
      <c r="D62" s="11">
        <v>16.534999999989964</v>
      </c>
      <c r="E62" s="11">
        <v>17.569000000103557</v>
      </c>
      <c r="F62" s="11">
        <v>18.680999999995652</v>
      </c>
      <c r="G62" s="11"/>
    </row>
    <row r="63" spans="1:7" x14ac:dyDescent="0.2">
      <c r="A63" t="str">
        <f>name!A62</f>
        <v>Employment activities</v>
      </c>
      <c r="B63" s="11">
        <v>113.50600000015297</v>
      </c>
      <c r="C63" s="11">
        <v>89.03199999999714</v>
      </c>
      <c r="D63" s="11">
        <v>89.88400000029371</v>
      </c>
      <c r="E63" s="11">
        <v>95.671000000665359</v>
      </c>
      <c r="F63" s="11">
        <v>101.86800000006379</v>
      </c>
      <c r="G63" s="11"/>
    </row>
    <row r="64" spans="1:7" x14ac:dyDescent="0.2">
      <c r="A64" t="str">
        <f>name!A63</f>
        <v>Travel, etc</v>
      </c>
      <c r="B64" s="11">
        <v>6.2309999999971106</v>
      </c>
      <c r="C64" s="11">
        <v>3.5840000000038019</v>
      </c>
      <c r="D64" s="11">
        <v>3.6490000000070539</v>
      </c>
      <c r="E64" s="11">
        <v>3.8720000000343919</v>
      </c>
      <c r="F64" s="11">
        <v>4.1099999999995616</v>
      </c>
      <c r="G64" s="11"/>
    </row>
    <row r="65" spans="1:7" x14ac:dyDescent="0.2">
      <c r="A65" t="str">
        <f>name!A64</f>
        <v>Security, etc</v>
      </c>
      <c r="B65" s="11">
        <v>10.525000000041603</v>
      </c>
      <c r="C65" s="11">
        <v>13.674999999983729</v>
      </c>
      <c r="D65" s="11">
        <v>13.642000000060886</v>
      </c>
      <c r="E65" s="11">
        <v>14.524000000109782</v>
      </c>
      <c r="F65" s="11">
        <v>15.472000000010862</v>
      </c>
      <c r="G65" s="11"/>
    </row>
    <row r="66" spans="1:7" x14ac:dyDescent="0.2">
      <c r="A66" t="str">
        <f>name!A65</f>
        <v>Services to buildings</v>
      </c>
      <c r="B66" s="11">
        <v>45.222000000308334</v>
      </c>
      <c r="C66" s="11">
        <v>41.45299999988918</v>
      </c>
      <c r="D66" s="11">
        <v>42.703000000200689</v>
      </c>
      <c r="E66" s="11">
        <v>45.24700000017728</v>
      </c>
      <c r="F66" s="11">
        <v>47.784999999926974</v>
      </c>
      <c r="G66" s="11"/>
    </row>
    <row r="67" spans="1:7" x14ac:dyDescent="0.2">
      <c r="A67" t="str">
        <f>name!A66</f>
        <v>Office administrative</v>
      </c>
      <c r="B67" s="11">
        <v>37.719000000009615</v>
      </c>
      <c r="C67" s="11">
        <v>29.645000000010558</v>
      </c>
      <c r="D67" s="11">
        <v>29.129000000081337</v>
      </c>
      <c r="E67" s="11">
        <v>30.991000000184659</v>
      </c>
      <c r="F67" s="11">
        <v>33.026000000033996</v>
      </c>
      <c r="G67" s="11"/>
    </row>
    <row r="68" spans="1:7" x14ac:dyDescent="0.2">
      <c r="A68" t="str">
        <f>name!A67</f>
        <v>Public administration and defence</v>
      </c>
      <c r="B68" s="11">
        <v>75.665999999336734</v>
      </c>
      <c r="C68" s="11">
        <v>77.918999999931529</v>
      </c>
      <c r="D68" s="11">
        <v>80.2239999989512</v>
      </c>
      <c r="E68" s="11">
        <v>86.404000000294957</v>
      </c>
      <c r="F68" s="11">
        <v>92.753000000063949</v>
      </c>
      <c r="G68" s="11"/>
    </row>
    <row r="69" spans="1:7" x14ac:dyDescent="0.2">
      <c r="A69" t="str">
        <f>name!A68</f>
        <v xml:space="preserve">Education </v>
      </c>
      <c r="B69" s="11">
        <v>204.37499999959886</v>
      </c>
      <c r="C69" s="11">
        <v>210.96600000147009</v>
      </c>
      <c r="D69" s="11">
        <v>209.79399999727281</v>
      </c>
      <c r="E69" s="11">
        <v>204.86899999060074</v>
      </c>
      <c r="F69" s="11">
        <v>206.32500000142213</v>
      </c>
      <c r="G69" s="11"/>
    </row>
    <row r="70" spans="1:7" x14ac:dyDescent="0.2">
      <c r="A70" t="str">
        <f>name!A69</f>
        <v>Health</v>
      </c>
      <c r="B70" s="11">
        <v>160.74099999801965</v>
      </c>
      <c r="C70" s="11">
        <v>166.33899999870013</v>
      </c>
      <c r="D70" s="11">
        <v>168.55599999868278</v>
      </c>
      <c r="E70" s="11">
        <v>176.55199999808713</v>
      </c>
      <c r="F70" s="11">
        <v>183.51199999985565</v>
      </c>
      <c r="G70" s="11"/>
    </row>
    <row r="71" spans="1:7" x14ac:dyDescent="0.2">
      <c r="A71" t="str">
        <f>name!A70</f>
        <v>Residential care</v>
      </c>
      <c r="B71" s="11">
        <v>51.809999999176171</v>
      </c>
      <c r="C71" s="11">
        <v>52.738999999501921</v>
      </c>
      <c r="D71" s="11">
        <v>48.552999999718793</v>
      </c>
      <c r="E71" s="11">
        <v>53.770999999460621</v>
      </c>
      <c r="F71" s="11">
        <v>58.961999999941241</v>
      </c>
      <c r="G71" s="11"/>
    </row>
    <row r="72" spans="1:7" x14ac:dyDescent="0.2">
      <c r="A72" t="str">
        <f>name!A71</f>
        <v>Social work</v>
      </c>
      <c r="B72" s="11">
        <v>61.079999998991319</v>
      </c>
      <c r="C72" s="11">
        <v>67.513999999303593</v>
      </c>
      <c r="D72" s="11">
        <v>60.77499999957297</v>
      </c>
      <c r="E72" s="11">
        <v>66.728999999139859</v>
      </c>
      <c r="F72" s="11">
        <v>71.920999999943419</v>
      </c>
      <c r="G72" s="11"/>
    </row>
    <row r="73" spans="1:7" x14ac:dyDescent="0.2">
      <c r="A73" t="str">
        <f>name!A72</f>
        <v>Arts and entertainment</v>
      </c>
      <c r="B73" s="11">
        <v>8.6730000002001884</v>
      </c>
      <c r="C73" s="11">
        <v>4.8940000000214345</v>
      </c>
      <c r="D73" s="11">
        <v>4.3809999999837892</v>
      </c>
      <c r="E73" s="11">
        <v>3.411000000098841</v>
      </c>
      <c r="F73" s="11">
        <v>3.426000000065808</v>
      </c>
      <c r="G73" s="11"/>
    </row>
    <row r="74" spans="1:7" x14ac:dyDescent="0.2">
      <c r="A74" t="str">
        <f>name!A73</f>
        <v>Libraries, etc</v>
      </c>
      <c r="B74" s="11">
        <v>11.380000000123854</v>
      </c>
      <c r="C74" s="11">
        <v>11.717000000084386</v>
      </c>
      <c r="D74" s="11">
        <v>12.021999999865828</v>
      </c>
      <c r="E74" s="11">
        <v>9.4970000001896331</v>
      </c>
      <c r="F74" s="11">
        <v>9.7650000001246102</v>
      </c>
      <c r="G74" s="11"/>
    </row>
    <row r="75" spans="1:7" x14ac:dyDescent="0.2">
      <c r="A75" t="str">
        <f>name!A74</f>
        <v>Gambling and betting</v>
      </c>
      <c r="B75" s="11">
        <v>5.8450000000037869</v>
      </c>
      <c r="C75" s="11">
        <v>6.5690000000118767</v>
      </c>
      <c r="D75" s="11">
        <v>5.587999999984123</v>
      </c>
      <c r="E75" s="11">
        <v>5.5280000000568208</v>
      </c>
      <c r="F75" s="11">
        <v>5.6040000000294112</v>
      </c>
      <c r="G75" s="11"/>
    </row>
    <row r="76" spans="1:7" x14ac:dyDescent="0.2">
      <c r="A76" t="str">
        <f>name!A75</f>
        <v>Sport and recreation</v>
      </c>
      <c r="B76" s="11">
        <v>32.942000000108322</v>
      </c>
      <c r="C76" s="11">
        <v>40.72700000006251</v>
      </c>
      <c r="D76" s="11">
        <v>34.817999999997397</v>
      </c>
      <c r="E76" s="11">
        <v>34.441000000460953</v>
      </c>
      <c r="F76" s="11">
        <v>34.892000000221898</v>
      </c>
      <c r="G76" s="11"/>
    </row>
    <row r="77" spans="1:7" x14ac:dyDescent="0.2">
      <c r="A77" t="str">
        <f>name!A76</f>
        <v>Membership organisations</v>
      </c>
      <c r="B77" s="11">
        <v>25.51799999995696</v>
      </c>
      <c r="C77" s="11">
        <v>21.421000000132043</v>
      </c>
      <c r="D77" s="11">
        <v>20.255999999588425</v>
      </c>
      <c r="E77" s="11">
        <v>18.988000000195171</v>
      </c>
      <c r="F77" s="11">
        <v>18.543000000076834</v>
      </c>
      <c r="G77" s="11"/>
    </row>
    <row r="78" spans="1:7" x14ac:dyDescent="0.2">
      <c r="A78" t="str">
        <f>name!A77</f>
        <v>Repair of goods</v>
      </c>
      <c r="B78" s="11">
        <v>3.8610000000400819</v>
      </c>
      <c r="C78" s="11">
        <v>5.5530000000218092</v>
      </c>
      <c r="D78" s="11">
        <v>6.7709999999233137</v>
      </c>
      <c r="E78" s="11">
        <v>6.5780000000349457</v>
      </c>
      <c r="F78" s="11">
        <v>6.6690000001316605</v>
      </c>
      <c r="G78" s="11"/>
    </row>
    <row r="79" spans="1:7" x14ac:dyDescent="0.2">
      <c r="A79" t="str">
        <f>name!A78</f>
        <v>Other personal service</v>
      </c>
      <c r="B79" s="11">
        <v>25.876000000386206</v>
      </c>
      <c r="C79" s="11">
        <v>40.99200000014492</v>
      </c>
      <c r="D79" s="11">
        <v>41.852999999965697</v>
      </c>
      <c r="E79" s="11">
        <v>39.497000000183135</v>
      </c>
      <c r="F79" s="11">
        <v>38.932999999851603</v>
      </c>
      <c r="G79" s="11"/>
    </row>
    <row r="80" spans="1:7" x14ac:dyDescent="0.2">
      <c r="B80" s="11"/>
      <c r="C80" s="11"/>
      <c r="D80" s="11"/>
      <c r="E80" s="11"/>
      <c r="F80" s="11"/>
      <c r="G80" s="11"/>
    </row>
    <row r="81" spans="1:7" x14ac:dyDescent="0.2">
      <c r="A81" s="23" t="str">
        <f>name!A3</f>
        <v>All industries</v>
      </c>
      <c r="B81" s="33">
        <f>SUM(B5:B79)</f>
        <v>2274.4909999992274</v>
      </c>
      <c r="C81" s="33">
        <f t="shared" ref="C81:F81" si="0">SUM(C5:C79)</f>
        <v>2405.3839999988054</v>
      </c>
      <c r="D81" s="33">
        <f t="shared" si="0"/>
        <v>2404.2379999983386</v>
      </c>
      <c r="E81" s="33">
        <f t="shared" si="0"/>
        <v>2442.8000000046995</v>
      </c>
      <c r="F81" s="33">
        <f t="shared" si="0"/>
        <v>2510.6939999992696</v>
      </c>
      <c r="G81" s="11"/>
    </row>
    <row r="82" spans="1:7" x14ac:dyDescent="0.2">
      <c r="B82" s="11"/>
      <c r="C82" s="11"/>
      <c r="D82" s="11"/>
      <c r="E82" s="11"/>
      <c r="F82" s="11"/>
      <c r="G82" s="11"/>
    </row>
    <row r="83" spans="1:7" x14ac:dyDescent="0.2">
      <c r="B83" s="11"/>
      <c r="C83" s="11"/>
      <c r="D83" s="11"/>
      <c r="E83" s="11"/>
      <c r="F83" s="11"/>
      <c r="G83" s="11"/>
    </row>
    <row r="84" spans="1:7" x14ac:dyDescent="0.2">
      <c r="B84" s="11"/>
      <c r="C84" s="11"/>
      <c r="D84" s="11"/>
      <c r="E84" s="11"/>
      <c r="F84" s="11"/>
      <c r="G84" s="11"/>
    </row>
    <row r="85" spans="1:7" ht="15.75" x14ac:dyDescent="0.25">
      <c r="A85" s="18" t="str">
        <f>CONCATENATE($A$1," (Continued)")</f>
        <v>Industry Table 3  Employment by Industry (SIC 2007), 2015-2035, East Midlands (Continued)</v>
      </c>
      <c r="B85" s="17"/>
      <c r="C85" s="17"/>
      <c r="D85" s="17"/>
      <c r="E85" s="17"/>
      <c r="F85" s="17"/>
      <c r="G85" s="11"/>
    </row>
    <row r="87" spans="1:7" x14ac:dyDescent="0.2">
      <c r="A87" s="35"/>
      <c r="B87" s="22">
        <f>B$3</f>
        <v>2015</v>
      </c>
      <c r="C87" s="22">
        <f>C$3</f>
        <v>2019</v>
      </c>
      <c r="D87" s="22">
        <f>D$3</f>
        <v>2020</v>
      </c>
      <c r="E87" s="22">
        <f>E$3</f>
        <v>2025</v>
      </c>
      <c r="F87" s="22">
        <f>F$3</f>
        <v>2035</v>
      </c>
      <c r="G87" s="11"/>
    </row>
    <row r="88" spans="1:7" x14ac:dyDescent="0.2">
      <c r="A88" s="27" t="s">
        <v>463</v>
      </c>
    </row>
    <row r="89" spans="1:7" x14ac:dyDescent="0.2">
      <c r="A89" t="str">
        <f>$A$5</f>
        <v>Agriculture, etc</v>
      </c>
      <c r="B89" s="17">
        <f t="shared" ref="B89:F98" si="1">B5/B$81*100</f>
        <v>1.2183385205707407</v>
      </c>
      <c r="C89" s="17">
        <f t="shared" si="1"/>
        <v>1.1818071459779027</v>
      </c>
      <c r="D89" s="17">
        <f t="shared" si="1"/>
        <v>1.6929688325302019</v>
      </c>
      <c r="E89" s="17">
        <f t="shared" si="1"/>
        <v>1.6480268544176229</v>
      </c>
      <c r="F89" s="17">
        <f t="shared" si="1"/>
        <v>1.5509655895843337</v>
      </c>
    </row>
    <row r="90" spans="1:7" x14ac:dyDescent="0.2">
      <c r="A90" t="str">
        <f>$A$6</f>
        <v>Coal, oil &amp; gas; Mining &amp; related</v>
      </c>
      <c r="B90" s="17">
        <f t="shared" si="1"/>
        <v>0.24550547792696709</v>
      </c>
      <c r="C90" s="17">
        <f t="shared" si="1"/>
        <v>0.16795655080435318</v>
      </c>
      <c r="D90" s="17">
        <f t="shared" si="1"/>
        <v>0.1689100663082102</v>
      </c>
      <c r="E90" s="17">
        <f t="shared" si="1"/>
        <v>0.13570492877066903</v>
      </c>
      <c r="F90" s="17">
        <f t="shared" si="1"/>
        <v>9.9693550867216457E-2</v>
      </c>
    </row>
    <row r="91" spans="1:7" x14ac:dyDescent="0.2">
      <c r="A91" t="str">
        <f>$A$7</f>
        <v>Food products</v>
      </c>
      <c r="B91" s="17">
        <f t="shared" si="1"/>
        <v>2.4488995559794802</v>
      </c>
      <c r="C91" s="17">
        <f t="shared" si="1"/>
        <v>2.3981617903763319</v>
      </c>
      <c r="D91" s="17">
        <f t="shared" si="1"/>
        <v>2.3273486235713832</v>
      </c>
      <c r="E91" s="17">
        <f t="shared" si="1"/>
        <v>2.4966431963592703</v>
      </c>
      <c r="F91" s="17">
        <f t="shared" si="1"/>
        <v>2.6687043502786709</v>
      </c>
    </row>
    <row r="92" spans="1:7" x14ac:dyDescent="0.2">
      <c r="A92" t="str">
        <f>$A$8</f>
        <v>Beverages and tobacco</v>
      </c>
      <c r="B92" s="17">
        <f t="shared" si="1"/>
        <v>7.9446346457449177E-2</v>
      </c>
      <c r="C92" s="17">
        <f t="shared" si="1"/>
        <v>4.8557735480036626E-2</v>
      </c>
      <c r="D92" s="17">
        <f t="shared" si="1"/>
        <v>4.9953457186845421E-2</v>
      </c>
      <c r="E92" s="17">
        <f t="shared" si="1"/>
        <v>5.3012935975115222E-2</v>
      </c>
      <c r="F92" s="17">
        <f t="shared" si="1"/>
        <v>5.5880963590091565E-2</v>
      </c>
    </row>
    <row r="93" spans="1:7" x14ac:dyDescent="0.2">
      <c r="A93" t="str">
        <f>$A$9</f>
        <v>Textiles</v>
      </c>
      <c r="B93" s="17">
        <f t="shared" si="1"/>
        <v>0.2501218954043653</v>
      </c>
      <c r="C93" s="17">
        <f t="shared" si="1"/>
        <v>0.49734262803735696</v>
      </c>
      <c r="D93" s="17">
        <f t="shared" si="1"/>
        <v>0.48385392794064375</v>
      </c>
      <c r="E93" s="17">
        <f t="shared" si="1"/>
        <v>0.42262976912114458</v>
      </c>
      <c r="F93" s="17">
        <f t="shared" si="1"/>
        <v>0.34827023922536293</v>
      </c>
    </row>
    <row r="94" spans="1:7" x14ac:dyDescent="0.2">
      <c r="A94" t="str">
        <f>$A$10</f>
        <v>Wearing apparel; Leather, etc</v>
      </c>
      <c r="B94" s="17">
        <f t="shared" si="1"/>
        <v>0.47052285544518085</v>
      </c>
      <c r="C94" s="17">
        <f t="shared" si="1"/>
        <v>0.6312505612449435</v>
      </c>
      <c r="D94" s="17">
        <f t="shared" si="1"/>
        <v>0.66848623140159991</v>
      </c>
      <c r="E94" s="17">
        <f t="shared" si="1"/>
        <v>0.58248730964612339</v>
      </c>
      <c r="F94" s="17">
        <f t="shared" si="1"/>
        <v>0.48612057064747366</v>
      </c>
    </row>
    <row r="95" spans="1:7" x14ac:dyDescent="0.2">
      <c r="A95" t="str">
        <f>$A$11</f>
        <v xml:space="preserve">Wood and cork </v>
      </c>
      <c r="B95" s="17">
        <f t="shared" si="1"/>
        <v>0.37366602021719991</v>
      </c>
      <c r="C95" s="17">
        <f t="shared" si="1"/>
        <v>0.45780632115326902</v>
      </c>
      <c r="D95" s="17">
        <f t="shared" si="1"/>
        <v>0.49957616508905017</v>
      </c>
      <c r="E95" s="17">
        <f t="shared" si="1"/>
        <v>0.45984116587342394</v>
      </c>
      <c r="F95" s="17">
        <f t="shared" si="1"/>
        <v>0.40670029880185188</v>
      </c>
    </row>
    <row r="96" spans="1:7" x14ac:dyDescent="0.2">
      <c r="A96" t="str">
        <f>$A$12</f>
        <v>Paper, etc</v>
      </c>
      <c r="B96" s="17">
        <f t="shared" si="1"/>
        <v>0.44234072590224771</v>
      </c>
      <c r="C96" s="17">
        <f t="shared" si="1"/>
        <v>0.4165239313142976</v>
      </c>
      <c r="D96" s="17">
        <f t="shared" si="1"/>
        <v>0.36602033575907045</v>
      </c>
      <c r="E96" s="17">
        <f t="shared" si="1"/>
        <v>0.34038807925582976</v>
      </c>
      <c r="F96" s="17">
        <f t="shared" si="1"/>
        <v>0.3028644669580105</v>
      </c>
    </row>
    <row r="97" spans="1:6" x14ac:dyDescent="0.2">
      <c r="A97" t="str">
        <f>$A$13</f>
        <v>Printing and recording</v>
      </c>
      <c r="B97" s="17">
        <f t="shared" si="1"/>
        <v>0.57889875141338609</v>
      </c>
      <c r="C97" s="17">
        <f t="shared" si="1"/>
        <v>0.35241774286277389</v>
      </c>
      <c r="D97" s="17">
        <f t="shared" si="1"/>
        <v>0.32280498020623188</v>
      </c>
      <c r="E97" s="17">
        <f t="shared" si="1"/>
        <v>0.29470280006749228</v>
      </c>
      <c r="F97" s="17">
        <f t="shared" si="1"/>
        <v>0.24435474812950622</v>
      </c>
    </row>
    <row r="98" spans="1:6" x14ac:dyDescent="0.2">
      <c r="A98" t="str">
        <f>$A$14</f>
        <v>Coke and petroleum; Chemicals, etc</v>
      </c>
      <c r="B98" s="17">
        <f t="shared" si="1"/>
        <v>0.27003843936858257</v>
      </c>
      <c r="C98" s="17">
        <f t="shared" si="1"/>
        <v>0.28552613636666035</v>
      </c>
      <c r="D98" s="17">
        <f t="shared" si="1"/>
        <v>0.27193647217891243</v>
      </c>
      <c r="E98" s="17">
        <f t="shared" si="1"/>
        <v>0.28160307843656729</v>
      </c>
      <c r="F98" s="17">
        <f t="shared" si="1"/>
        <v>0.27773197370955849</v>
      </c>
    </row>
    <row r="99" spans="1:6" x14ac:dyDescent="0.2">
      <c r="A99" t="str">
        <f>$A$15</f>
        <v>Pharmaceuticals</v>
      </c>
      <c r="B99" s="17">
        <f t="shared" ref="B99:F108" si="2">B15/B$81*100</f>
        <v>0.10855175949232657</v>
      </c>
      <c r="C99" s="17">
        <f t="shared" si="2"/>
        <v>0.11540776857230223</v>
      </c>
      <c r="D99" s="17">
        <f t="shared" si="2"/>
        <v>0.11704332100186769</v>
      </c>
      <c r="E99" s="17">
        <f t="shared" si="2"/>
        <v>0.11138857049395152</v>
      </c>
      <c r="F99" s="17">
        <f t="shared" si="2"/>
        <v>9.3878425646953423E-2</v>
      </c>
    </row>
    <row r="100" spans="1:6" x14ac:dyDescent="0.2">
      <c r="A100" t="str">
        <f>$A$16</f>
        <v>Rubber and plastic</v>
      </c>
      <c r="B100" s="17">
        <f t="shared" si="2"/>
        <v>0.99041939492591924</v>
      </c>
      <c r="C100" s="17">
        <f t="shared" si="2"/>
        <v>0.81691738200534814</v>
      </c>
      <c r="D100" s="17">
        <f t="shared" si="2"/>
        <v>0.86692748388749918</v>
      </c>
      <c r="E100" s="17">
        <f t="shared" si="2"/>
        <v>0.78520550188796845</v>
      </c>
      <c r="F100" s="17">
        <f t="shared" si="2"/>
        <v>0.6497406693159552</v>
      </c>
    </row>
    <row r="101" spans="1:6" x14ac:dyDescent="0.2">
      <c r="A101" t="str">
        <f>$A$17</f>
        <v>Other non-metallic</v>
      </c>
      <c r="B101" s="17">
        <f t="shared" si="2"/>
        <v>0.55819082158970923</v>
      </c>
      <c r="C101" s="17">
        <f t="shared" si="2"/>
        <v>0.63183258889173177</v>
      </c>
      <c r="D101" s="17">
        <f t="shared" si="2"/>
        <v>0.63213375714327136</v>
      </c>
      <c r="E101" s="17">
        <f t="shared" si="2"/>
        <v>0.57249877190772647</v>
      </c>
      <c r="F101" s="17">
        <f t="shared" si="2"/>
        <v>0.47253866859460819</v>
      </c>
    </row>
    <row r="102" spans="1:6" x14ac:dyDescent="0.2">
      <c r="A102" t="str">
        <f>$A$18</f>
        <v>Basic metals</v>
      </c>
      <c r="B102" s="17">
        <f t="shared" si="2"/>
        <v>0.19652748680731327</v>
      </c>
      <c r="C102" s="17">
        <f t="shared" si="2"/>
        <v>0.20624565557951577</v>
      </c>
      <c r="D102" s="17">
        <f t="shared" si="2"/>
        <v>0.17589772726390965</v>
      </c>
      <c r="E102" s="17">
        <f t="shared" si="2"/>
        <v>0.16886359914971752</v>
      </c>
      <c r="F102" s="17">
        <f t="shared" si="2"/>
        <v>0.14474085651339727</v>
      </c>
    </row>
    <row r="103" spans="1:6" x14ac:dyDescent="0.2">
      <c r="A103" t="str">
        <f>$A$19</f>
        <v>Metal products</v>
      </c>
      <c r="B103" s="17">
        <f t="shared" si="2"/>
        <v>1.4240988423272487</v>
      </c>
      <c r="C103" s="17">
        <f t="shared" si="2"/>
        <v>1.3632750529628728</v>
      </c>
      <c r="D103" s="17">
        <f t="shared" si="2"/>
        <v>1.1939749725294169</v>
      </c>
      <c r="E103" s="17">
        <f t="shared" si="2"/>
        <v>1.1442197478352463</v>
      </c>
      <c r="F103" s="17">
        <f t="shared" si="2"/>
        <v>0.97698086664799022</v>
      </c>
    </row>
    <row r="104" spans="1:6" x14ac:dyDescent="0.2">
      <c r="A104" t="str">
        <f>$A$20</f>
        <v>Computer, etc</v>
      </c>
      <c r="B104" s="17">
        <f t="shared" si="2"/>
        <v>0.50468434476188706</v>
      </c>
      <c r="C104" s="17">
        <f t="shared" si="2"/>
        <v>0.26735855896508065</v>
      </c>
      <c r="D104" s="17">
        <f t="shared" si="2"/>
        <v>0.27958962465376297</v>
      </c>
      <c r="E104" s="17">
        <f t="shared" si="2"/>
        <v>0.25560831832420045</v>
      </c>
      <c r="F104" s="17">
        <f t="shared" si="2"/>
        <v>0.17875535608890489</v>
      </c>
    </row>
    <row r="105" spans="1:6" x14ac:dyDescent="0.2">
      <c r="A105" t="str">
        <f>$A$21</f>
        <v>Electrical equipment</v>
      </c>
      <c r="B105" s="17">
        <f t="shared" si="2"/>
        <v>0.30776116502483064</v>
      </c>
      <c r="C105" s="17">
        <f t="shared" si="2"/>
        <v>0.20254562265268322</v>
      </c>
      <c r="D105" s="17">
        <f t="shared" si="2"/>
        <v>0.17959952384084618</v>
      </c>
      <c r="E105" s="17">
        <f t="shared" si="2"/>
        <v>0.16292778778517514</v>
      </c>
      <c r="F105" s="17">
        <f t="shared" si="2"/>
        <v>0.13960283491347636</v>
      </c>
    </row>
    <row r="106" spans="1:6" x14ac:dyDescent="0.2">
      <c r="A106" t="str">
        <f>$A$22</f>
        <v>Machinery n.e.c.</v>
      </c>
      <c r="B106" s="17">
        <f t="shared" si="2"/>
        <v>0.83236205374872663</v>
      </c>
      <c r="C106" s="17">
        <f t="shared" si="2"/>
        <v>0.80494424174943502</v>
      </c>
      <c r="D106" s="17">
        <f t="shared" si="2"/>
        <v>0.73894514602886885</v>
      </c>
      <c r="E106" s="17">
        <f t="shared" si="2"/>
        <v>0.73722777141238927</v>
      </c>
      <c r="F106" s="17">
        <f t="shared" si="2"/>
        <v>0.62094385058642487</v>
      </c>
    </row>
    <row r="107" spans="1:6" x14ac:dyDescent="0.2">
      <c r="A107" t="str">
        <f>$A$23</f>
        <v>Motor vehicles, etc</v>
      </c>
      <c r="B107" s="17">
        <f t="shared" si="2"/>
        <v>0.35946504074788144</v>
      </c>
      <c r="C107" s="17">
        <f t="shared" si="2"/>
        <v>0.36659427351218454</v>
      </c>
      <c r="D107" s="17">
        <f t="shared" si="2"/>
        <v>0.32130762428713605</v>
      </c>
      <c r="E107" s="17">
        <f t="shared" si="2"/>
        <v>0.32937612575901382</v>
      </c>
      <c r="F107" s="17">
        <f t="shared" si="2"/>
        <v>0.32891304157455403</v>
      </c>
    </row>
    <row r="108" spans="1:6" x14ac:dyDescent="0.2">
      <c r="A108" t="str">
        <f>$A$24</f>
        <v>Other transport equipment</v>
      </c>
      <c r="B108" s="17">
        <f t="shared" si="2"/>
        <v>0.84581561324754362</v>
      </c>
      <c r="C108" s="17">
        <f t="shared" si="2"/>
        <v>0.97011537450705887</v>
      </c>
      <c r="D108" s="17">
        <f t="shared" si="2"/>
        <v>0.96891405925330842</v>
      </c>
      <c r="E108" s="17">
        <f t="shared" si="2"/>
        <v>0.86499099394242374</v>
      </c>
      <c r="F108" s="17">
        <f t="shared" si="2"/>
        <v>0.86780786507574603</v>
      </c>
    </row>
    <row r="109" spans="1:6" x14ac:dyDescent="0.2">
      <c r="A109" t="str">
        <f>$A$25</f>
        <v>Furniture</v>
      </c>
      <c r="B109" s="17">
        <f t="shared" ref="B109:F118" si="3">B25/B$81*100</f>
        <v>0.56038911562693561</v>
      </c>
      <c r="C109" s="17">
        <f t="shared" si="3"/>
        <v>0.35524473431242842</v>
      </c>
      <c r="D109" s="17">
        <f t="shared" si="3"/>
        <v>0.36485572559914703</v>
      </c>
      <c r="E109" s="17">
        <f t="shared" si="3"/>
        <v>0.32646962502293814</v>
      </c>
      <c r="F109" s="17">
        <f t="shared" si="3"/>
        <v>0.32254030160776775</v>
      </c>
    </row>
    <row r="110" spans="1:6" x14ac:dyDescent="0.2">
      <c r="A110" t="str">
        <f>$A$26</f>
        <v>Other manufacturing</v>
      </c>
      <c r="B110" s="17">
        <f t="shared" si="3"/>
        <v>0.24924257778882508</v>
      </c>
      <c r="C110" s="17">
        <f t="shared" si="3"/>
        <v>0.24075158062043769</v>
      </c>
      <c r="D110" s="17">
        <f t="shared" si="3"/>
        <v>0.24610708257678771</v>
      </c>
      <c r="E110" s="17">
        <f t="shared" si="3"/>
        <v>0.21860160471753026</v>
      </c>
      <c r="F110" s="17">
        <f t="shared" si="3"/>
        <v>0.21472150728068742</v>
      </c>
    </row>
    <row r="111" spans="1:6" x14ac:dyDescent="0.2">
      <c r="A111" t="str">
        <f>$A$27</f>
        <v>Repair and installation</v>
      </c>
      <c r="B111" s="17">
        <f t="shared" si="3"/>
        <v>0.48147035974099273</v>
      </c>
      <c r="C111" s="17">
        <f t="shared" si="3"/>
        <v>0.44741297023555882</v>
      </c>
      <c r="D111" s="17">
        <f t="shared" si="3"/>
        <v>0.50381867352453658</v>
      </c>
      <c r="E111" s="17">
        <f t="shared" si="3"/>
        <v>0.45398722777171563</v>
      </c>
      <c r="F111" s="17">
        <f t="shared" si="3"/>
        <v>0.46070927002599682</v>
      </c>
    </row>
    <row r="112" spans="1:6" x14ac:dyDescent="0.2">
      <c r="A112" t="str">
        <f>$A$28</f>
        <v>Electricity, gas, etc</v>
      </c>
      <c r="B112" s="17">
        <f t="shared" si="3"/>
        <v>0.74772773337137788</v>
      </c>
      <c r="C112" s="17">
        <f t="shared" si="3"/>
        <v>0.68429822431138421</v>
      </c>
      <c r="D112" s="17">
        <f t="shared" si="3"/>
        <v>0.58459270670806296</v>
      </c>
      <c r="E112" s="17">
        <f t="shared" si="3"/>
        <v>0.56594891108493572</v>
      </c>
      <c r="F112" s="17">
        <f t="shared" si="3"/>
        <v>0.56100026525863844</v>
      </c>
    </row>
    <row r="113" spans="1:6" x14ac:dyDescent="0.2">
      <c r="A113" t="str">
        <f>$A$29</f>
        <v>Water</v>
      </c>
      <c r="B113" s="17">
        <f t="shared" si="3"/>
        <v>9.1097304847337218E-2</v>
      </c>
      <c r="C113" s="17">
        <f t="shared" si="3"/>
        <v>0.1148673143244527</v>
      </c>
      <c r="D113" s="17">
        <f t="shared" si="3"/>
        <v>0.10756006684797395</v>
      </c>
      <c r="E113" s="17">
        <f t="shared" si="3"/>
        <v>0.10962829539872129</v>
      </c>
      <c r="F113" s="17">
        <f t="shared" si="3"/>
        <v>0.11176192717954324</v>
      </c>
    </row>
    <row r="114" spans="1:6" x14ac:dyDescent="0.2">
      <c r="A114" t="str">
        <f>$A$30</f>
        <v>Sewerage</v>
      </c>
      <c r="B114" s="17">
        <f t="shared" si="3"/>
        <v>4.8406434669978592E-2</v>
      </c>
      <c r="C114" s="17">
        <f t="shared" si="3"/>
        <v>5.0844272681709234E-2</v>
      </c>
      <c r="D114" s="17">
        <f t="shared" si="3"/>
        <v>4.7582643648674677E-2</v>
      </c>
      <c r="E114" s="17">
        <f t="shared" si="3"/>
        <v>4.8428033404655846E-2</v>
      </c>
      <c r="F114" s="17">
        <f t="shared" si="3"/>
        <v>4.9109927375076357E-2</v>
      </c>
    </row>
    <row r="115" spans="1:6" x14ac:dyDescent="0.2">
      <c r="A115" t="str">
        <f>$A$31</f>
        <v>Waste management</v>
      </c>
      <c r="B115" s="17">
        <f t="shared" si="3"/>
        <v>0.46370814392741572</v>
      </c>
      <c r="C115" s="17">
        <f t="shared" si="3"/>
        <v>0.46346030405156291</v>
      </c>
      <c r="D115" s="17">
        <f t="shared" si="3"/>
        <v>0.4332349792338922</v>
      </c>
      <c r="E115" s="17">
        <f t="shared" si="3"/>
        <v>0.44285246438888437</v>
      </c>
      <c r="F115" s="17">
        <f t="shared" si="3"/>
        <v>0.45433653006191649</v>
      </c>
    </row>
    <row r="116" spans="1:6" x14ac:dyDescent="0.2">
      <c r="A116" t="str">
        <f>$A$32</f>
        <v>Construction</v>
      </c>
      <c r="B116" s="17">
        <f t="shared" si="3"/>
        <v>1.3987305291326644</v>
      </c>
      <c r="C116" s="17">
        <f t="shared" si="3"/>
        <v>1.5663195564728609</v>
      </c>
      <c r="D116" s="17">
        <f t="shared" si="3"/>
        <v>1.5317535119155716</v>
      </c>
      <c r="E116" s="17">
        <f t="shared" si="3"/>
        <v>1.5422875388576944</v>
      </c>
      <c r="F116" s="17">
        <f t="shared" si="3"/>
        <v>1.5731905202101497</v>
      </c>
    </row>
    <row r="117" spans="1:6" x14ac:dyDescent="0.2">
      <c r="A117" t="str">
        <f>$A$33</f>
        <v>Civil engineering</v>
      </c>
      <c r="B117" s="17">
        <f t="shared" si="3"/>
        <v>1.0538181949052892</v>
      </c>
      <c r="C117" s="17">
        <f t="shared" si="3"/>
        <v>0.754889863745554</v>
      </c>
      <c r="D117" s="17">
        <f t="shared" si="3"/>
        <v>0.71889721399898132</v>
      </c>
      <c r="E117" s="17">
        <f t="shared" si="3"/>
        <v>0.72339119041804434</v>
      </c>
      <c r="F117" s="17">
        <f t="shared" si="3"/>
        <v>0.73445828124522983</v>
      </c>
    </row>
    <row r="118" spans="1:6" x14ac:dyDescent="0.2">
      <c r="A118" t="str">
        <f>$A$34</f>
        <v>Specialised construction</v>
      </c>
      <c r="B118" s="17">
        <f t="shared" si="3"/>
        <v>3.9722733569023521</v>
      </c>
      <c r="C118" s="17">
        <f t="shared" si="3"/>
        <v>4.0665440528745034</v>
      </c>
      <c r="D118" s="17">
        <f t="shared" si="3"/>
        <v>3.9012776605112527</v>
      </c>
      <c r="E118" s="17">
        <f t="shared" si="3"/>
        <v>3.9268462419197672</v>
      </c>
      <c r="F118" s="17">
        <f t="shared" si="3"/>
        <v>3.991207211970877</v>
      </c>
    </row>
    <row r="119" spans="1:6" x14ac:dyDescent="0.2">
      <c r="A119" t="str">
        <f>$A$35</f>
        <v>Motor vehicle trade</v>
      </c>
      <c r="B119" s="17">
        <f t="shared" ref="B119:F128" si="4">B35/B$81*100</f>
        <v>1.923463315521138</v>
      </c>
      <c r="C119" s="17">
        <f t="shared" si="4"/>
        <v>1.9510398339789632</v>
      </c>
      <c r="D119" s="17">
        <f t="shared" si="4"/>
        <v>1.6977104596274848</v>
      </c>
      <c r="E119" s="17">
        <f t="shared" si="4"/>
        <v>1.7488537743644945</v>
      </c>
      <c r="F119" s="17">
        <f t="shared" si="4"/>
        <v>1.8018125665725053</v>
      </c>
    </row>
    <row r="120" spans="1:6" x14ac:dyDescent="0.2">
      <c r="A120" t="str">
        <f>$A$36</f>
        <v>Wholesale trade</v>
      </c>
      <c r="B120" s="17">
        <f t="shared" si="4"/>
        <v>4.1695042978876318</v>
      </c>
      <c r="C120" s="17">
        <f t="shared" si="4"/>
        <v>5.2160070907381684</v>
      </c>
      <c r="D120" s="17">
        <f t="shared" si="4"/>
        <v>4.9630693800323229</v>
      </c>
      <c r="E120" s="17">
        <f t="shared" si="4"/>
        <v>5.0043392828481243</v>
      </c>
      <c r="F120" s="17">
        <f t="shared" si="4"/>
        <v>4.953132480500261</v>
      </c>
    </row>
    <row r="121" spans="1:6" x14ac:dyDescent="0.2">
      <c r="A121" t="str">
        <f>$A$37</f>
        <v>Retail trade</v>
      </c>
      <c r="B121" s="17">
        <f t="shared" si="4"/>
        <v>9.8940817970208386</v>
      </c>
      <c r="C121" s="17">
        <f t="shared" si="4"/>
        <v>8.9280547306115778</v>
      </c>
      <c r="D121" s="17">
        <f t="shared" si="4"/>
        <v>8.5504846028253727</v>
      </c>
      <c r="E121" s="17">
        <f t="shared" si="4"/>
        <v>8.5043392830119835</v>
      </c>
      <c r="F121" s="17">
        <f t="shared" si="4"/>
        <v>8.4301392363653118</v>
      </c>
    </row>
    <row r="122" spans="1:6" x14ac:dyDescent="0.2">
      <c r="A122" t="str">
        <f>$A$38</f>
        <v>Land transport, etc</v>
      </c>
      <c r="B122" s="17">
        <f t="shared" si="4"/>
        <v>2.2769050305984289</v>
      </c>
      <c r="C122" s="17">
        <f t="shared" si="4"/>
        <v>2.5076661356042953</v>
      </c>
      <c r="D122" s="17">
        <f t="shared" si="4"/>
        <v>2.9529938384271737</v>
      </c>
      <c r="E122" s="17">
        <f t="shared" si="4"/>
        <v>2.8730555101454178</v>
      </c>
      <c r="F122" s="17">
        <f t="shared" si="4"/>
        <v>2.7214786031857292</v>
      </c>
    </row>
    <row r="123" spans="1:6" x14ac:dyDescent="0.2">
      <c r="A123" t="str">
        <f>$A$39</f>
        <v>Water transport</v>
      </c>
      <c r="B123" s="17">
        <f t="shared" si="4"/>
        <v>8.7931761436015889E-4</v>
      </c>
      <c r="C123" s="17">
        <f t="shared" si="4"/>
        <v>5.8202765130084696E-4</v>
      </c>
      <c r="D123" s="17">
        <f t="shared" si="4"/>
        <v>7.4867795950854022E-4</v>
      </c>
      <c r="E123" s="17">
        <f t="shared" si="4"/>
        <v>5.3217619125708133E-4</v>
      </c>
      <c r="F123" s="17">
        <f t="shared" si="4"/>
        <v>5.1778512235889742E-4</v>
      </c>
    </row>
    <row r="124" spans="1:6" x14ac:dyDescent="0.2">
      <c r="A124" t="str">
        <f>$A$40</f>
        <v>Air transport</v>
      </c>
      <c r="B124" s="17">
        <f t="shared" si="4"/>
        <v>6.5948821076977776E-2</v>
      </c>
      <c r="C124" s="17">
        <f t="shared" si="4"/>
        <v>4.7019519544247143E-2</v>
      </c>
      <c r="D124" s="17">
        <f t="shared" si="4"/>
        <v>4.4213592830844438E-2</v>
      </c>
      <c r="E124" s="17">
        <f t="shared" si="4"/>
        <v>5.7270345505598189E-2</v>
      </c>
      <c r="F124" s="17">
        <f t="shared" si="4"/>
        <v>5.8031763328990252E-2</v>
      </c>
    </row>
    <row r="125" spans="1:6" x14ac:dyDescent="0.2">
      <c r="A125" t="str">
        <f>$A$41</f>
        <v>Warehousing, etc</v>
      </c>
      <c r="B125" s="17">
        <f t="shared" si="4"/>
        <v>1.799303668368506</v>
      </c>
      <c r="C125" s="17">
        <f t="shared" si="4"/>
        <v>2.0782544491876513</v>
      </c>
      <c r="D125" s="17">
        <f t="shared" si="4"/>
        <v>2.3862446230553602</v>
      </c>
      <c r="E125" s="17">
        <f t="shared" si="4"/>
        <v>2.4934501392079316</v>
      </c>
      <c r="F125" s="17">
        <f t="shared" si="4"/>
        <v>2.5038893628772407</v>
      </c>
    </row>
    <row r="126" spans="1:6" x14ac:dyDescent="0.2">
      <c r="A126" t="str">
        <f>$A$42</f>
        <v>Postal and courier</v>
      </c>
      <c r="B126" s="17">
        <f t="shared" si="4"/>
        <v>1.0362318426415025</v>
      </c>
      <c r="C126" s="17">
        <f t="shared" si="4"/>
        <v>1.1500034921626672</v>
      </c>
      <c r="D126" s="17">
        <f t="shared" si="4"/>
        <v>1.363009818510732</v>
      </c>
      <c r="E126" s="17">
        <f t="shared" si="4"/>
        <v>1.4391681676937713</v>
      </c>
      <c r="F126" s="17">
        <f t="shared" si="4"/>
        <v>1.4754486209803261</v>
      </c>
    </row>
    <row r="127" spans="1:6" x14ac:dyDescent="0.2">
      <c r="A127" t="str">
        <f>$A$43</f>
        <v>Accommodation</v>
      </c>
      <c r="B127" s="17">
        <f t="shared" si="4"/>
        <v>1.2348257258645141</v>
      </c>
      <c r="C127" s="17">
        <f t="shared" si="4"/>
        <v>1.2219254805077275</v>
      </c>
      <c r="D127" s="17">
        <f t="shared" si="4"/>
        <v>1.1899404302124725</v>
      </c>
      <c r="E127" s="17">
        <f t="shared" si="4"/>
        <v>1.3584411331479302</v>
      </c>
      <c r="F127" s="17">
        <f t="shared" si="4"/>
        <v>1.4511127202190843</v>
      </c>
    </row>
    <row r="128" spans="1:6" x14ac:dyDescent="0.2">
      <c r="A128" t="str">
        <f>$A$44</f>
        <v>Food and beverage services</v>
      </c>
      <c r="B128" s="17">
        <f t="shared" si="4"/>
        <v>4.5927638316277051</v>
      </c>
      <c r="C128" s="17">
        <f t="shared" si="4"/>
        <v>4.8435925407503904</v>
      </c>
      <c r="D128" s="17">
        <f t="shared" si="4"/>
        <v>4.7845096867279047</v>
      </c>
      <c r="E128" s="17">
        <f t="shared" si="4"/>
        <v>4.4816194531536189</v>
      </c>
      <c r="F128" s="17">
        <f t="shared" si="4"/>
        <v>4.630154053001962</v>
      </c>
    </row>
    <row r="129" spans="1:6" x14ac:dyDescent="0.2">
      <c r="A129" t="str">
        <f>$A$45</f>
        <v>Publishing activities</v>
      </c>
      <c r="B129" s="17">
        <f t="shared" ref="B129:F129" si="5">B45/B$81*100</f>
        <v>0.22215959526946427</v>
      </c>
      <c r="C129" s="17">
        <f t="shared" si="5"/>
        <v>0.30868252220999159</v>
      </c>
      <c r="D129" s="17">
        <f t="shared" si="5"/>
        <v>0.21145993033763283</v>
      </c>
      <c r="E129" s="17">
        <f t="shared" si="5"/>
        <v>0.20402816440261351</v>
      </c>
      <c r="F129" s="17">
        <f t="shared" si="5"/>
        <v>0.20125909409877879</v>
      </c>
    </row>
    <row r="130" spans="1:6" x14ac:dyDescent="0.2">
      <c r="A130" t="str">
        <f>$A$46</f>
        <v>Film and music</v>
      </c>
      <c r="B130" s="17">
        <f t="shared" ref="B130:B154" si="6">B46/B$81*100</f>
        <v>0.11576216393119176</v>
      </c>
      <c r="C130" s="17">
        <f t="shared" ref="C130:F130" si="7">C46/C$81*100</f>
        <v>0.11939881532473844</v>
      </c>
      <c r="D130" s="17">
        <f t="shared" si="7"/>
        <v>0.10714413464938932</v>
      </c>
      <c r="E130" s="17">
        <f t="shared" si="7"/>
        <v>0.1045521532675758</v>
      </c>
      <c r="F130" s="17">
        <f t="shared" si="7"/>
        <v>0.10431378734350634</v>
      </c>
    </row>
    <row r="131" spans="1:6" x14ac:dyDescent="0.2">
      <c r="A131" t="str">
        <f>$A$47</f>
        <v>Broadcasting</v>
      </c>
      <c r="B131" s="17">
        <f t="shared" si="6"/>
        <v>2.4137268514474074E-2</v>
      </c>
      <c r="C131" s="17">
        <f t="shared" ref="C131:F131" si="8">C47/C$81*100</f>
        <v>5.5251053470690654E-2</v>
      </c>
      <c r="D131" s="17">
        <f t="shared" si="8"/>
        <v>4.0761355572525616E-2</v>
      </c>
      <c r="E131" s="17">
        <f t="shared" si="8"/>
        <v>3.9135418372725377E-2</v>
      </c>
      <c r="F131" s="17">
        <f t="shared" si="8"/>
        <v>3.8156780555781818E-2</v>
      </c>
    </row>
    <row r="132" spans="1:6" x14ac:dyDescent="0.2">
      <c r="A132" t="str">
        <f>$A$48</f>
        <v>Telecommunications</v>
      </c>
      <c r="B132" s="17">
        <f t="shared" si="6"/>
        <v>0.3578383031650561</v>
      </c>
      <c r="C132" s="17">
        <f t="shared" ref="C132:F132" si="9">C48/C$81*100</f>
        <v>0.36310210760268263</v>
      </c>
      <c r="D132" s="17">
        <f t="shared" si="9"/>
        <v>0.32480145475939315</v>
      </c>
      <c r="E132" s="17">
        <f t="shared" si="9"/>
        <v>0.3432127067285935</v>
      </c>
      <c r="F132" s="17">
        <f t="shared" si="9"/>
        <v>0.35687343817637929</v>
      </c>
    </row>
    <row r="133" spans="1:6" x14ac:dyDescent="0.2">
      <c r="A133" t="str">
        <f>$A$49</f>
        <v>Computing services</v>
      </c>
      <c r="B133" s="17">
        <f t="shared" si="6"/>
        <v>1.3847933449769207</v>
      </c>
      <c r="C133" s="17">
        <f t="shared" ref="C133:F133" si="10">C49/C$81*100</f>
        <v>1.5166809124730631</v>
      </c>
      <c r="D133" s="17">
        <f t="shared" si="10"/>
        <v>1.3759869030974072</v>
      </c>
      <c r="E133" s="17">
        <f t="shared" si="10"/>
        <v>1.4573440314293453</v>
      </c>
      <c r="F133" s="17">
        <f t="shared" si="10"/>
        <v>1.5212526894755607</v>
      </c>
    </row>
    <row r="134" spans="1:6" x14ac:dyDescent="0.2">
      <c r="A134" t="str">
        <f>$A$50</f>
        <v>Information services</v>
      </c>
      <c r="B134" s="17">
        <f t="shared" si="6"/>
        <v>0.23565712064938468</v>
      </c>
      <c r="C134" s="17">
        <f t="shared" ref="C134:F134" si="11">C50/C$81*100</f>
        <v>0.26611135685418186</v>
      </c>
      <c r="D134" s="17">
        <f t="shared" si="11"/>
        <v>0.2423636927756839</v>
      </c>
      <c r="E134" s="17">
        <f t="shared" si="11"/>
        <v>0.25638611429328129</v>
      </c>
      <c r="F134" s="17">
        <f t="shared" si="11"/>
        <v>0.26638053063898604</v>
      </c>
    </row>
    <row r="135" spans="1:6" x14ac:dyDescent="0.2">
      <c r="A135" t="str">
        <f>$A$51</f>
        <v>Financial services</v>
      </c>
      <c r="B135" s="17">
        <f t="shared" si="6"/>
        <v>1.0184696268319999</v>
      </c>
      <c r="C135" s="17">
        <f t="shared" ref="C135:F135" si="12">C51/C$81*100</f>
        <v>0.78253617717148893</v>
      </c>
      <c r="D135" s="17">
        <f t="shared" si="12"/>
        <v>0.85748582294008446</v>
      </c>
      <c r="E135" s="17">
        <f t="shared" si="12"/>
        <v>0.82556901916557102</v>
      </c>
      <c r="F135" s="17">
        <f t="shared" si="12"/>
        <v>0.75242144203793826</v>
      </c>
    </row>
    <row r="136" spans="1:6" x14ac:dyDescent="0.2">
      <c r="A136" t="str">
        <f>$A$52</f>
        <v>Insurance and pensions</v>
      </c>
      <c r="B136" s="17">
        <f t="shared" si="6"/>
        <v>9.1053338966426978E-2</v>
      </c>
      <c r="C136" s="17">
        <f t="shared" ref="C136:F136" si="13">C52/C$81*100</f>
        <v>0.16068120516232431</v>
      </c>
      <c r="D136" s="17">
        <f t="shared" si="13"/>
        <v>0.1767295916604753</v>
      </c>
      <c r="E136" s="17">
        <f t="shared" si="13"/>
        <v>0.17009169805357444</v>
      </c>
      <c r="F136" s="17">
        <f t="shared" si="13"/>
        <v>0.15437962571321545</v>
      </c>
    </row>
    <row r="137" spans="1:6" x14ac:dyDescent="0.2">
      <c r="A137" t="str">
        <f>$A$53</f>
        <v>Auxiliary financial services</v>
      </c>
      <c r="B137" s="17">
        <f t="shared" si="6"/>
        <v>0.72701980355450713</v>
      </c>
      <c r="C137" s="17">
        <f t="shared" ref="C137:F137" si="14">C53/C$81*100</f>
        <v>0.71157037711712612</v>
      </c>
      <c r="D137" s="17">
        <f t="shared" si="14"/>
        <v>0.82782985710035362</v>
      </c>
      <c r="E137" s="17">
        <f t="shared" si="14"/>
        <v>0.81115932537022728</v>
      </c>
      <c r="F137" s="17">
        <f t="shared" si="14"/>
        <v>0.74600887244673686</v>
      </c>
    </row>
    <row r="138" spans="1:6" x14ac:dyDescent="0.2">
      <c r="A138" t="str">
        <f>$A$54</f>
        <v>Real estate</v>
      </c>
      <c r="B138" s="17">
        <f t="shared" si="6"/>
        <v>1.194377115584035</v>
      </c>
      <c r="C138" s="17">
        <f t="shared" ref="C138:F138" si="15">C54/C$81*100</f>
        <v>1.5380496419676646</v>
      </c>
      <c r="D138" s="17">
        <f t="shared" si="15"/>
        <v>1.6129434773008762</v>
      </c>
      <c r="E138" s="17">
        <f t="shared" si="15"/>
        <v>1.5094972981910137</v>
      </c>
      <c r="F138" s="17">
        <f t="shared" si="15"/>
        <v>1.6052931978151048</v>
      </c>
    </row>
    <row r="139" spans="1:6" x14ac:dyDescent="0.2">
      <c r="A139" t="str">
        <f>$A$55</f>
        <v>Legal and accounting</v>
      </c>
      <c r="B139" s="17">
        <f t="shared" si="6"/>
        <v>1.3458395746504892</v>
      </c>
      <c r="C139" s="17">
        <f t="shared" ref="C139:F139" si="16">C55/C$81*100</f>
        <v>1.6086412813903976</v>
      </c>
      <c r="D139" s="17">
        <f t="shared" si="16"/>
        <v>1.7461665608438499</v>
      </c>
      <c r="E139" s="17">
        <f t="shared" si="16"/>
        <v>1.8021123301369641</v>
      </c>
      <c r="F139" s="17">
        <f t="shared" si="16"/>
        <v>1.8418413394948814</v>
      </c>
    </row>
    <row r="140" spans="1:6" x14ac:dyDescent="0.2">
      <c r="A140" t="str">
        <f>$A$56</f>
        <v>Head offices, etc</v>
      </c>
      <c r="B140" s="17">
        <f t="shared" si="6"/>
        <v>2.152305724659735</v>
      </c>
      <c r="C140" s="17">
        <f t="shared" ref="C140:F140" si="17">C56/C$81*100</f>
        <v>2.4840940157512281</v>
      </c>
      <c r="D140" s="17">
        <f t="shared" si="17"/>
        <v>2.7317595012905973</v>
      </c>
      <c r="E140" s="17">
        <f t="shared" si="17"/>
        <v>2.7106598984952477</v>
      </c>
      <c r="F140" s="17">
        <f t="shared" si="17"/>
        <v>2.6700187278917205</v>
      </c>
    </row>
    <row r="141" spans="1:6" x14ac:dyDescent="0.2">
      <c r="A141" t="str">
        <f>$A$57</f>
        <v>Architectural and related</v>
      </c>
      <c r="B141" s="17">
        <f t="shared" si="6"/>
        <v>1.5121185355398101</v>
      </c>
      <c r="C141" s="17">
        <f t="shared" ref="C141:F141" si="18">C57/C$81*100</f>
        <v>1.7050084310720601</v>
      </c>
      <c r="D141" s="17">
        <f t="shared" si="18"/>
        <v>1.8251936787865</v>
      </c>
      <c r="E141" s="17">
        <f t="shared" si="18"/>
        <v>1.7777550352083868</v>
      </c>
      <c r="F141" s="17">
        <f t="shared" si="18"/>
        <v>1.8065522919063099</v>
      </c>
    </row>
    <row r="142" spans="1:6" x14ac:dyDescent="0.2">
      <c r="A142" t="str">
        <f>$A$58</f>
        <v>Scientific research and development</v>
      </c>
      <c r="B142" s="17">
        <f t="shared" si="6"/>
        <v>0.24783566961159273</v>
      </c>
      <c r="C142" s="17">
        <f t="shared" ref="C142:F142" si="19">C58/C$81*100</f>
        <v>0.34568285146948563</v>
      </c>
      <c r="D142" s="17">
        <f t="shared" si="19"/>
        <v>0.36032206461360361</v>
      </c>
      <c r="E142" s="17">
        <f t="shared" si="19"/>
        <v>0.38607335844069862</v>
      </c>
      <c r="F142" s="17">
        <f t="shared" si="19"/>
        <v>0.41661787537630873</v>
      </c>
    </row>
    <row r="143" spans="1:6" x14ac:dyDescent="0.2">
      <c r="A143" t="str">
        <f>$A$59</f>
        <v>Advertising, etc</v>
      </c>
      <c r="B143" s="17">
        <f t="shared" si="6"/>
        <v>0.30376026988098681</v>
      </c>
      <c r="C143" s="17">
        <f t="shared" ref="C143:F143" si="20">C59/C$81*100</f>
        <v>0.17743528684009136</v>
      </c>
      <c r="D143" s="17">
        <f t="shared" si="20"/>
        <v>0.19835806604422851</v>
      </c>
      <c r="E143" s="17">
        <f t="shared" si="20"/>
        <v>0.21225642705365752</v>
      </c>
      <c r="F143" s="17">
        <f t="shared" si="20"/>
        <v>0.22862204633617597</v>
      </c>
    </row>
    <row r="144" spans="1:6" x14ac:dyDescent="0.2">
      <c r="A144" t="str">
        <f>$A$60</f>
        <v>Other professional</v>
      </c>
      <c r="B144" s="17">
        <f t="shared" si="6"/>
        <v>1.0785709857768553</v>
      </c>
      <c r="C144" s="17">
        <f t="shared" ref="C144:F144" si="21">C60/C$81*100</f>
        <v>1.153412511267532</v>
      </c>
      <c r="D144" s="17">
        <f t="shared" si="21"/>
        <v>1.2751233446735233</v>
      </c>
      <c r="E144" s="17">
        <f t="shared" si="21"/>
        <v>1.3655231701479469</v>
      </c>
      <c r="F144" s="17">
        <f t="shared" si="21"/>
        <v>1.4713859992573386</v>
      </c>
    </row>
    <row r="145" spans="1:6" x14ac:dyDescent="0.2">
      <c r="A145" t="str">
        <f>$A$61</f>
        <v>Veterinary</v>
      </c>
      <c r="B145" s="17">
        <f t="shared" si="6"/>
        <v>0.20501290178577602</v>
      </c>
      <c r="C145" s="17">
        <f t="shared" ref="C145:F145" si="22">C61/C$81*100</f>
        <v>0.35316606412355278</v>
      </c>
      <c r="D145" s="17">
        <f t="shared" si="22"/>
        <v>0.40486840321711026</v>
      </c>
      <c r="E145" s="17">
        <f t="shared" si="22"/>
        <v>0.43601604715930736</v>
      </c>
      <c r="F145" s="17">
        <f t="shared" si="22"/>
        <v>0.47703941619559354</v>
      </c>
    </row>
    <row r="146" spans="1:6" x14ac:dyDescent="0.2">
      <c r="A146" t="str">
        <f>$A$62</f>
        <v>Rental and leasing</v>
      </c>
      <c r="B146" s="17">
        <f t="shared" si="6"/>
        <v>0.48424021022767244</v>
      </c>
      <c r="C146" s="17">
        <f t="shared" ref="C146:F146" si="23">C62/C$81*100</f>
        <v>0.69751856668181511</v>
      </c>
      <c r="D146" s="17">
        <f t="shared" si="23"/>
        <v>0.68774389224367094</v>
      </c>
      <c r="E146" s="17">
        <f t="shared" si="23"/>
        <v>0.71921565417020461</v>
      </c>
      <c r="F146" s="17">
        <f t="shared" si="23"/>
        <v>0.7440572208322116</v>
      </c>
    </row>
    <row r="147" spans="1:6" x14ac:dyDescent="0.2">
      <c r="A147" t="str">
        <f>$A$63</f>
        <v>Employment activities</v>
      </c>
      <c r="B147" s="17">
        <f t="shared" si="6"/>
        <v>4.9903912567775173</v>
      </c>
      <c r="C147" s="17">
        <f t="shared" ref="C147:F147" si="24">C63/C$81*100</f>
        <v>3.7013632750546837</v>
      </c>
      <c r="D147" s="17">
        <f t="shared" si="24"/>
        <v>3.7385649840138884</v>
      </c>
      <c r="E147" s="17">
        <f t="shared" si="24"/>
        <v>3.916448337992521</v>
      </c>
      <c r="F147" s="17">
        <f t="shared" si="24"/>
        <v>4.0573642188213066</v>
      </c>
    </row>
    <row r="148" spans="1:6" x14ac:dyDescent="0.2">
      <c r="A148" t="str">
        <f>$A$64</f>
        <v>Travel, etc</v>
      </c>
      <c r="B148" s="17">
        <f t="shared" si="6"/>
        <v>0.27395140275337326</v>
      </c>
      <c r="C148" s="17">
        <f t="shared" ref="C148:F148" si="25">C64/C$81*100</f>
        <v>0.14899907873360685</v>
      </c>
      <c r="D148" s="17">
        <f t="shared" si="25"/>
        <v>0.15177365967968126</v>
      </c>
      <c r="E148" s="17">
        <f t="shared" si="25"/>
        <v>0.15850663173517859</v>
      </c>
      <c r="F148" s="17">
        <f t="shared" si="25"/>
        <v>0.16369975791557062</v>
      </c>
    </row>
    <row r="149" spans="1:6" x14ac:dyDescent="0.2">
      <c r="A149" t="str">
        <f>$A$65</f>
        <v>Security, etc</v>
      </c>
      <c r="B149" s="17">
        <f t="shared" si="6"/>
        <v>0.46274089455817485</v>
      </c>
      <c r="C149" s="17">
        <f t="shared" ref="C149:F149" si="26">C65/C$81*100</f>
        <v>0.56851629511090629</v>
      </c>
      <c r="D149" s="17">
        <f t="shared" si="26"/>
        <v>0.56741470686638806</v>
      </c>
      <c r="E149" s="17">
        <f t="shared" si="26"/>
        <v>0.59456361552652037</v>
      </c>
      <c r="F149" s="17">
        <f t="shared" si="26"/>
        <v>0.61624395485930838</v>
      </c>
    </row>
    <row r="150" spans="1:6" x14ac:dyDescent="0.2">
      <c r="A150" t="str">
        <f>$A$66</f>
        <v>Services to buildings</v>
      </c>
      <c r="B150" s="17">
        <f t="shared" si="6"/>
        <v>1.9882250578403562</v>
      </c>
      <c r="C150" s="17">
        <f t="shared" ref="C150:F150" si="27">C66/C$81*100</f>
        <v>1.7233423020985326</v>
      </c>
      <c r="D150" s="17">
        <f t="shared" si="27"/>
        <v>1.7761552724909182</v>
      </c>
      <c r="E150" s="17">
        <f t="shared" si="27"/>
        <v>1.8522597019850267</v>
      </c>
      <c r="F150" s="17">
        <f t="shared" si="27"/>
        <v>1.9032586209207842</v>
      </c>
    </row>
    <row r="151" spans="1:6" x14ac:dyDescent="0.2">
      <c r="A151" t="str">
        <f>$A$67</f>
        <v>Office administrative</v>
      </c>
      <c r="B151" s="17">
        <f t="shared" si="6"/>
        <v>1.6583490548004995</v>
      </c>
      <c r="C151" s="17">
        <f t="shared" ref="C151:F151" si="28">C67/C$81*100</f>
        <v>1.2324435516335555</v>
      </c>
      <c r="D151" s="17">
        <f t="shared" si="28"/>
        <v>1.2115689045802231</v>
      </c>
      <c r="E151" s="17">
        <f t="shared" si="28"/>
        <v>1.268667103329173</v>
      </c>
      <c r="F151" s="17">
        <f t="shared" si="28"/>
        <v>1.315413188546418</v>
      </c>
    </row>
    <row r="152" spans="1:6" x14ac:dyDescent="0.2">
      <c r="A152" t="str">
        <f>$A$68</f>
        <v>Public administration and defence</v>
      </c>
      <c r="B152" s="17">
        <f t="shared" si="6"/>
        <v>3.3267223303746833</v>
      </c>
      <c r="C152" s="17">
        <f t="shared" ref="C152:F152" si="29">C68/C$81*100</f>
        <v>3.2393580401287378</v>
      </c>
      <c r="D152" s="17">
        <f t="shared" si="29"/>
        <v>3.3367744790243994</v>
      </c>
      <c r="E152" s="17">
        <f t="shared" si="29"/>
        <v>3.537088586872799</v>
      </c>
      <c r="F152" s="17">
        <f t="shared" si="29"/>
        <v>3.6943171887968398</v>
      </c>
    </row>
    <row r="153" spans="1:6" x14ac:dyDescent="0.2">
      <c r="A153" t="str">
        <f>$A$69</f>
        <v xml:space="preserve">Education </v>
      </c>
      <c r="B153" s="17">
        <f t="shared" si="6"/>
        <v>8.9855268717118815</v>
      </c>
      <c r="C153" s="17">
        <f t="shared" ref="C153:F153" si="30">C69/C$81*100</f>
        <v>8.7705746775390079</v>
      </c>
      <c r="D153" s="17">
        <f t="shared" si="30"/>
        <v>8.7260079907820192</v>
      </c>
      <c r="E153" s="17">
        <f t="shared" si="30"/>
        <v>8.386646470861578</v>
      </c>
      <c r="F153" s="17">
        <f t="shared" si="30"/>
        <v>8.2178473362935556</v>
      </c>
    </row>
    <row r="154" spans="1:6" x14ac:dyDescent="0.2">
      <c r="A154" t="str">
        <f>$A$70</f>
        <v>Health</v>
      </c>
      <c r="B154" s="17">
        <f t="shared" si="6"/>
        <v>7.0671196323957419</v>
      </c>
      <c r="C154" s="17">
        <f t="shared" ref="C154:F154" si="31">C70/C$81*100</f>
        <v>6.9152783920896921</v>
      </c>
      <c r="D154" s="17">
        <f t="shared" si="31"/>
        <v>7.0107867856176993</v>
      </c>
      <c r="E154" s="17">
        <f t="shared" si="31"/>
        <v>7.2274439167245559</v>
      </c>
      <c r="F154" s="17">
        <f t="shared" si="31"/>
        <v>7.3092141057376576</v>
      </c>
    </row>
    <row r="155" spans="1:6" x14ac:dyDescent="0.2">
      <c r="A155" t="str">
        <f>$A$71</f>
        <v>Residential care</v>
      </c>
      <c r="B155" s="17">
        <f t="shared" ref="B155:F155" si="32">B71/B$81*100</f>
        <v>2.2778722799603854</v>
      </c>
      <c r="C155" s="17">
        <f t="shared" si="32"/>
        <v>2.1925397358396044</v>
      </c>
      <c r="D155" s="17">
        <f t="shared" si="32"/>
        <v>2.0194756093095751</v>
      </c>
      <c r="E155" s="17">
        <f t="shared" si="32"/>
        <v>2.2012035368985252</v>
      </c>
      <c r="F155" s="17">
        <f t="shared" si="32"/>
        <v>2.3484343372771987</v>
      </c>
    </row>
    <row r="156" spans="1:6" x14ac:dyDescent="0.2">
      <c r="A156" t="str">
        <f>$A$72</f>
        <v>Social work</v>
      </c>
      <c r="B156" s="17">
        <f t="shared" ref="B156:F156" si="33">B72/B$81*100</f>
        <v>2.6854359942075861</v>
      </c>
      <c r="C156" s="17">
        <f t="shared" si="33"/>
        <v>2.8067867749738555</v>
      </c>
      <c r="D156" s="17">
        <f t="shared" si="33"/>
        <v>2.5278279438065185</v>
      </c>
      <c r="E156" s="17">
        <f t="shared" si="33"/>
        <v>2.7316603896762519</v>
      </c>
      <c r="F156" s="17">
        <f t="shared" si="33"/>
        <v>2.8645864450213501</v>
      </c>
    </row>
    <row r="157" spans="1:6" x14ac:dyDescent="0.2">
      <c r="A157" t="str">
        <f>$A$73</f>
        <v>Arts and entertainment</v>
      </c>
      <c r="B157" s="17">
        <f t="shared" ref="B157:F157" si="34">B73/B$81*100</f>
        <v>0.3813160834755176</v>
      </c>
      <c r="C157" s="17">
        <f t="shared" si="34"/>
        <v>0.20346023753479134</v>
      </c>
      <c r="D157" s="17">
        <f t="shared" si="34"/>
        <v>0.18221989669853053</v>
      </c>
      <c r="E157" s="17">
        <f t="shared" si="34"/>
        <v>0.13963484526331582</v>
      </c>
      <c r="F157" s="17">
        <f t="shared" si="34"/>
        <v>0.13645629455707484</v>
      </c>
    </row>
    <row r="158" spans="1:6" x14ac:dyDescent="0.2">
      <c r="A158" t="str">
        <f>$A$74</f>
        <v>Libraries, etc</v>
      </c>
      <c r="B158" s="17">
        <f t="shared" ref="B158:F158" si="35">B74/B$81*100</f>
        <v>0.50033172257563208</v>
      </c>
      <c r="C158" s="17">
        <f t="shared" si="35"/>
        <v>0.48711557074006506</v>
      </c>
      <c r="D158" s="17">
        <f t="shared" si="35"/>
        <v>0.50003369050294255</v>
      </c>
      <c r="E158" s="17">
        <f t="shared" si="35"/>
        <v>0.38877517603452444</v>
      </c>
      <c r="F158" s="17">
        <f t="shared" si="35"/>
        <v>0.38893628614747361</v>
      </c>
    </row>
    <row r="159" spans="1:6" x14ac:dyDescent="0.2">
      <c r="A159" t="str">
        <f>$A$75</f>
        <v>Gambling and betting</v>
      </c>
      <c r="B159" s="17">
        <f t="shared" ref="B159:F159" si="36">B75/B$81*100</f>
        <v>0.25698057279654096</v>
      </c>
      <c r="C159" s="17">
        <f t="shared" si="36"/>
        <v>0.27309568867237577</v>
      </c>
      <c r="D159" s="17">
        <f t="shared" si="36"/>
        <v>0.23242291320526437</v>
      </c>
      <c r="E159" s="17">
        <f t="shared" si="36"/>
        <v>0.22629769117595322</v>
      </c>
      <c r="F159" s="17">
        <f t="shared" si="36"/>
        <v>0.22320521736344778</v>
      </c>
    </row>
    <row r="160" spans="1:6" x14ac:dyDescent="0.2">
      <c r="A160" t="str">
        <f>$A$76</f>
        <v>Sport and recreation</v>
      </c>
      <c r="B160" s="17">
        <f t="shared" ref="B160:F160" si="37">B76/B$81*100</f>
        <v>1.4483240426152275</v>
      </c>
      <c r="C160" s="17">
        <f t="shared" si="37"/>
        <v>1.6931600110453355</v>
      </c>
      <c r="D160" s="17">
        <f t="shared" si="37"/>
        <v>1.4481927329998718</v>
      </c>
      <c r="E160" s="17">
        <f t="shared" si="37"/>
        <v>1.4098984771735179</v>
      </c>
      <c r="F160" s="17">
        <f t="shared" si="37"/>
        <v>1.3897352684250668</v>
      </c>
    </row>
    <row r="161" spans="1:6" x14ac:dyDescent="0.2">
      <c r="A161" t="str">
        <f>$A$77</f>
        <v>Membership organisations</v>
      </c>
      <c r="B161" s="17">
        <f t="shared" ref="B161:F161" si="38">B77/B$81*100</f>
        <v>1.1219213441585667</v>
      </c>
      <c r="C161" s="17">
        <f t="shared" si="38"/>
        <v>0.89054387990203154</v>
      </c>
      <c r="D161" s="17">
        <f t="shared" si="38"/>
        <v>0.84251226374437227</v>
      </c>
      <c r="E161" s="17">
        <f t="shared" si="38"/>
        <v>0.77730473228093344</v>
      </c>
      <c r="F161" s="17">
        <f t="shared" si="38"/>
        <v>0.73856073261346178</v>
      </c>
    </row>
    <row r="162" spans="1:6" x14ac:dyDescent="0.2">
      <c r="A162" t="str">
        <f>$A$78</f>
        <v>Repair of goods</v>
      </c>
      <c r="B162" s="17">
        <f t="shared" ref="B162:F162" si="39">B78/B$81*100</f>
        <v>0.16975226545373862</v>
      </c>
      <c r="C162" s="17">
        <f t="shared" si="39"/>
        <v>0.23085711054969046</v>
      </c>
      <c r="D162" s="17">
        <f t="shared" si="39"/>
        <v>0.28162769243011687</v>
      </c>
      <c r="E162" s="17">
        <f t="shared" si="39"/>
        <v>0.26928115277641601</v>
      </c>
      <c r="F162" s="17">
        <f t="shared" si="39"/>
        <v>0.26562376777630409</v>
      </c>
    </row>
    <row r="163" spans="1:6" x14ac:dyDescent="0.2">
      <c r="A163" t="str">
        <f>$A$79</f>
        <v>Other personal service</v>
      </c>
      <c r="B163" s="17">
        <f>B79/B$81*100</f>
        <v>1.1376611294744625</v>
      </c>
      <c r="C163" s="17">
        <f t="shared" ref="C163:F163" si="40">C79/C$81*100</f>
        <v>1.7041769630198453</v>
      </c>
      <c r="D163" s="17">
        <f t="shared" si="40"/>
        <v>1.7408010355045807</v>
      </c>
      <c r="E163" s="17">
        <f t="shared" si="40"/>
        <v>1.6168740789302094</v>
      </c>
      <c r="F163" s="17">
        <f t="shared" si="40"/>
        <v>1.5506867822149146</v>
      </c>
    </row>
    <row r="164" spans="1:6" x14ac:dyDescent="0.2">
      <c r="B164" s="17"/>
      <c r="C164" s="17"/>
      <c r="D164" s="17"/>
      <c r="E164" s="17"/>
      <c r="F164" s="17"/>
    </row>
    <row r="165" spans="1:6" x14ac:dyDescent="0.2">
      <c r="A165" s="23" t="str">
        <f>$A$81</f>
        <v>All industries</v>
      </c>
      <c r="B165" s="25">
        <f>B81/B$81*100</f>
        <v>100</v>
      </c>
      <c r="C165" s="25">
        <f>C81/C$81*100</f>
        <v>100</v>
      </c>
      <c r="D165" s="25">
        <f>D81/D$81*100</f>
        <v>100</v>
      </c>
      <c r="E165" s="25">
        <f>E81/E$81*100</f>
        <v>100</v>
      </c>
      <c r="F165" s="25">
        <f>F81/F$81*100</f>
        <v>100</v>
      </c>
    </row>
    <row r="166" spans="1:6" x14ac:dyDescent="0.2">
      <c r="B166" s="17"/>
      <c r="C166" s="17"/>
      <c r="D166" s="17"/>
      <c r="E166" s="17"/>
      <c r="F166" s="17"/>
    </row>
    <row r="167" spans="1:6" x14ac:dyDescent="0.2">
      <c r="B167" s="17"/>
      <c r="C167" s="17"/>
      <c r="D167" s="17"/>
      <c r="E167" s="17"/>
      <c r="F167" s="17"/>
    </row>
    <row r="168" spans="1:6" x14ac:dyDescent="0.2">
      <c r="B168" s="17"/>
      <c r="C168" s="17"/>
      <c r="D168" s="17"/>
      <c r="E168" s="17"/>
      <c r="F168" s="17"/>
    </row>
    <row r="169" spans="1:6" ht="15.75" x14ac:dyDescent="0.25">
      <c r="A169" s="18" t="str">
        <f>CONCATENATE($A$1," (Continued)")</f>
        <v>Industry Table 3  Employment by Industry (SIC 2007), 2015-2035, East Midlands (Continued)</v>
      </c>
      <c r="B169" s="17"/>
      <c r="C169" s="17"/>
      <c r="D169" s="17"/>
      <c r="E169" s="17"/>
      <c r="F169" s="17"/>
    </row>
    <row r="171" spans="1:6" x14ac:dyDescent="0.2">
      <c r="A171" s="21"/>
      <c r="B171" s="24" t="str">
        <f>CONCATENATE(B$3,"-",C$3)</f>
        <v>2015-2019</v>
      </c>
      <c r="C171" s="24" t="str">
        <f>CONCATENATE(C$3,"-",D$3)</f>
        <v>2019-2020</v>
      </c>
      <c r="D171" s="24" t="str">
        <f>CONCATENATE(D$3,"-",E$3)</f>
        <v>2020-2025</v>
      </c>
      <c r="E171" s="24" t="str">
        <f>CONCATENATE(E$3,"-",F$3)</f>
        <v>2025-2035</v>
      </c>
      <c r="F171" s="24" t="str">
        <f>CONCATENATE(D$3,"-",F$3)</f>
        <v>2020-2035</v>
      </c>
    </row>
    <row r="172" spans="1:6" x14ac:dyDescent="0.2">
      <c r="A172" s="27" t="s">
        <v>14</v>
      </c>
    </row>
    <row r="173" spans="1:6" x14ac:dyDescent="0.2">
      <c r="A173" t="str">
        <f>$A$5</f>
        <v>Agriculture, etc</v>
      </c>
      <c r="B173" s="17">
        <f t="shared" ref="B173:E192" si="41">IF(AND(C$3-B$3 &lt;&gt; 0,B5&lt;&gt;0,C5&lt;&gt;0),(EXP(LN(C5/B5)/(C$3-B$3))-1)*100,0)</f>
        <v>0.63978673488294113</v>
      </c>
      <c r="C173" s="17">
        <f t="shared" si="41"/>
        <v>43.184296617793464</v>
      </c>
      <c r="D173" s="17">
        <f t="shared" si="41"/>
        <v>-0.21961964094266984</v>
      </c>
      <c r="E173" s="17">
        <f t="shared" si="41"/>
        <v>-0.33231402995451687</v>
      </c>
      <c r="F173" s="17">
        <f>IF(AND(F$3-D$3 &lt;&gt; 0,D5&lt;&gt;0,F5&lt;&gt;0),(EXP(LN(F5/D5)/(F$3-D$3))-1)*100,0)</f>
        <v>-0.29476338291910542</v>
      </c>
    </row>
    <row r="174" spans="1:6" x14ac:dyDescent="0.2">
      <c r="A174" t="str">
        <f>$A$6</f>
        <v>Coal, oil &amp; gas; Mining &amp; related</v>
      </c>
      <c r="B174" s="17">
        <f t="shared" si="41"/>
        <v>-7.7728074042879847</v>
      </c>
      <c r="C174" s="17">
        <f t="shared" si="41"/>
        <v>0.51980198036178926</v>
      </c>
      <c r="D174" s="17">
        <f t="shared" si="41"/>
        <v>-3.9781412390633042</v>
      </c>
      <c r="E174" s="17">
        <f t="shared" si="41"/>
        <v>-2.7705718033212423</v>
      </c>
      <c r="F174" s="17">
        <f t="shared" ref="F174:F237" si="42">IF(AND(F$3-D$3 &lt;&gt; 0,D6&lt;&gt;0,F6&lt;&gt;0),(EXP(LN(F6/D6)/(F$3-D$3))-1)*100,0)</f>
        <v>-3.1747729608764819</v>
      </c>
    </row>
    <row r="175" spans="1:6" x14ac:dyDescent="0.2">
      <c r="A175" t="str">
        <f>$A$7</f>
        <v>Food products</v>
      </c>
      <c r="B175" s="17">
        <f t="shared" si="41"/>
        <v>0.87926874300676694</v>
      </c>
      <c r="C175" s="17">
        <f t="shared" si="41"/>
        <v>-2.999046544962769</v>
      </c>
      <c r="D175" s="17">
        <f t="shared" si="41"/>
        <v>1.7375086257337413</v>
      </c>
      <c r="E175" s="17">
        <f t="shared" si="41"/>
        <v>0.94504027955630843</v>
      </c>
      <c r="F175" s="17">
        <f t="shared" si="42"/>
        <v>1.2085081421524979</v>
      </c>
    </row>
    <row r="176" spans="1:6" x14ac:dyDescent="0.2">
      <c r="A176" t="str">
        <f>$A$8</f>
        <v>Beverages and tobacco</v>
      </c>
      <c r="B176" s="17">
        <f t="shared" si="41"/>
        <v>-10.335367555271857</v>
      </c>
      <c r="C176" s="17">
        <f t="shared" si="41"/>
        <v>2.8253424657992854</v>
      </c>
      <c r="D176" s="17">
        <f t="shared" si="41"/>
        <v>1.5185374112107963</v>
      </c>
      <c r="E176" s="17">
        <f t="shared" si="41"/>
        <v>0.80423781657581461</v>
      </c>
      <c r="F176" s="17">
        <f t="shared" si="42"/>
        <v>1.0417774925200574</v>
      </c>
    </row>
    <row r="177" spans="1:6" x14ac:dyDescent="0.2">
      <c r="A177" t="str">
        <f>$A$9</f>
        <v>Textiles</v>
      </c>
      <c r="B177" s="17">
        <f t="shared" si="41"/>
        <v>20.420670838391231</v>
      </c>
      <c r="C177" s="17">
        <f t="shared" si="41"/>
        <v>-2.7585053912150492</v>
      </c>
      <c r="D177" s="17">
        <f t="shared" si="41"/>
        <v>-2.3592169758820392</v>
      </c>
      <c r="E177" s="17">
        <f t="shared" si="41"/>
        <v>-1.6473161832813443</v>
      </c>
      <c r="F177" s="17">
        <f t="shared" si="42"/>
        <v>-1.8851913067923554</v>
      </c>
    </row>
    <row r="178" spans="1:6" x14ac:dyDescent="0.2">
      <c r="A178" t="str">
        <f>$A$10</f>
        <v>Wearing apparel; Leather, etc</v>
      </c>
      <c r="B178" s="17">
        <f t="shared" si="41"/>
        <v>9.1390859263299475</v>
      </c>
      <c r="C178" s="17">
        <f t="shared" si="41"/>
        <v>5.848261327847637</v>
      </c>
      <c r="D178" s="17">
        <f t="shared" si="41"/>
        <v>-2.4065005116712168</v>
      </c>
      <c r="E178" s="17">
        <f t="shared" si="41"/>
        <v>-1.5226529229288355</v>
      </c>
      <c r="F178" s="17">
        <f t="shared" si="42"/>
        <v>-1.8181546129857562</v>
      </c>
    </row>
    <row r="179" spans="1:6" x14ac:dyDescent="0.2">
      <c r="A179" t="str">
        <f>$A$11</f>
        <v xml:space="preserve">Wood and cork </v>
      </c>
      <c r="B179" s="17">
        <f t="shared" si="41"/>
        <v>6.6902157518142769</v>
      </c>
      <c r="C179" s="17">
        <f t="shared" si="41"/>
        <v>9.0719215401484412</v>
      </c>
      <c r="D179" s="17">
        <f t="shared" si="41"/>
        <v>-1.3304111830876875</v>
      </c>
      <c r="E179" s="17">
        <f t="shared" si="41"/>
        <v>-0.94936781778589552</v>
      </c>
      <c r="F179" s="17">
        <f t="shared" si="42"/>
        <v>-1.0765454948551856</v>
      </c>
    </row>
    <row r="180" spans="1:6" x14ac:dyDescent="0.2">
      <c r="A180" t="str">
        <f>$A$12</f>
        <v>Paper, etc</v>
      </c>
      <c r="B180" s="17">
        <f t="shared" si="41"/>
        <v>-0.10452715803216384</v>
      </c>
      <c r="C180" s="17">
        <f t="shared" si="41"/>
        <v>-12.166882922038457</v>
      </c>
      <c r="D180" s="17">
        <f t="shared" si="41"/>
        <v>-1.1274087502243013</v>
      </c>
      <c r="E180" s="17">
        <f t="shared" si="41"/>
        <v>-0.88988376696887972</v>
      </c>
      <c r="F180" s="17">
        <f t="shared" si="42"/>
        <v>-0.96912209538044802</v>
      </c>
    </row>
    <row r="181" spans="1:6" x14ac:dyDescent="0.2">
      <c r="A181" t="str">
        <f>$A$13</f>
        <v>Printing and recording</v>
      </c>
      <c r="B181" s="17">
        <f t="shared" si="41"/>
        <v>-10.424583353518013</v>
      </c>
      <c r="C181" s="17">
        <f t="shared" si="41"/>
        <v>-8.4463843337808431</v>
      </c>
      <c r="D181" s="17">
        <f t="shared" si="41"/>
        <v>-1.4921369301035714</v>
      </c>
      <c r="E181" s="17">
        <f t="shared" si="41"/>
        <v>-1.5865992711198262</v>
      </c>
      <c r="F181" s="17">
        <f t="shared" si="42"/>
        <v>-1.5551218931797228</v>
      </c>
    </row>
    <row r="182" spans="1:6" x14ac:dyDescent="0.2">
      <c r="A182" t="str">
        <f>$A$14</f>
        <v>Coke and petroleum; Chemicals, etc</v>
      </c>
      <c r="B182" s="17">
        <f t="shared" si="41"/>
        <v>2.8324347348673173</v>
      </c>
      <c r="C182" s="17">
        <f t="shared" si="41"/>
        <v>-4.8048922539186574</v>
      </c>
      <c r="D182" s="17">
        <f t="shared" si="41"/>
        <v>1.0220270673474641</v>
      </c>
      <c r="E182" s="17">
        <f t="shared" si="41"/>
        <v>0.13581470161263542</v>
      </c>
      <c r="F182" s="17">
        <f t="shared" si="42"/>
        <v>0.43035163070648252</v>
      </c>
    </row>
    <row r="183" spans="1:6" x14ac:dyDescent="0.2">
      <c r="A183" t="str">
        <f>$A$15</f>
        <v>Pharmaceuticals</v>
      </c>
      <c r="B183" s="17">
        <f t="shared" si="41"/>
        <v>2.9732910139370627</v>
      </c>
      <c r="C183" s="17">
        <f t="shared" si="41"/>
        <v>1.3688760804472899</v>
      </c>
      <c r="D183" s="17">
        <f t="shared" si="41"/>
        <v>-0.66989610217104145</v>
      </c>
      <c r="E183" s="17">
        <f t="shared" si="41"/>
        <v>-1.4258356523151439</v>
      </c>
      <c r="F183" s="17">
        <f t="shared" si="42"/>
        <v>-1.1744971945695015</v>
      </c>
    </row>
    <row r="184" spans="1:6" x14ac:dyDescent="0.2">
      <c r="A184" t="str">
        <f>$A$16</f>
        <v>Rubber and plastic</v>
      </c>
      <c r="B184" s="17">
        <f t="shared" si="41"/>
        <v>-3.3582470373927586</v>
      </c>
      <c r="C184" s="17">
        <f t="shared" si="41"/>
        <v>6.0712468197915648</v>
      </c>
      <c r="D184" s="17">
        <f t="shared" si="41"/>
        <v>-1.6482247458099897</v>
      </c>
      <c r="E184" s="17">
        <f t="shared" si="41"/>
        <v>-1.6065340398760619</v>
      </c>
      <c r="F184" s="17">
        <f t="shared" si="42"/>
        <v>-1.620432905087632</v>
      </c>
    </row>
    <row r="185" spans="1:6" x14ac:dyDescent="0.2">
      <c r="A185" t="str">
        <f>$A$17</f>
        <v>Other non-metallic</v>
      </c>
      <c r="B185" s="17">
        <f t="shared" si="41"/>
        <v>4.5995657660491185</v>
      </c>
      <c r="C185" s="17">
        <f t="shared" si="41"/>
        <v>4.9873438712211282E-10</v>
      </c>
      <c r="D185" s="17">
        <f t="shared" si="41"/>
        <v>-1.6498093546093995</v>
      </c>
      <c r="E185" s="17">
        <f t="shared" si="41"/>
        <v>-1.631314776998416</v>
      </c>
      <c r="F185" s="17">
        <f t="shared" si="42"/>
        <v>-1.6374800226000352</v>
      </c>
    </row>
    <row r="186" spans="1:6" x14ac:dyDescent="0.2">
      <c r="A186" t="str">
        <f>$A$18</f>
        <v>Basic metals</v>
      </c>
      <c r="B186" s="17">
        <f t="shared" si="41"/>
        <v>2.6397122857636512</v>
      </c>
      <c r="C186" s="17">
        <f t="shared" si="41"/>
        <v>-14.755089699448099</v>
      </c>
      <c r="D186" s="17">
        <f t="shared" si="41"/>
        <v>-0.49675285565611293</v>
      </c>
      <c r="E186" s="17">
        <f t="shared" si="41"/>
        <v>-1.2593238087849512</v>
      </c>
      <c r="F186" s="17">
        <f t="shared" si="42"/>
        <v>-1.0057850656455036</v>
      </c>
    </row>
    <row r="187" spans="1:6" x14ac:dyDescent="0.2">
      <c r="A187" t="str">
        <f>$A$19</f>
        <v>Metal products</v>
      </c>
      <c r="B187" s="17">
        <f t="shared" si="41"/>
        <v>0.30807299177251224</v>
      </c>
      <c r="C187" s="17">
        <f t="shared" si="41"/>
        <v>-12.460356184219245</v>
      </c>
      <c r="D187" s="17">
        <f t="shared" si="41"/>
        <v>-0.53164539701922031</v>
      </c>
      <c r="E187" s="17">
        <f t="shared" si="41"/>
        <v>-1.2974780902222705</v>
      </c>
      <c r="F187" s="17">
        <f t="shared" si="42"/>
        <v>-1.0428579272138472</v>
      </c>
    </row>
    <row r="188" spans="1:6" x14ac:dyDescent="0.2">
      <c r="A188" t="str">
        <f>$A$20</f>
        <v>Computer, etc</v>
      </c>
      <c r="B188" s="17">
        <f t="shared" si="41"/>
        <v>-13.484561480699275</v>
      </c>
      <c r="C188" s="17">
        <f t="shared" si="41"/>
        <v>4.5249572384741699</v>
      </c>
      <c r="D188" s="17">
        <f t="shared" si="41"/>
        <v>-1.4644653823851606</v>
      </c>
      <c r="E188" s="17">
        <f t="shared" si="41"/>
        <v>-3.2482129496194334</v>
      </c>
      <c r="F188" s="17">
        <f t="shared" si="42"/>
        <v>-2.6572474281760794</v>
      </c>
    </row>
    <row r="189" spans="1:6" x14ac:dyDescent="0.2">
      <c r="A189" t="str">
        <f>$A$21</f>
        <v>Electrical equipment</v>
      </c>
      <c r="B189" s="17">
        <f t="shared" si="41"/>
        <v>-8.6618291958736719</v>
      </c>
      <c r="C189" s="17">
        <f t="shared" si="41"/>
        <v>-11.371100163988846</v>
      </c>
      <c r="D189" s="17">
        <f t="shared" si="41"/>
        <v>-1.6169942421309536</v>
      </c>
      <c r="E189" s="17">
        <f t="shared" si="41"/>
        <v>-1.2628709940039839</v>
      </c>
      <c r="F189" s="17">
        <f t="shared" si="42"/>
        <v>-1.3810534776934835</v>
      </c>
    </row>
    <row r="190" spans="1:6" x14ac:dyDescent="0.2">
      <c r="A190" t="str">
        <f>$A$22</f>
        <v>Machinery n.e.c.</v>
      </c>
      <c r="B190" s="17">
        <f t="shared" si="41"/>
        <v>0.56304844919341512</v>
      </c>
      <c r="C190" s="17">
        <f t="shared" si="41"/>
        <v>-8.2429501083939645</v>
      </c>
      <c r="D190" s="17">
        <f t="shared" si="41"/>
        <v>0.27207173714638433</v>
      </c>
      <c r="E190" s="17">
        <f t="shared" si="41"/>
        <v>-1.4320664664875915</v>
      </c>
      <c r="F190" s="17">
        <f t="shared" si="42"/>
        <v>-0.86726295730233938</v>
      </c>
    </row>
    <row r="191" spans="1:6" x14ac:dyDescent="0.2">
      <c r="A191" t="str">
        <f>$A$23</f>
        <v>Motor vehicles, etc</v>
      </c>
      <c r="B191" s="17">
        <f t="shared" si="41"/>
        <v>1.9077711015170085</v>
      </c>
      <c r="C191" s="17">
        <f t="shared" si="41"/>
        <v>-12.395100929620762</v>
      </c>
      <c r="D191" s="17">
        <f t="shared" si="41"/>
        <v>0.81758916893019951</v>
      </c>
      <c r="E191" s="17">
        <f t="shared" si="41"/>
        <v>0.26041202392779184</v>
      </c>
      <c r="F191" s="17">
        <f t="shared" si="42"/>
        <v>0.44579475272934488</v>
      </c>
    </row>
    <row r="192" spans="1:6" x14ac:dyDescent="0.2">
      <c r="A192" t="str">
        <f>$A$24</f>
        <v>Other transport equipment</v>
      </c>
      <c r="B192" s="17">
        <f t="shared" si="41"/>
        <v>4.9450529981576397</v>
      </c>
      <c r="C192" s="17">
        <f t="shared" si="41"/>
        <v>-0.17141632752071256</v>
      </c>
      <c r="D192" s="17">
        <f t="shared" si="41"/>
        <v>-1.9319914032019492</v>
      </c>
      <c r="E192" s="17">
        <f t="shared" si="41"/>
        <v>0.3071259471805643</v>
      </c>
      <c r="F192" s="17">
        <f t="shared" si="42"/>
        <v>-0.44487008005873463</v>
      </c>
    </row>
    <row r="193" spans="1:6" x14ac:dyDescent="0.2">
      <c r="A193" t="str">
        <f>$A$25</f>
        <v>Furniture</v>
      </c>
      <c r="B193" s="17">
        <f t="shared" ref="B193:E212" si="43">IF(AND(C$3-B$3 &lt;&gt; 0,B25&lt;&gt;0,C25&lt;&gt;0),(EXP(LN(C25/B25)/(C$3-B$3))-1)*100,0)</f>
        <v>-9.5133441277855511</v>
      </c>
      <c r="C193" s="17">
        <f t="shared" si="43"/>
        <v>2.6565242836187331</v>
      </c>
      <c r="D193" s="17">
        <f t="shared" si="43"/>
        <v>-1.887031986604415</v>
      </c>
      <c r="E193" s="17">
        <f t="shared" si="43"/>
        <v>0.15317187782175612</v>
      </c>
      <c r="F193" s="17">
        <f t="shared" si="42"/>
        <v>-0.53156690929948569</v>
      </c>
    </row>
    <row r="194" spans="1:6" x14ac:dyDescent="0.2">
      <c r="A194" t="str">
        <f>$A$26</f>
        <v>Other manufacturing</v>
      </c>
      <c r="B194" s="17">
        <f t="shared" si="43"/>
        <v>0.5337255898769655</v>
      </c>
      <c r="C194" s="17">
        <f t="shared" si="43"/>
        <v>2.1757900191753388</v>
      </c>
      <c r="D194" s="17">
        <f t="shared" si="43"/>
        <v>-2.0311663759715048</v>
      </c>
      <c r="E194" s="17">
        <f t="shared" si="43"/>
        <v>9.5097624031836858E-2</v>
      </c>
      <c r="F194" s="17">
        <f t="shared" si="42"/>
        <v>-0.61873567969854548</v>
      </c>
    </row>
    <row r="195" spans="1:6" x14ac:dyDescent="0.2">
      <c r="A195" t="str">
        <f>$A$27</f>
        <v>Repair and installation</v>
      </c>
      <c r="B195" s="17">
        <f t="shared" si="43"/>
        <v>-0.43428835953899236</v>
      </c>
      <c r="C195" s="17">
        <f t="shared" si="43"/>
        <v>12.553428730749427</v>
      </c>
      <c r="D195" s="17">
        <f t="shared" si="43"/>
        <v>-1.7492292939766618</v>
      </c>
      <c r="E195" s="17">
        <f t="shared" si="43"/>
        <v>0.42201212326880011</v>
      </c>
      <c r="F195" s="17">
        <f t="shared" si="42"/>
        <v>-0.30701467456781817</v>
      </c>
    </row>
    <row r="196" spans="1:6" x14ac:dyDescent="0.2">
      <c r="A196" t="str">
        <f>$A$28</f>
        <v>Electricity, gas, etc</v>
      </c>
      <c r="B196" s="17">
        <f t="shared" si="43"/>
        <v>-0.81396493811152215</v>
      </c>
      <c r="C196" s="17">
        <f t="shared" si="43"/>
        <v>-14.61117861475123</v>
      </c>
      <c r="D196" s="17">
        <f t="shared" si="43"/>
        <v>-0.32944925989808471</v>
      </c>
      <c r="E196" s="17">
        <f t="shared" si="43"/>
        <v>0.18649221991069442</v>
      </c>
      <c r="F196" s="17">
        <f t="shared" si="42"/>
        <v>1.421565676347214E-2</v>
      </c>
    </row>
    <row r="197" spans="1:6" x14ac:dyDescent="0.2">
      <c r="A197" t="str">
        <f>$A$29</f>
        <v>Water</v>
      </c>
      <c r="B197" s="17">
        <f t="shared" si="43"/>
        <v>7.4602343783670921</v>
      </c>
      <c r="C197" s="17">
        <f t="shared" si="43"/>
        <v>-6.4060803476959194</v>
      </c>
      <c r="D197" s="17">
        <f t="shared" si="43"/>
        <v>0.70160916352783875</v>
      </c>
      <c r="E197" s="17">
        <f t="shared" si="43"/>
        <v>0.46798900799513987</v>
      </c>
      <c r="F197" s="17">
        <f t="shared" si="42"/>
        <v>0.54580211086567854</v>
      </c>
    </row>
    <row r="198" spans="1:6" x14ac:dyDescent="0.2">
      <c r="A198" t="str">
        <f>$A$30</f>
        <v>Sewerage</v>
      </c>
      <c r="B198" s="17">
        <f t="shared" si="43"/>
        <v>2.662015091836567</v>
      </c>
      <c r="C198" s="17">
        <f t="shared" si="43"/>
        <v>-6.4595257560311925</v>
      </c>
      <c r="D198" s="17">
        <f t="shared" si="43"/>
        <v>0.67270641397498832</v>
      </c>
      <c r="E198" s="17">
        <f t="shared" si="43"/>
        <v>0.41482441628319933</v>
      </c>
      <c r="F198" s="17">
        <f t="shared" si="42"/>
        <v>0.50071159988858138</v>
      </c>
    </row>
    <row r="199" spans="1:6" x14ac:dyDescent="0.2">
      <c r="A199" t="str">
        <f>$A$31</f>
        <v>Waste management</v>
      </c>
      <c r="B199" s="17">
        <f t="shared" si="43"/>
        <v>1.3951083198664005</v>
      </c>
      <c r="C199" s="17">
        <f t="shared" si="43"/>
        <v>-6.5662002150683847</v>
      </c>
      <c r="D199" s="17">
        <f t="shared" si="43"/>
        <v>0.76024183455400962</v>
      </c>
      <c r="E199" s="17">
        <f t="shared" si="43"/>
        <v>0.53156570963877048</v>
      </c>
      <c r="F199" s="17">
        <f t="shared" si="42"/>
        <v>0.60773336168193914</v>
      </c>
    </row>
    <row r="200" spans="1:6" x14ac:dyDescent="0.2">
      <c r="A200" t="str">
        <f>$A$32</f>
        <v>Construction</v>
      </c>
      <c r="B200" s="17">
        <f t="shared" si="43"/>
        <v>4.3185706627929976</v>
      </c>
      <c r="C200" s="17">
        <f t="shared" si="43"/>
        <v>-2.2534239315785909</v>
      </c>
      <c r="D200" s="17">
        <f t="shared" si="43"/>
        <v>0.45634756234278484</v>
      </c>
      <c r="E200" s="17">
        <f t="shared" si="43"/>
        <v>0.47365112951738286</v>
      </c>
      <c r="F200" s="17">
        <f t="shared" si="42"/>
        <v>0.46788294264756836</v>
      </c>
    </row>
    <row r="201" spans="1:6" x14ac:dyDescent="0.2">
      <c r="A201" t="str">
        <f>$A$33</f>
        <v>Civil engineering</v>
      </c>
      <c r="B201" s="17">
        <f t="shared" si="43"/>
        <v>-6.7058259655667474</v>
      </c>
      <c r="C201" s="17">
        <f t="shared" si="43"/>
        <v>-4.8133054314809627</v>
      </c>
      <c r="D201" s="17">
        <f t="shared" si="43"/>
        <v>0.44385532742272638</v>
      </c>
      <c r="E201" s="17">
        <f t="shared" si="43"/>
        <v>0.42688195943216822</v>
      </c>
      <c r="F201" s="17">
        <f t="shared" si="42"/>
        <v>0.4325394300471519</v>
      </c>
    </row>
    <row r="202" spans="1:6" x14ac:dyDescent="0.2">
      <c r="A202" t="str">
        <f>$A$34</f>
        <v>Specialised construction</v>
      </c>
      <c r="B202" s="17">
        <f t="shared" si="43"/>
        <v>2.0050415964146362</v>
      </c>
      <c r="C202" s="17">
        <f t="shared" si="43"/>
        <v>-4.1097570962397416</v>
      </c>
      <c r="D202" s="17">
        <f t="shared" si="43"/>
        <v>0.44989751236275133</v>
      </c>
      <c r="E202" s="17">
        <f t="shared" si="43"/>
        <v>0.43766908937075133</v>
      </c>
      <c r="F202" s="17">
        <f t="shared" si="42"/>
        <v>0.44174506495402444</v>
      </c>
    </row>
    <row r="203" spans="1:6" x14ac:dyDescent="0.2">
      <c r="A203" t="str">
        <f>$A$35</f>
        <v>Motor vehicle trade</v>
      </c>
      <c r="B203" s="17">
        <f t="shared" si="43"/>
        <v>1.7701948274242429</v>
      </c>
      <c r="C203" s="17">
        <f t="shared" si="43"/>
        <v>-13.025783080770159</v>
      </c>
      <c r="D203" s="17">
        <f t="shared" si="43"/>
        <v>0.91600874130666199</v>
      </c>
      <c r="E203" s="17">
        <f t="shared" si="43"/>
        <v>0.57411012144805706</v>
      </c>
      <c r="F203" s="17">
        <f t="shared" si="42"/>
        <v>0.68794742986437729</v>
      </c>
    </row>
    <row r="204" spans="1:6" x14ac:dyDescent="0.2">
      <c r="A204" t="str">
        <f>$A$36</f>
        <v>Wholesale trade</v>
      </c>
      <c r="B204" s="17">
        <f t="shared" si="43"/>
        <v>7.2478230748056038</v>
      </c>
      <c r="C204" s="17">
        <f t="shared" si="43"/>
        <v>-4.8945921160709727</v>
      </c>
      <c r="D204" s="17">
        <f t="shared" si="43"/>
        <v>0.48503099769057201</v>
      </c>
      <c r="E204" s="17">
        <f t="shared" si="43"/>
        <v>0.17143773396537387</v>
      </c>
      <c r="F204" s="17">
        <f t="shared" si="42"/>
        <v>0.2758599307135734</v>
      </c>
    </row>
    <row r="205" spans="1:6" x14ac:dyDescent="0.2">
      <c r="A205" t="str">
        <f>$A$37</f>
        <v>Retail trade</v>
      </c>
      <c r="B205" s="17">
        <f t="shared" si="43"/>
        <v>-1.1628109135423892</v>
      </c>
      <c r="C205" s="17">
        <f t="shared" si="43"/>
        <v>-4.2746584445824132</v>
      </c>
      <c r="D205" s="17">
        <f t="shared" si="43"/>
        <v>0.21023039515926101</v>
      </c>
      <c r="E205" s="17">
        <f t="shared" si="43"/>
        <v>0.18668441989992957</v>
      </c>
      <c r="F205" s="17">
        <f t="shared" si="42"/>
        <v>0.19453246353344777</v>
      </c>
    </row>
    <row r="206" spans="1:6" x14ac:dyDescent="0.2">
      <c r="A206" t="str">
        <f>$A$38</f>
        <v>Land transport, etc</v>
      </c>
      <c r="B206" s="17">
        <f t="shared" si="43"/>
        <v>3.8858143233910569</v>
      </c>
      <c r="C206" s="17">
        <f t="shared" si="43"/>
        <v>17.702548122483329</v>
      </c>
      <c r="D206" s="17">
        <f t="shared" si="43"/>
        <v>-0.23036437610329807</v>
      </c>
      <c r="E206" s="17">
        <f t="shared" si="43"/>
        <v>-0.26750634067550516</v>
      </c>
      <c r="F206" s="17">
        <f t="shared" si="42"/>
        <v>-0.25512722241769481</v>
      </c>
    </row>
    <row r="207" spans="1:6" x14ac:dyDescent="0.2">
      <c r="A207" t="str">
        <f>$A$39</f>
        <v>Water transport</v>
      </c>
      <c r="B207" s="17">
        <f t="shared" si="43"/>
        <v>-8.5308780772308417</v>
      </c>
      <c r="C207" s="17">
        <f t="shared" si="43"/>
        <v>28.571428572633462</v>
      </c>
      <c r="D207" s="17">
        <f t="shared" si="43"/>
        <v>-6.3011696820029606</v>
      </c>
      <c r="E207" s="17">
        <f t="shared" si="43"/>
        <v>-7.6372241863964518E-11</v>
      </c>
      <c r="F207" s="17">
        <f t="shared" si="42"/>
        <v>-2.1461186587702352</v>
      </c>
    </row>
    <row r="208" spans="1:6" x14ac:dyDescent="0.2">
      <c r="A208" t="str">
        <f>$A$40</f>
        <v>Air transport</v>
      </c>
      <c r="B208" s="17">
        <f t="shared" si="43"/>
        <v>-6.8156808341214958</v>
      </c>
      <c r="C208" s="17">
        <f t="shared" si="43"/>
        <v>-6.0123784253149122</v>
      </c>
      <c r="D208" s="17">
        <f t="shared" si="43"/>
        <v>5.6469320944746881</v>
      </c>
      <c r="E208" s="17">
        <f t="shared" si="43"/>
        <v>0.40704450008890447</v>
      </c>
      <c r="F208" s="17">
        <f t="shared" si="42"/>
        <v>2.1241416087027565</v>
      </c>
    </row>
    <row r="209" spans="1:6" x14ac:dyDescent="0.2">
      <c r="A209" t="str">
        <f>$A$41</f>
        <v>Warehousing, etc</v>
      </c>
      <c r="B209" s="17">
        <f t="shared" si="43"/>
        <v>5.1292611431094981</v>
      </c>
      <c r="C209" s="17">
        <f t="shared" si="43"/>
        <v>14.764952991373503</v>
      </c>
      <c r="D209" s="17">
        <f t="shared" si="43"/>
        <v>1.2043630558008278</v>
      </c>
      <c r="E209" s="17">
        <f t="shared" si="43"/>
        <v>0.31642161156366644</v>
      </c>
      <c r="F209" s="17">
        <f t="shared" si="42"/>
        <v>0.61153308091066449</v>
      </c>
    </row>
    <row r="210" spans="1:6" x14ac:dyDescent="0.2">
      <c r="A210" t="str">
        <f>$A$42</f>
        <v>Postal and courier</v>
      </c>
      <c r="B210" s="17">
        <f t="shared" si="43"/>
        <v>4.0843909181816018</v>
      </c>
      <c r="C210" s="17">
        <f t="shared" si="43"/>
        <v>18.465765311445416</v>
      </c>
      <c r="D210" s="17">
        <f t="shared" si="43"/>
        <v>1.4155622844886695</v>
      </c>
      <c r="E210" s="17">
        <f t="shared" si="43"/>
        <v>0.52448156013413794</v>
      </c>
      <c r="F210" s="17">
        <f t="shared" si="42"/>
        <v>0.82063511820609225</v>
      </c>
    </row>
    <row r="211" spans="1:6" x14ac:dyDescent="0.2">
      <c r="A211" t="str">
        <f>$A$43</f>
        <v>Accommodation</v>
      </c>
      <c r="B211" s="17">
        <f t="shared" si="43"/>
        <v>1.1427626327506601</v>
      </c>
      <c r="C211" s="17">
        <f t="shared" si="43"/>
        <v>-2.6639901998105731</v>
      </c>
      <c r="D211" s="17">
        <f t="shared" si="43"/>
        <v>3.0113814531411043</v>
      </c>
      <c r="E211" s="17">
        <f t="shared" si="43"/>
        <v>0.93844731278689419</v>
      </c>
      <c r="F211" s="17">
        <f t="shared" si="42"/>
        <v>1.6247484816997337</v>
      </c>
    </row>
    <row r="212" spans="1:6" x14ac:dyDescent="0.2">
      <c r="A212" t="str">
        <f>$A$44</f>
        <v>Food and beverage services</v>
      </c>
      <c r="B212" s="17">
        <f t="shared" si="43"/>
        <v>2.7657558284689632</v>
      </c>
      <c r="C212" s="17">
        <f t="shared" si="43"/>
        <v>-1.2668766670048792</v>
      </c>
      <c r="D212" s="17">
        <f t="shared" si="43"/>
        <v>-0.98486167250694256</v>
      </c>
      <c r="E212" s="17">
        <f t="shared" si="43"/>
        <v>0.60200441411553118</v>
      </c>
      <c r="F212" s="17">
        <f t="shared" si="42"/>
        <v>7.02432257005281E-2</v>
      </c>
    </row>
    <row r="213" spans="1:6" x14ac:dyDescent="0.2">
      <c r="A213" t="str">
        <f>$A$45</f>
        <v>Publishing activities</v>
      </c>
      <c r="B213" s="17">
        <f t="shared" ref="B213:C238" si="44">IF(AND(C$3-B$3 &lt;&gt; 0,B45&lt;&gt;0,C45&lt;&gt;0),(EXP(LN(C45/B45)/(C$3-B$3))-1)*100,0)</f>
        <v>10.099865882137227</v>
      </c>
      <c r="C213" s="17">
        <f t="shared" si="44"/>
        <v>-31.528619529622304</v>
      </c>
      <c r="D213" s="17">
        <f t="shared" ref="D213:E213" si="45">IF(AND(E$3-D$3 &lt;&gt; 0,D45&lt;&gt;0,E45&lt;&gt;0),(EXP(LN(E45/D45)/(E$3-D$3))-1)*100,0)</f>
        <v>-0.39652319886426257</v>
      </c>
      <c r="E213" s="17">
        <f t="shared" si="45"/>
        <v>0.13758801373169316</v>
      </c>
      <c r="F213" s="17">
        <f t="shared" si="42"/>
        <v>-4.0766534915004371E-2</v>
      </c>
    </row>
    <row r="214" spans="1:6" x14ac:dyDescent="0.2">
      <c r="A214" t="str">
        <f>$A$46</f>
        <v>Film and music</v>
      </c>
      <c r="B214" s="17">
        <f t="shared" si="44"/>
        <v>2.195881513476361</v>
      </c>
      <c r="C214" s="17">
        <f t="shared" si="44"/>
        <v>-10.306406685181347</v>
      </c>
      <c r="D214" s="17">
        <f t="shared" ref="D214:E214" si="46">IF(AND(E$3-D$3 &lt;&gt; 0,D46&lt;&gt;0,E46&lt;&gt;0),(EXP(LN(E46/D46)/(E$3-D$3))-1)*100,0)</f>
        <v>-0.17139396501449911</v>
      </c>
      <c r="E214" s="17">
        <f t="shared" si="46"/>
        <v>0.25163414768212267</v>
      </c>
      <c r="F214" s="17">
        <f t="shared" si="42"/>
        <v>0.11042597317514335</v>
      </c>
    </row>
    <row r="215" spans="1:6" x14ac:dyDescent="0.2">
      <c r="A215" t="str">
        <f>$A$47</f>
        <v>Broadcasting</v>
      </c>
      <c r="B215" s="17">
        <f t="shared" si="44"/>
        <v>24.734950526023546</v>
      </c>
      <c r="C215" s="17">
        <f t="shared" si="44"/>
        <v>-26.260346126545954</v>
      </c>
      <c r="D215" s="17">
        <f t="shared" ref="D215:E215" si="47">IF(AND(E$3-D$3 &lt;&gt; 0,D47&lt;&gt;0,E47&lt;&gt;0),(EXP(LN(E47/D47)/(E$3-D$3))-1)*100,0)</f>
        <v>-0.49466565152853637</v>
      </c>
      <c r="E215" s="17">
        <f t="shared" si="47"/>
        <v>2.0900833073755898E-2</v>
      </c>
      <c r="F215" s="17">
        <f t="shared" si="42"/>
        <v>-0.15125079169079347</v>
      </c>
    </row>
    <row r="216" spans="1:6" x14ac:dyDescent="0.2">
      <c r="A216" t="str">
        <f>$A$48</f>
        <v>Telecommunications</v>
      </c>
      <c r="B216" s="17">
        <f t="shared" si="44"/>
        <v>1.779551965824222</v>
      </c>
      <c r="C216" s="17">
        <f t="shared" si="44"/>
        <v>-10.590794596607367</v>
      </c>
      <c r="D216" s="17">
        <f t="shared" ref="D216:E216" si="48">IF(AND(E$3-D$3 &lt;&gt; 0,D48&lt;&gt;0,E48&lt;&gt;0),(EXP(LN(E48/D48)/(E$3-D$3))-1)*100,0)</f>
        <v>1.4311079444674801</v>
      </c>
      <c r="E216" s="17">
        <f t="shared" si="48"/>
        <v>0.66666336692215999</v>
      </c>
      <c r="F216" s="17">
        <f t="shared" si="42"/>
        <v>0.92083592744387488</v>
      </c>
    </row>
    <row r="217" spans="1:6" x14ac:dyDescent="0.2">
      <c r="A217" t="str">
        <f>$A$49</f>
        <v>Computing services</v>
      </c>
      <c r="B217" s="17">
        <f t="shared" si="44"/>
        <v>3.7414615334190326</v>
      </c>
      <c r="C217" s="17">
        <f t="shared" si="44"/>
        <v>-9.3196644932464601</v>
      </c>
      <c r="D217" s="17">
        <f t="shared" ref="D217:E217" si="49">IF(AND(E$3-D$3 &lt;&gt; 0,D49&lt;&gt;0,E49&lt;&gt;0),(EXP(LN(E49/D49)/(E$3-D$3))-1)*100,0)</f>
        <v>1.4779413233226624</v>
      </c>
      <c r="E217" s="17">
        <f t="shared" si="49"/>
        <v>0.70580713345995694</v>
      </c>
      <c r="F217" s="17">
        <f t="shared" si="42"/>
        <v>0.96253019248422333</v>
      </c>
    </row>
    <row r="218" spans="1:6" x14ac:dyDescent="0.2">
      <c r="A218" t="str">
        <f>$A$50</f>
        <v>Information services</v>
      </c>
      <c r="B218" s="17">
        <f t="shared" si="44"/>
        <v>4.5371749460106914</v>
      </c>
      <c r="C218" s="17">
        <f t="shared" si="44"/>
        <v>-8.9673488524052214</v>
      </c>
      <c r="D218" s="17">
        <f t="shared" ref="D218:E218" si="50">IF(AND(E$3-D$3 &lt;&gt; 0,D50&lt;&gt;0,E50&lt;&gt;0),(EXP(LN(E50/D50)/(E$3-D$3))-1)*100,0)</f>
        <v>1.4536038515351013</v>
      </c>
      <c r="E218" s="17">
        <f t="shared" si="50"/>
        <v>0.65871577413063598</v>
      </c>
      <c r="F218" s="17">
        <f t="shared" si="42"/>
        <v>0.92298405241486581</v>
      </c>
    </row>
    <row r="219" spans="1:6" x14ac:dyDescent="0.2">
      <c r="A219" t="str">
        <f>$A$51</f>
        <v>Financial services</v>
      </c>
      <c r="B219" s="17">
        <f t="shared" si="44"/>
        <v>-5.0567411540581979</v>
      </c>
      <c r="C219" s="17">
        <f t="shared" si="44"/>
        <v>9.5255804061499703</v>
      </c>
      <c r="D219" s="17">
        <f t="shared" ref="D219:E219" si="51">IF(AND(E$3-D$3 &lt;&gt; 0,D51&lt;&gt;0,E51&lt;&gt;0),(EXP(LN(E51/D51)/(E$3-D$3))-1)*100,0)</f>
        <v>-0.43942903619483831</v>
      </c>
      <c r="E219" s="17">
        <f t="shared" si="51"/>
        <v>-0.6514884216735739</v>
      </c>
      <c r="F219" s="17">
        <f t="shared" si="42"/>
        <v>-0.58085219370708208</v>
      </c>
    </row>
    <row r="220" spans="1:6" x14ac:dyDescent="0.2">
      <c r="A220" t="str">
        <f>$A$52</f>
        <v>Insurance and pensions</v>
      </c>
      <c r="B220" s="17">
        <f t="shared" si="44"/>
        <v>16.880577792099306</v>
      </c>
      <c r="C220" s="17">
        <f t="shared" si="44"/>
        <v>9.9353169460607127</v>
      </c>
      <c r="D220" s="17">
        <f t="shared" ref="D220:E220" si="52">IF(AND(E$3-D$3 &lt;&gt; 0,D52&lt;&gt;0,E52&lt;&gt;0),(EXP(LN(E52/D52)/(E$3-D$3))-1)*100,0)</f>
        <v>-0.44642520298646682</v>
      </c>
      <c r="E220" s="17">
        <f t="shared" si="52"/>
        <v>-0.69267719829224639</v>
      </c>
      <c r="F220" s="17">
        <f t="shared" si="42"/>
        <v>-0.61066095433768286</v>
      </c>
    </row>
    <row r="221" spans="1:6" x14ac:dyDescent="0.2">
      <c r="A221" t="str">
        <f>$A$53</f>
        <v>Auxiliary financial services</v>
      </c>
      <c r="B221" s="17">
        <f t="shared" si="44"/>
        <v>0.86557149698904823</v>
      </c>
      <c r="C221" s="17">
        <f t="shared" si="44"/>
        <v>16.283010048185066</v>
      </c>
      <c r="D221" s="17">
        <f t="shared" ref="D221:E221" si="53">IF(AND(E$3-D$3 &lt;&gt; 0,D53&lt;&gt;0,E53&lt;&gt;0),(EXP(LN(E53/D53)/(E$3-D$3))-1)*100,0)</f>
        <v>-8.8585689138021007E-2</v>
      </c>
      <c r="E221" s="17">
        <f t="shared" si="53"/>
        <v>-0.56154451335573841</v>
      </c>
      <c r="F221" s="17">
        <f t="shared" si="42"/>
        <v>-0.40414086164620722</v>
      </c>
    </row>
    <row r="222" spans="1:6" x14ac:dyDescent="0.2">
      <c r="A222" t="str">
        <f>$A$54</f>
        <v>Real estate</v>
      </c>
      <c r="B222" s="17">
        <f t="shared" si="44"/>
        <v>8.0269883256338872</v>
      </c>
      <c r="C222" s="17">
        <f t="shared" si="44"/>
        <v>4.8194399390111053</v>
      </c>
      <c r="D222" s="17">
        <f t="shared" ref="D222:E222" si="54">IF(AND(E$3-D$3 &lt;&gt; 0,D54&lt;&gt;0,E54&lt;&gt;0),(EXP(LN(E54/D54)/(E$3-D$3))-1)*100,0)</f>
        <v>-1.0023856349366866</v>
      </c>
      <c r="E222" s="17">
        <f t="shared" si="54"/>
        <v>0.89340751267930063</v>
      </c>
      <c r="F222" s="17">
        <f t="shared" si="42"/>
        <v>0.2574766139615825</v>
      </c>
    </row>
    <row r="223" spans="1:6" x14ac:dyDescent="0.2">
      <c r="A223" t="str">
        <f>$A$55</f>
        <v>Legal and accounting</v>
      </c>
      <c r="B223" s="17">
        <f t="shared" si="44"/>
        <v>6.0331167969959187</v>
      </c>
      <c r="C223" s="17">
        <f t="shared" si="44"/>
        <v>8.4974414615615501</v>
      </c>
      <c r="D223" s="17">
        <f t="shared" ref="D223:E223" si="55">IF(AND(E$3-D$3 &lt;&gt; 0,D55&lt;&gt;0,E55&lt;&gt;0),(EXP(LN(E55/D55)/(E$3-D$3))-1)*100,0)</f>
        <v>0.95348808772186544</v>
      </c>
      <c r="E223" s="17">
        <f t="shared" si="55"/>
        <v>0.4934192450293029</v>
      </c>
      <c r="F223" s="17">
        <f t="shared" si="42"/>
        <v>0.64654209258134809</v>
      </c>
    </row>
    <row r="224" spans="1:6" x14ac:dyDescent="0.2">
      <c r="A224" t="str">
        <f>$A$56</f>
        <v>Head offices, etc</v>
      </c>
      <c r="B224" s="17">
        <f t="shared" si="44"/>
        <v>5.109281102380403</v>
      </c>
      <c r="C224" s="17">
        <f t="shared" si="44"/>
        <v>9.9176596579275476</v>
      </c>
      <c r="D224" s="17">
        <f t="shared" ref="D224:E224" si="56">IF(AND(E$3-D$3 &lt;&gt; 0,D56&lt;&gt;0,E56&lt;&gt;0),(EXP(LN(E56/D56)/(E$3-D$3))-1)*100,0)</f>
        <v>0.16329541404378478</v>
      </c>
      <c r="E224" s="17">
        <f t="shared" si="56"/>
        <v>0.12315239967988223</v>
      </c>
      <c r="F224" s="17">
        <f t="shared" si="42"/>
        <v>0.13653161655553525</v>
      </c>
    </row>
    <row r="225" spans="1:6" x14ac:dyDescent="0.2">
      <c r="A225" t="str">
        <f>$A$57</f>
        <v>Architectural and related</v>
      </c>
      <c r="B225" s="17">
        <f t="shared" si="44"/>
        <v>4.4985398794102016</v>
      </c>
      <c r="C225" s="17">
        <f t="shared" si="44"/>
        <v>6.9979518173704625</v>
      </c>
      <c r="D225" s="17">
        <f t="shared" ref="D225:E225" si="57">IF(AND(E$3-D$3 &lt;&gt; 0,D57&lt;&gt;0,E57&lt;&gt;0),(EXP(LN(E57/D57)/(E$3-D$3))-1)*100,0)</f>
        <v>-0.2082397936010727</v>
      </c>
      <c r="E225" s="17">
        <f t="shared" si="57"/>
        <v>0.43577828575211974</v>
      </c>
      <c r="F225" s="17">
        <f t="shared" si="42"/>
        <v>0.22064510693990957</v>
      </c>
    </row>
    <row r="226" spans="1:6" x14ac:dyDescent="0.2">
      <c r="A226" t="str">
        <f>$A$58</f>
        <v>Scientific research and development</v>
      </c>
      <c r="B226" s="17">
        <f t="shared" si="44"/>
        <v>10.205572420485453</v>
      </c>
      <c r="C226" s="17">
        <f t="shared" si="44"/>
        <v>4.1852074543925477</v>
      </c>
      <c r="D226" s="17">
        <f t="shared" ref="D226:E226" si="58">IF(AND(E$3-D$3 &lt;&gt; 0,D58&lt;&gt;0,E58&lt;&gt;0),(EXP(LN(E58/D58)/(E$3-D$3))-1)*100,0)</f>
        <v>1.7133330796843094</v>
      </c>
      <c r="E226" s="17">
        <f t="shared" si="58"/>
        <v>1.0409437435961788</v>
      </c>
      <c r="F226" s="17">
        <f t="shared" si="42"/>
        <v>1.2645781858528604</v>
      </c>
    </row>
    <row r="227" spans="1:6" x14ac:dyDescent="0.2">
      <c r="A227" t="str">
        <f>$A$59</f>
        <v>Advertising, etc</v>
      </c>
      <c r="B227" s="17">
        <f t="shared" si="44"/>
        <v>-11.34518976919634</v>
      </c>
      <c r="C227" s="17">
        <f t="shared" si="44"/>
        <v>11.738519210243293</v>
      </c>
      <c r="D227" s="17">
        <f t="shared" ref="D227:E227" si="59">IF(AND(E$3-D$3 &lt;&gt; 0,D59&lt;&gt;0,E59&lt;&gt;0),(EXP(LN(E59/D59)/(E$3-D$3))-1)*100,0)</f>
        <v>1.6867313968365938</v>
      </c>
      <c r="E227" s="17">
        <f t="shared" si="59"/>
        <v>1.0220816206117034</v>
      </c>
      <c r="F227" s="17">
        <f t="shared" si="42"/>
        <v>1.2431474365901085</v>
      </c>
    </row>
    <row r="228" spans="1:6" x14ac:dyDescent="0.2">
      <c r="A228" t="str">
        <f>$A$60</f>
        <v>Other professional</v>
      </c>
      <c r="B228" s="17">
        <f t="shared" si="44"/>
        <v>3.1238289749367043</v>
      </c>
      <c r="C228" s="17">
        <f t="shared" si="44"/>
        <v>10.499567472158233</v>
      </c>
      <c r="D228" s="17">
        <f t="shared" ref="D228:E228" si="60">IF(AND(E$3-D$3 &lt;&gt; 0,D60&lt;&gt;0,E60&lt;&gt;0),(EXP(LN(E60/D60)/(E$3-D$3))-1)*100,0)</f>
        <v>1.7024619587608258</v>
      </c>
      <c r="E228" s="17">
        <f t="shared" si="60"/>
        <v>1.0260427853840293</v>
      </c>
      <c r="F228" s="17">
        <f t="shared" si="42"/>
        <v>1.2510144889219976</v>
      </c>
    </row>
    <row r="229" spans="1:6" x14ac:dyDescent="0.2">
      <c r="A229" t="str">
        <f>$A$61</f>
        <v>Veterinary</v>
      </c>
      <c r="B229" s="17">
        <f t="shared" si="44"/>
        <v>16.178159461538201</v>
      </c>
      <c r="C229" s="17">
        <f t="shared" si="44"/>
        <v>14.58505003296262</v>
      </c>
      <c r="D229" s="17">
        <f t="shared" ref="D229:E229" si="61">IF(AND(E$3-D$3 &lt;&gt; 0,D61&lt;&gt;0,E61&lt;&gt;0),(EXP(LN(E61/D61)/(E$3-D$3))-1)*100,0)</f>
        <v>1.8168855898596403</v>
      </c>
      <c r="E229" s="17">
        <f t="shared" si="61"/>
        <v>1.1802542732404664</v>
      </c>
      <c r="F229" s="17">
        <f t="shared" si="42"/>
        <v>1.3920211817982198</v>
      </c>
    </row>
    <row r="230" spans="1:6" x14ac:dyDescent="0.2">
      <c r="A230" t="str">
        <f>$A$62</f>
        <v>Rental and leasing</v>
      </c>
      <c r="B230" s="17">
        <f t="shared" si="44"/>
        <v>11.096091319462765</v>
      </c>
      <c r="C230" s="17">
        <f t="shared" si="44"/>
        <v>-1.4483251877198011</v>
      </c>
      <c r="D230" s="17">
        <f t="shared" ref="D230:E230" si="62">IF(AND(E$3-D$3 &lt;&gt; 0,D62&lt;&gt;0,E62&lt;&gt;0),(EXP(LN(E62/D62)/(E$3-D$3))-1)*100,0)</f>
        <v>1.2205210812222589</v>
      </c>
      <c r="E230" s="17">
        <f t="shared" si="62"/>
        <v>0.6155968486118546</v>
      </c>
      <c r="F230" s="17">
        <f t="shared" si="42"/>
        <v>0.81683549892948015</v>
      </c>
    </row>
    <row r="231" spans="1:6" x14ac:dyDescent="0.2">
      <c r="A231" t="str">
        <f>$A$63</f>
        <v>Employment activities</v>
      </c>
      <c r="B231" s="17">
        <f t="shared" si="44"/>
        <v>-5.8908550518375176</v>
      </c>
      <c r="C231" s="17">
        <f t="shared" si="44"/>
        <v>0.9569592958673212</v>
      </c>
      <c r="D231" s="17">
        <f t="shared" ref="D231:E231" si="63">IF(AND(E$3-D$3 &lt;&gt; 0,D63&lt;&gt;0,E63&lt;&gt;0),(EXP(LN(E63/D63)/(E$3-D$3))-1)*100,0)</f>
        <v>1.2557242725239171</v>
      </c>
      <c r="E231" s="17">
        <f t="shared" si="63"/>
        <v>0.62960005423675636</v>
      </c>
      <c r="F231" s="17">
        <f t="shared" si="42"/>
        <v>0.83787675183164545</v>
      </c>
    </row>
    <row r="232" spans="1:6" x14ac:dyDescent="0.2">
      <c r="A232" t="str">
        <f>$A$64</f>
        <v>Travel, etc</v>
      </c>
      <c r="B232" s="17">
        <f t="shared" si="44"/>
        <v>-12.913153935850573</v>
      </c>
      <c r="C232" s="17">
        <f t="shared" si="44"/>
        <v>1.8136160715173766</v>
      </c>
      <c r="D232" s="17">
        <f t="shared" ref="D232:E232" si="64">IF(AND(E$3-D$3 &lt;&gt; 0,D64&lt;&gt;0,E64&lt;&gt;0),(EXP(LN(E64/D64)/(E$3-D$3))-1)*100,0)</f>
        <v>1.1934254042187842</v>
      </c>
      <c r="E232" s="17">
        <f t="shared" si="64"/>
        <v>0.59830130597398057</v>
      </c>
      <c r="F232" s="17">
        <f t="shared" si="42"/>
        <v>0.79628610125057619</v>
      </c>
    </row>
    <row r="233" spans="1:6" x14ac:dyDescent="0.2">
      <c r="A233" t="str">
        <f>$A$65</f>
        <v>Security, etc</v>
      </c>
      <c r="B233" s="17">
        <f t="shared" si="44"/>
        <v>6.7643616232068826</v>
      </c>
      <c r="C233" s="17">
        <f t="shared" si="44"/>
        <v>-0.24131627000280043</v>
      </c>
      <c r="D233" s="17">
        <f t="shared" ref="D233:E233" si="65">IF(AND(E$3-D$3 &lt;&gt; 0,D65&lt;&gt;0,E65&lt;&gt;0),(EXP(LN(E65/D65)/(E$3-D$3))-1)*100,0)</f>
        <v>1.2608664157442995</v>
      </c>
      <c r="E233" s="17">
        <f t="shared" si="65"/>
        <v>0.63429805524195526</v>
      </c>
      <c r="F233" s="17">
        <f t="shared" si="42"/>
        <v>0.84272220918304441</v>
      </c>
    </row>
    <row r="234" spans="1:6" x14ac:dyDescent="0.2">
      <c r="A234" t="str">
        <f>$A$66</f>
        <v>Services to buildings</v>
      </c>
      <c r="B234" s="17">
        <f t="shared" si="44"/>
        <v>-2.1520907923206822</v>
      </c>
      <c r="C234" s="17">
        <f t="shared" si="44"/>
        <v>3.0154632965402994</v>
      </c>
      <c r="D234" s="17">
        <f t="shared" ref="D234:E234" si="66">IF(AND(E$3-D$3 &lt;&gt; 0,D66&lt;&gt;0,E66&lt;&gt;0),(EXP(LN(E66/D66)/(E$3-D$3))-1)*100,0)</f>
        <v>1.1640670204404069</v>
      </c>
      <c r="E234" s="17">
        <f t="shared" si="66"/>
        <v>0.54724608182206147</v>
      </c>
      <c r="F234" s="17">
        <f t="shared" si="42"/>
        <v>0.7524340469964752</v>
      </c>
    </row>
    <row r="235" spans="1:6" x14ac:dyDescent="0.2">
      <c r="A235" t="str">
        <f>$A$67</f>
        <v>Office administrative</v>
      </c>
      <c r="B235" s="17">
        <f t="shared" si="44"/>
        <v>-5.8440388353798722</v>
      </c>
      <c r="C235" s="17">
        <f t="shared" si="44"/>
        <v>-1.7405970650330116</v>
      </c>
      <c r="D235" s="17">
        <f t="shared" ref="D235:E235" si="67">IF(AND(E$3-D$3 &lt;&gt; 0,D67&lt;&gt;0,E67&lt;&gt;0),(EXP(LN(E67/D67)/(E$3-D$3))-1)*100,0)</f>
        <v>1.2469625101581894</v>
      </c>
      <c r="E235" s="17">
        <f t="shared" si="67"/>
        <v>0.63800956823187871</v>
      </c>
      <c r="F235" s="17">
        <f t="shared" si="42"/>
        <v>0.84058583876140958</v>
      </c>
    </row>
    <row r="236" spans="1:6" x14ac:dyDescent="0.2">
      <c r="A236" t="str">
        <f>$A$68</f>
        <v>Public administration and defence</v>
      </c>
      <c r="B236" s="17">
        <f t="shared" si="44"/>
        <v>0.73621955221789825</v>
      </c>
      <c r="C236" s="17">
        <f t="shared" si="44"/>
        <v>2.9582001809849823</v>
      </c>
      <c r="D236" s="17">
        <f t="shared" ref="D236:E236" si="68">IF(AND(E$3-D$3 &lt;&gt; 0,D68&lt;&gt;0,E68&lt;&gt;0),(EXP(LN(E68/D68)/(E$3-D$3))-1)*100,0)</f>
        <v>1.4952942971976357</v>
      </c>
      <c r="E236" s="17">
        <f t="shared" si="68"/>
        <v>0.71158053722522041</v>
      </c>
      <c r="F236" s="17">
        <f t="shared" si="42"/>
        <v>0.97214374101770584</v>
      </c>
    </row>
    <row r="237" spans="1:6" x14ac:dyDescent="0.2">
      <c r="A237" t="str">
        <f>$A$69</f>
        <v xml:space="preserve">Education </v>
      </c>
      <c r="B237" s="17">
        <f t="shared" si="44"/>
        <v>0.79666767794435156</v>
      </c>
      <c r="C237" s="17">
        <f t="shared" si="44"/>
        <v>-0.55553975720690207</v>
      </c>
      <c r="D237" s="17">
        <f t="shared" ref="D237:E237" si="69">IF(AND(E$3-D$3 &lt;&gt; 0,D69&lt;&gt;0,E69&lt;&gt;0),(EXP(LN(E69/D69)/(E$3-D$3))-1)*100,0)</f>
        <v>-0.47398008102845779</v>
      </c>
      <c r="E237" s="17">
        <f t="shared" si="69"/>
        <v>7.0843532649877972E-2</v>
      </c>
      <c r="F237" s="17">
        <f t="shared" si="42"/>
        <v>-0.11109491977920882</v>
      </c>
    </row>
    <row r="238" spans="1:6" x14ac:dyDescent="0.2">
      <c r="A238" t="str">
        <f>$A$70</f>
        <v>Health</v>
      </c>
      <c r="B238" s="17">
        <f t="shared" si="44"/>
        <v>0.85951027570814187</v>
      </c>
      <c r="C238" s="17">
        <f t="shared" si="44"/>
        <v>1.3328203247584547</v>
      </c>
      <c r="D238" s="17">
        <f t="shared" ref="D238:E238" si="70">IF(AND(E$3-D$3 &lt;&gt; 0,D70&lt;&gt;0,E70&lt;&gt;0),(EXP(LN(E70/D70)/(E$3-D$3))-1)*100,0)</f>
        <v>0.9312577053974147</v>
      </c>
      <c r="E238" s="17">
        <f t="shared" si="70"/>
        <v>0.38739453948435365</v>
      </c>
      <c r="F238" s="17">
        <f t="shared" ref="F238:F249" si="71">IF(AND(F$3-D$3 &lt;&gt; 0,D70&lt;&gt;0,F70&lt;&gt;0),(EXP(LN(F70/D70)/(F$3-D$3))-1)*100,0)</f>
        <v>0.56835585915879783</v>
      </c>
    </row>
    <row r="239" spans="1:6" x14ac:dyDescent="0.2">
      <c r="A239" t="str">
        <f>$A$71</f>
        <v>Residential care</v>
      </c>
      <c r="B239" s="17">
        <f t="shared" ref="B239:C239" si="72">IF(AND(C$3-B$3 &lt;&gt; 0,B71&lt;&gt;0,C71&lt;&gt;0),(EXP(LN(C71/B71)/(C$3-B$3))-1)*100,0)</f>
        <v>0.44528945479731519</v>
      </c>
      <c r="C239" s="17">
        <f t="shared" si="72"/>
        <v>-7.9372001741077058</v>
      </c>
      <c r="D239" s="17">
        <f t="shared" ref="D239:D247" si="73">IF(AND(E$3-D$3 &lt;&gt; 0,D71&lt;&gt;0,E71&lt;&gt;0),(EXP(LN(E71/D71)/(E$3-D$3))-1)*100,0)</f>
        <v>2.0625485790506382</v>
      </c>
      <c r="E239" s="17">
        <f t="shared" ref="E239:E247" si="74">IF(AND(F$3-E$3 &lt;&gt; 0,E71&lt;&gt;0,F71&lt;&gt;0),(EXP(LN(F71/E71)/(F$3-E$3))-1)*100,0)</f>
        <v>0.92584850757939652</v>
      </c>
      <c r="F239" s="17">
        <f t="shared" si="71"/>
        <v>1.3033348834408542</v>
      </c>
    </row>
    <row r="240" spans="1:6" x14ac:dyDescent="0.2">
      <c r="A240" t="str">
        <f>$A$72</f>
        <v>Social work</v>
      </c>
      <c r="B240" s="17">
        <f t="shared" ref="B240:C240" si="75">IF(AND(C$3-B$3 &lt;&gt; 0,B72&lt;&gt;0,C72&lt;&gt;0),(EXP(LN(C72/B72)/(C$3-B$3))-1)*100,0)</f>
        <v>2.5353699612292502</v>
      </c>
      <c r="C240" s="17">
        <f t="shared" si="75"/>
        <v>-9.9816334386944039</v>
      </c>
      <c r="D240" s="17">
        <f t="shared" si="73"/>
        <v>1.8868017402374093</v>
      </c>
      <c r="E240" s="17">
        <f t="shared" si="74"/>
        <v>0.75210070967706155</v>
      </c>
      <c r="F240" s="17">
        <f t="shared" si="71"/>
        <v>1.1289232767732527</v>
      </c>
    </row>
    <row r="241" spans="1:6" x14ac:dyDescent="0.2">
      <c r="A241" t="str">
        <f>$A$73</f>
        <v>Arts and entertainment</v>
      </c>
      <c r="B241" s="17">
        <f t="shared" ref="B241:C241" si="76">IF(AND(C$3-B$3 &lt;&gt; 0,B73&lt;&gt;0,C73&lt;&gt;0),(EXP(LN(C73/B73)/(C$3-B$3))-1)*100,0)</f>
        <v>-13.329030489509341</v>
      </c>
      <c r="C241" s="17">
        <f t="shared" si="76"/>
        <v>-10.482223131087022</v>
      </c>
      <c r="D241" s="17">
        <f t="shared" si="73"/>
        <v>-4.8822226874869035</v>
      </c>
      <c r="E241" s="17">
        <f t="shared" si="74"/>
        <v>4.3888592782370672E-2</v>
      </c>
      <c r="F241" s="17">
        <f t="shared" si="71"/>
        <v>-1.6258618933685964</v>
      </c>
    </row>
    <row r="242" spans="1:6" x14ac:dyDescent="0.2">
      <c r="A242" t="str">
        <f>$A$74</f>
        <v>Libraries, etc</v>
      </c>
      <c r="B242" s="17">
        <f t="shared" ref="B242:C242" si="77">IF(AND(C$3-B$3 &lt;&gt; 0,B74&lt;&gt;0,C74&lt;&gt;0),(EXP(LN(C74/B74)/(C$3-B$3))-1)*100,0)</f>
        <v>0.73225169619710595</v>
      </c>
      <c r="C242" s="17">
        <f t="shared" si="77"/>
        <v>2.6030553877207874</v>
      </c>
      <c r="D242" s="17">
        <f t="shared" si="73"/>
        <v>-4.6058060133889462</v>
      </c>
      <c r="E242" s="17">
        <f t="shared" si="74"/>
        <v>0.27867362567506326</v>
      </c>
      <c r="F242" s="17">
        <f t="shared" si="71"/>
        <v>-1.3766610804250567</v>
      </c>
    </row>
    <row r="243" spans="1:6" x14ac:dyDescent="0.2">
      <c r="A243" t="str">
        <f>$A$75</f>
        <v>Gambling and betting</v>
      </c>
      <c r="B243" s="17">
        <f t="shared" ref="B243:C243" si="78">IF(AND(C$3-B$3 &lt;&gt; 0,B75&lt;&gt;0,C75&lt;&gt;0),(EXP(LN(C75/B75)/(C$3-B$3))-1)*100,0)</f>
        <v>2.9624069700862954</v>
      </c>
      <c r="C243" s="17">
        <f t="shared" si="78"/>
        <v>-14.933779875566755</v>
      </c>
      <c r="D243" s="17">
        <f t="shared" si="73"/>
        <v>-0.21567418660346505</v>
      </c>
      <c r="E243" s="17">
        <f t="shared" si="74"/>
        <v>0.13663868574746996</v>
      </c>
      <c r="F243" s="17">
        <f t="shared" si="71"/>
        <v>1.9063064025393039E-2</v>
      </c>
    </row>
    <row r="244" spans="1:6" x14ac:dyDescent="0.2">
      <c r="A244" t="str">
        <f>$A$76</f>
        <v>Sport and recreation</v>
      </c>
      <c r="B244" s="17">
        <f t="shared" ref="B244:C244" si="79">IF(AND(C$3-B$3 &lt;&gt; 0,B76&lt;&gt;0,C76&lt;&gt;0),(EXP(LN(C76/B76)/(C$3-B$3))-1)*100,0)</f>
        <v>5.4467295204597255</v>
      </c>
      <c r="C244" s="17">
        <f t="shared" si="79"/>
        <v>-14.508802514440156</v>
      </c>
      <c r="D244" s="17">
        <f t="shared" si="73"/>
        <v>-0.21749871363174744</v>
      </c>
      <c r="E244" s="17">
        <f t="shared" si="74"/>
        <v>0.1301832791721802</v>
      </c>
      <c r="F244" s="17">
        <f t="shared" si="71"/>
        <v>1.415488264819853E-2</v>
      </c>
    </row>
    <row r="245" spans="1:6" x14ac:dyDescent="0.2">
      <c r="A245" t="str">
        <f>$A$77</f>
        <v>Membership organisations</v>
      </c>
      <c r="B245" s="17">
        <f t="shared" ref="B245:C245" si="80">IF(AND(C$3-B$3 &lt;&gt; 0,B77&lt;&gt;0,C77&lt;&gt;0),(EXP(LN(C77/B77)/(C$3-B$3))-1)*100,0)</f>
        <v>-4.2809726162528206</v>
      </c>
      <c r="C245" s="17">
        <f t="shared" si="80"/>
        <v>-5.4385883037040177</v>
      </c>
      <c r="D245" s="17">
        <f t="shared" si="73"/>
        <v>-1.2845551533267607</v>
      </c>
      <c r="E245" s="17">
        <f t="shared" si="74"/>
        <v>-0.23686743880237948</v>
      </c>
      <c r="F245" s="17">
        <f t="shared" si="71"/>
        <v>-0.58732636610504541</v>
      </c>
    </row>
    <row r="246" spans="1:6" x14ac:dyDescent="0.2">
      <c r="A246" t="str">
        <f>$A$78</f>
        <v>Repair of goods</v>
      </c>
      <c r="B246" s="17">
        <f t="shared" ref="B246:C246" si="81">IF(AND(C$3-B$3 &lt;&gt; 0,B78&lt;&gt;0,C78&lt;&gt;0),(EXP(LN(C78/B78)/(C$3-B$3))-1)*100,0)</f>
        <v>9.5108041286569911</v>
      </c>
      <c r="C246" s="17">
        <f t="shared" si="81"/>
        <v>21.934089679393498</v>
      </c>
      <c r="D246" s="17">
        <f t="shared" si="73"/>
        <v>-0.57669148818928484</v>
      </c>
      <c r="E246" s="17">
        <f t="shared" si="74"/>
        <v>0.1374861846939357</v>
      </c>
      <c r="F246" s="17">
        <f t="shared" si="71"/>
        <v>-0.10114123655265983</v>
      </c>
    </row>
    <row r="247" spans="1:6" x14ac:dyDescent="0.2">
      <c r="A247" t="str">
        <f>$A$79</f>
        <v>Other personal service</v>
      </c>
      <c r="B247" s="17">
        <f>IF(AND(C$3-B$3 &lt;&gt; 0,B79&lt;&gt;0,C79&lt;&gt;0),(EXP(LN(C79/B79)/(C$3-B$3))-1)*100,0)</f>
        <v>12.189055399125692</v>
      </c>
      <c r="C247" s="17">
        <f t="shared" ref="C247" si="82">IF(AND(D$3-C$3 &lt;&gt; 0,C79&lt;&gt;0,D79&lt;&gt;0),(EXP(LN(D79/C79)/(D$3-C$3))-1)*100,0)</f>
        <v>2.1004098356209422</v>
      </c>
      <c r="D247" s="17">
        <f t="shared" si="73"/>
        <v>-1.1520872438653185</v>
      </c>
      <c r="E247" s="17">
        <f t="shared" si="74"/>
        <v>-0.14372161760577429</v>
      </c>
      <c r="F247" s="17">
        <f t="shared" si="71"/>
        <v>-0.48098128859035416</v>
      </c>
    </row>
    <row r="248" spans="1:6" x14ac:dyDescent="0.2">
      <c r="B248" s="17"/>
      <c r="C248" s="17"/>
      <c r="D248" s="17"/>
      <c r="E248" s="17"/>
      <c r="F248" s="17"/>
    </row>
    <row r="249" spans="1:6" x14ac:dyDescent="0.2">
      <c r="A249" s="23" t="str">
        <f>$A$81</f>
        <v>All industries</v>
      </c>
      <c r="B249" s="25">
        <f>IF(AND(C$3-B$3 &lt;&gt; 0,B81&lt;&gt;0,C81&lt;&gt;0),(EXP(LN(C81/B81)/(C$3-B$3))-1)*100,0)</f>
        <v>1.4086611058431231</v>
      </c>
      <c r="C249" s="25">
        <f t="shared" ref="C249" si="83">IF(AND(D$3-C$3 &lt;&gt; 0,C81&lt;&gt;0,D81&lt;&gt;0),(EXP(LN(D81/C81)/(D$3-C$3))-1)*100,0)</f>
        <v>-4.7643120618878765E-2</v>
      </c>
      <c r="D249" s="25">
        <f>IF(AND(E$3-D$3 &lt;&gt; 0,D81&lt;&gt;0,E81&lt;&gt;0),(EXP(LN(E81/D81)/(E$3-D$3))-1)*100,0)</f>
        <v>0.31874509394067552</v>
      </c>
      <c r="E249" s="25">
        <f>IF(AND(F$3-E$3 &lt;&gt; 0,E81&lt;&gt;0,F81&lt;&gt;0),(EXP(LN(F81/E81)/(F$3-E$3))-1)*100,0)</f>
        <v>0.27451898098460603</v>
      </c>
      <c r="F249" s="25">
        <f t="shared" si="71"/>
        <v>0.28925885184050149</v>
      </c>
    </row>
    <row r="253" spans="1:6" ht="15.75" x14ac:dyDescent="0.25">
      <c r="A253" s="18" t="str">
        <f>CONCATENATE($A$1," (Continued)")</f>
        <v>Industry Table 3  Employment by Industry (SIC 2007), 2015-2035, East Midlands (Continued)</v>
      </c>
    </row>
    <row r="255" spans="1:6" x14ac:dyDescent="0.2">
      <c r="A255" s="21"/>
      <c r="B255" s="24" t="str">
        <f>CONCATENATE(B$3,"-",C$3)</f>
        <v>2015-2019</v>
      </c>
      <c r="C255" s="24" t="str">
        <f>CONCATENATE(C$3,"-",D$3)</f>
        <v>2019-2020</v>
      </c>
      <c r="D255" s="24" t="str">
        <f>CONCATENATE(D$3,"-",E$3)</f>
        <v>2020-2025</v>
      </c>
      <c r="E255" s="24" t="str">
        <f>CONCATENATE(E$3,"-",F$3)</f>
        <v>2025-2035</v>
      </c>
      <c r="F255" s="24" t="str">
        <f>CONCATENATE(D$3,"-",F$3)</f>
        <v>2020-2035</v>
      </c>
    </row>
    <row r="256" spans="1:6" x14ac:dyDescent="0.2">
      <c r="A256" s="27" t="s">
        <v>15</v>
      </c>
    </row>
    <row r="257" spans="1:6" x14ac:dyDescent="0.2">
      <c r="A257" t="str">
        <f>$A$5</f>
        <v>Agriculture, etc</v>
      </c>
      <c r="B257" s="26">
        <f t="shared" ref="B257:E276" si="84">C5-B5</f>
        <v>0.71600000028976396</v>
      </c>
      <c r="C257" s="26">
        <f t="shared" si="84"/>
        <v>12.275999999624357</v>
      </c>
      <c r="D257" s="26">
        <f t="shared" si="84"/>
        <v>-0.44500000002821594</v>
      </c>
      <c r="E257" s="26">
        <f t="shared" si="84"/>
        <v>-1.3180000000439733</v>
      </c>
      <c r="F257" s="26">
        <f>F5-D5</f>
        <v>-1.7630000000721893</v>
      </c>
    </row>
    <row r="258" spans="1:6" x14ac:dyDescent="0.2">
      <c r="A258" t="str">
        <f>$A$6</f>
        <v>Coal, oil &amp; gas; Mining &amp; related</v>
      </c>
      <c r="B258" s="26">
        <f t="shared" si="84"/>
        <v>-1.5439999999561795</v>
      </c>
      <c r="C258" s="26">
        <f t="shared" si="84"/>
        <v>2.1000000006604402E-2</v>
      </c>
      <c r="D258" s="26">
        <f t="shared" si="84"/>
        <v>-0.74599999998810018</v>
      </c>
      <c r="E258" s="26">
        <f t="shared" si="84"/>
        <v>-0.81200000000685701</v>
      </c>
      <c r="F258" s="26">
        <f t="shared" ref="F258:F321" si="85">F6-D6</f>
        <v>-1.5579999999949572</v>
      </c>
    </row>
    <row r="259" spans="1:6" x14ac:dyDescent="0.2">
      <c r="A259" t="str">
        <f>$A$7</f>
        <v>Food products</v>
      </c>
      <c r="B259" s="26">
        <f t="shared" si="84"/>
        <v>1.9850000000228718</v>
      </c>
      <c r="C259" s="26">
        <f t="shared" si="84"/>
        <v>-1.7299999994556927</v>
      </c>
      <c r="D259" s="26">
        <f t="shared" si="84"/>
        <v>5.0330000004400972</v>
      </c>
      <c r="E259" s="26">
        <f t="shared" si="84"/>
        <v>6.0149999993844929</v>
      </c>
      <c r="F259" s="26">
        <f t="shared" si="85"/>
        <v>11.04799999982459</v>
      </c>
    </row>
    <row r="260" spans="1:6" x14ac:dyDescent="0.2">
      <c r="A260" t="str">
        <f>$A$8</f>
        <v>Beverages and tobacco</v>
      </c>
      <c r="B260" s="26">
        <f t="shared" si="84"/>
        <v>-0.63900000000434232</v>
      </c>
      <c r="C260" s="26">
        <f t="shared" si="84"/>
        <v>3.3000000000494412E-2</v>
      </c>
      <c r="D260" s="26">
        <f t="shared" si="84"/>
        <v>9.4000000003567452E-2</v>
      </c>
      <c r="E260" s="26">
        <f t="shared" si="84"/>
        <v>0.10799999999559939</v>
      </c>
      <c r="F260" s="26">
        <f t="shared" si="85"/>
        <v>0.20199999999916685</v>
      </c>
    </row>
    <row r="261" spans="1:6" x14ac:dyDescent="0.2">
      <c r="A261" t="str">
        <f>$A$9</f>
        <v>Textiles</v>
      </c>
      <c r="B261" s="26">
        <f t="shared" si="84"/>
        <v>6.2739999999843858</v>
      </c>
      <c r="C261" s="26">
        <f t="shared" si="84"/>
        <v>-0.32999999995061913</v>
      </c>
      <c r="D261" s="26">
        <f t="shared" si="84"/>
        <v>-1.3089999999223547</v>
      </c>
      <c r="E261" s="26">
        <f t="shared" si="84"/>
        <v>-1.5800000000968915</v>
      </c>
      <c r="F261" s="26">
        <f t="shared" si="85"/>
        <v>-2.8890000000192462</v>
      </c>
    </row>
    <row r="262" spans="1:6" x14ac:dyDescent="0.2">
      <c r="A262" t="str">
        <f>$A$10</f>
        <v>Wearing apparel; Leather, etc</v>
      </c>
      <c r="B262" s="26">
        <f t="shared" si="84"/>
        <v>4.4820000000485152</v>
      </c>
      <c r="C262" s="26">
        <f t="shared" si="84"/>
        <v>0.88800000002556168</v>
      </c>
      <c r="D262" s="26">
        <f t="shared" si="84"/>
        <v>-1.8430000000512141</v>
      </c>
      <c r="E262" s="26">
        <f t="shared" si="84"/>
        <v>-2.0240000000545457</v>
      </c>
      <c r="F262" s="26">
        <f t="shared" si="85"/>
        <v>-3.8670000001057598</v>
      </c>
    </row>
    <row r="263" spans="1:6" x14ac:dyDescent="0.2">
      <c r="A263" t="str">
        <f>$A$11</f>
        <v xml:space="preserve">Wood and cork </v>
      </c>
      <c r="B263" s="26">
        <f t="shared" si="84"/>
        <v>2.5130000001083737</v>
      </c>
      <c r="C263" s="26">
        <f t="shared" si="84"/>
        <v>0.99900000000149802</v>
      </c>
      <c r="D263" s="26">
        <f t="shared" si="84"/>
        <v>-0.77800000002776848</v>
      </c>
      <c r="E263" s="26">
        <f t="shared" si="84"/>
        <v>-1.0219999999804141</v>
      </c>
      <c r="F263" s="26">
        <f t="shared" si="85"/>
        <v>-1.8000000000081826</v>
      </c>
    </row>
    <row r="264" spans="1:6" x14ac:dyDescent="0.2">
      <c r="A264" t="str">
        <f>$A$12</f>
        <v>Paper, etc</v>
      </c>
      <c r="B264" s="26">
        <f t="shared" si="84"/>
        <v>-4.1999999977747393E-2</v>
      </c>
      <c r="C264" s="26">
        <f t="shared" si="84"/>
        <v>-1.2189999999590491</v>
      </c>
      <c r="D264" s="26">
        <f t="shared" si="84"/>
        <v>-0.48499999996367293</v>
      </c>
      <c r="E264" s="26">
        <f t="shared" si="84"/>
        <v>-0.71100000003286556</v>
      </c>
      <c r="F264" s="26">
        <f t="shared" si="85"/>
        <v>-1.1959999999965385</v>
      </c>
    </row>
    <row r="265" spans="1:6" x14ac:dyDescent="0.2">
      <c r="A265" t="str">
        <f>$A$13</f>
        <v>Printing and recording</v>
      </c>
      <c r="B265" s="26">
        <f t="shared" si="84"/>
        <v>-4.6900000000272737</v>
      </c>
      <c r="C265" s="26">
        <f t="shared" si="84"/>
        <v>-0.71599999997275177</v>
      </c>
      <c r="D265" s="26">
        <f t="shared" si="84"/>
        <v>-0.56199999994279182</v>
      </c>
      <c r="E265" s="26">
        <f t="shared" si="84"/>
        <v>-1.0640000000617098</v>
      </c>
      <c r="F265" s="26">
        <f t="shared" si="85"/>
        <v>-1.6260000000045016</v>
      </c>
    </row>
    <row r="266" spans="1:6" x14ac:dyDescent="0.2">
      <c r="A266" t="str">
        <f>$A$14</f>
        <v>Coke and petroleum; Chemicals, etc</v>
      </c>
      <c r="B266" s="26">
        <f t="shared" si="84"/>
        <v>0.72600000000163778</v>
      </c>
      <c r="C266" s="26">
        <f t="shared" si="84"/>
        <v>-0.3299999999980967</v>
      </c>
      <c r="D266" s="26">
        <f t="shared" si="84"/>
        <v>0.34100000008137688</v>
      </c>
      <c r="E266" s="26">
        <f t="shared" si="84"/>
        <v>9.3999999943735091E-2</v>
      </c>
      <c r="F266" s="26">
        <f t="shared" si="85"/>
        <v>0.43500000002511197</v>
      </c>
    </row>
    <row r="267" spans="1:6" x14ac:dyDescent="0.2">
      <c r="A267" t="str">
        <f>$A$15</f>
        <v>Pharmaceuticals</v>
      </c>
      <c r="B267" s="26">
        <f t="shared" si="84"/>
        <v>0.3070000000000328</v>
      </c>
      <c r="C267" s="26">
        <f t="shared" si="84"/>
        <v>3.7999999993131972E-2</v>
      </c>
      <c r="D267" s="26">
        <f t="shared" si="84"/>
        <v>-9.2999999955456936E-2</v>
      </c>
      <c r="E267" s="26">
        <f t="shared" si="84"/>
        <v>-0.36400000001964727</v>
      </c>
      <c r="F267" s="26">
        <f t="shared" si="85"/>
        <v>-0.45699999997510421</v>
      </c>
    </row>
    <row r="268" spans="1:6" x14ac:dyDescent="0.2">
      <c r="A268" t="str">
        <f>$A$16</f>
        <v>Rubber and plastic</v>
      </c>
      <c r="B268" s="26">
        <f t="shared" si="84"/>
        <v>-2.8769999998710745</v>
      </c>
      <c r="C268" s="26">
        <f t="shared" si="84"/>
        <v>1.1930000000869647</v>
      </c>
      <c r="D268" s="26">
        <f t="shared" si="84"/>
        <v>-1.6619999998965334</v>
      </c>
      <c r="E268" s="26">
        <f t="shared" si="84"/>
        <v>-2.8680000000854129</v>
      </c>
      <c r="F268" s="26">
        <f t="shared" si="85"/>
        <v>-4.5299999999819462</v>
      </c>
    </row>
    <row r="269" spans="1:6" x14ac:dyDescent="0.2">
      <c r="A269" t="str">
        <f>$A$17</f>
        <v>Other non-metallic</v>
      </c>
      <c r="B269" s="26">
        <f t="shared" si="84"/>
        <v>2.5020000001002636</v>
      </c>
      <c r="C269" s="26">
        <f t="shared" si="84"/>
        <v>7.5797146337208687E-11</v>
      </c>
      <c r="D269" s="26">
        <f t="shared" si="84"/>
        <v>-1.212999999866895</v>
      </c>
      <c r="E269" s="26">
        <f t="shared" si="84"/>
        <v>-2.1210000001075873</v>
      </c>
      <c r="F269" s="26">
        <f t="shared" si="85"/>
        <v>-3.3339999999744823</v>
      </c>
    </row>
    <row r="270" spans="1:6" x14ac:dyDescent="0.2">
      <c r="A270" t="str">
        <f>$A$18</f>
        <v>Basic metals</v>
      </c>
      <c r="B270" s="26">
        <f t="shared" si="84"/>
        <v>0.49100000004530653</v>
      </c>
      <c r="C270" s="26">
        <f t="shared" si="84"/>
        <v>-0.73199999998996201</v>
      </c>
      <c r="D270" s="26">
        <f t="shared" si="84"/>
        <v>-0.10399999997511866</v>
      </c>
      <c r="E270" s="26">
        <f t="shared" si="84"/>
        <v>-0.49100000000781785</v>
      </c>
      <c r="F270" s="26">
        <f t="shared" si="85"/>
        <v>-0.59499999998293651</v>
      </c>
    </row>
    <row r="271" spans="1:6" x14ac:dyDescent="0.2">
      <c r="A271" t="str">
        <f>$A$19</f>
        <v>Metal products</v>
      </c>
      <c r="B271" s="26">
        <f t="shared" si="84"/>
        <v>0.40100000011772607</v>
      </c>
      <c r="C271" s="26">
        <f t="shared" si="84"/>
        <v>-4.085999999922219</v>
      </c>
      <c r="D271" s="26">
        <f t="shared" si="84"/>
        <v>-0.75499999984879196</v>
      </c>
      <c r="E271" s="26">
        <f t="shared" si="84"/>
        <v>-3.4220000001012139</v>
      </c>
      <c r="F271" s="26">
        <f t="shared" si="85"/>
        <v>-4.1769999999500058</v>
      </c>
    </row>
    <row r="272" spans="1:6" x14ac:dyDescent="0.2">
      <c r="A272" t="str">
        <f>$A$20</f>
        <v>Computer, etc</v>
      </c>
      <c r="B272" s="26">
        <f t="shared" si="84"/>
        <v>-5.048000000040771</v>
      </c>
      <c r="C272" s="26">
        <f t="shared" si="84"/>
        <v>0.29100000000507187</v>
      </c>
      <c r="D272" s="26">
        <f t="shared" si="84"/>
        <v>-0.47799999994291298</v>
      </c>
      <c r="E272" s="26">
        <f t="shared" si="84"/>
        <v>-1.756000000034116</v>
      </c>
      <c r="F272" s="26">
        <f t="shared" si="85"/>
        <v>-2.233999999977029</v>
      </c>
    </row>
    <row r="273" spans="1:6" x14ac:dyDescent="0.2">
      <c r="A273" t="str">
        <f>$A$21</f>
        <v>Electrical equipment</v>
      </c>
      <c r="B273" s="26">
        <f t="shared" si="84"/>
        <v>-2.1279999999969457</v>
      </c>
      <c r="C273" s="26">
        <f t="shared" si="84"/>
        <v>-0.55399999998789884</v>
      </c>
      <c r="D273" s="26">
        <f t="shared" si="84"/>
        <v>-0.33799999997378372</v>
      </c>
      <c r="E273" s="26">
        <f t="shared" si="84"/>
        <v>-0.47500000002237908</v>
      </c>
      <c r="F273" s="26">
        <f t="shared" si="85"/>
        <v>-0.81299999999616279</v>
      </c>
    </row>
    <row r="274" spans="1:6" x14ac:dyDescent="0.2">
      <c r="A274" t="str">
        <f>$A$22</f>
        <v>Machinery n.e.c.</v>
      </c>
      <c r="B274" s="26">
        <f t="shared" si="84"/>
        <v>0.43000000002909289</v>
      </c>
      <c r="C274" s="26">
        <f t="shared" si="84"/>
        <v>-1.5959999999833343</v>
      </c>
      <c r="D274" s="26">
        <f t="shared" si="84"/>
        <v>0.24300000012721412</v>
      </c>
      <c r="E274" s="26">
        <f t="shared" si="84"/>
        <v>-2.4190000000586931</v>
      </c>
      <c r="F274" s="26">
        <f t="shared" si="85"/>
        <v>-2.175999999931479</v>
      </c>
    </row>
    <row r="275" spans="1:6" x14ac:dyDescent="0.2">
      <c r="A275" t="str">
        <f>$A$23</f>
        <v>Motor vehicles, etc</v>
      </c>
      <c r="B275" s="26">
        <f t="shared" si="84"/>
        <v>0.64200000001982716</v>
      </c>
      <c r="C275" s="26">
        <f t="shared" si="84"/>
        <v>-1.0929999999707292</v>
      </c>
      <c r="D275" s="26">
        <f t="shared" si="84"/>
        <v>0.32100000005345208</v>
      </c>
      <c r="E275" s="26">
        <f t="shared" si="84"/>
        <v>0.21199999997076269</v>
      </c>
      <c r="F275" s="26">
        <f t="shared" si="85"/>
        <v>0.53300000002421477</v>
      </c>
    </row>
    <row r="276" spans="1:6" x14ac:dyDescent="0.2">
      <c r="A276" t="str">
        <f>$A$24</f>
        <v>Other transport equipment</v>
      </c>
      <c r="B276" s="26">
        <f t="shared" si="84"/>
        <v>4.0970000000176299</v>
      </c>
      <c r="C276" s="26">
        <f t="shared" si="84"/>
        <v>-4.0000000026822136E-2</v>
      </c>
      <c r="D276" s="26">
        <f t="shared" si="84"/>
        <v>-2.1649999998282858</v>
      </c>
      <c r="E276" s="26">
        <f t="shared" si="84"/>
        <v>0.65799999991233804</v>
      </c>
      <c r="F276" s="26">
        <f t="shared" si="85"/>
        <v>-1.5069999999159478</v>
      </c>
    </row>
    <row r="277" spans="1:6" x14ac:dyDescent="0.2">
      <c r="A277" t="str">
        <f>$A$25</f>
        <v>Furniture</v>
      </c>
      <c r="B277" s="26">
        <f t="shared" ref="B277:E296" si="86">C25-B25</f>
        <v>-4.2009999999204943</v>
      </c>
      <c r="C277" s="26">
        <f t="shared" si="86"/>
        <v>0.22700000003493948</v>
      </c>
      <c r="D277" s="26">
        <f t="shared" si="86"/>
        <v>-0.79699999994868342</v>
      </c>
      <c r="E277" s="26">
        <f t="shared" si="86"/>
        <v>0.12299999997009792</v>
      </c>
      <c r="F277" s="26">
        <f t="shared" si="85"/>
        <v>-0.67399999997858551</v>
      </c>
    </row>
    <row r="278" spans="1:6" x14ac:dyDescent="0.2">
      <c r="A278" t="str">
        <f>$A$26</f>
        <v>Other manufacturing</v>
      </c>
      <c r="B278" s="26">
        <f t="shared" si="86"/>
        <v>0.1220000000153334</v>
      </c>
      <c r="C278" s="26">
        <f t="shared" si="86"/>
        <v>0.12600000001018774</v>
      </c>
      <c r="D278" s="26">
        <f t="shared" si="86"/>
        <v>-0.57699999994831863</v>
      </c>
      <c r="E278" s="26">
        <f t="shared" si="86"/>
        <v>5.0999999954112418E-2</v>
      </c>
      <c r="F278" s="26">
        <f t="shared" si="85"/>
        <v>-0.52599999999420621</v>
      </c>
    </row>
    <row r="279" spans="1:6" x14ac:dyDescent="0.2">
      <c r="A279" t="str">
        <f>$A$27</f>
        <v>Repair and installation</v>
      </c>
      <c r="B279" s="26">
        <f t="shared" si="86"/>
        <v>-0.18900000000723338</v>
      </c>
      <c r="C279" s="26">
        <f t="shared" si="86"/>
        <v>1.3509999999989279</v>
      </c>
      <c r="D279" s="26">
        <f t="shared" si="86"/>
        <v>-1.0229999999356743</v>
      </c>
      <c r="E279" s="26">
        <f t="shared" si="86"/>
        <v>0.47699999995433195</v>
      </c>
      <c r="F279" s="26">
        <f t="shared" si="85"/>
        <v>-0.5459999999813423</v>
      </c>
    </row>
    <row r="280" spans="1:6" x14ac:dyDescent="0.2">
      <c r="A280" t="str">
        <f>$A$28</f>
        <v>Electricity, gas, etc</v>
      </c>
      <c r="B280" s="26">
        <f t="shared" si="86"/>
        <v>-0.54700000016823935</v>
      </c>
      <c r="C280" s="26">
        <f t="shared" si="86"/>
        <v>-2.4049999999678846</v>
      </c>
      <c r="D280" s="26">
        <f t="shared" si="86"/>
        <v>-0.22999999988467934</v>
      </c>
      <c r="E280" s="26">
        <f t="shared" si="86"/>
        <v>0.25999999981921462</v>
      </c>
      <c r="F280" s="26">
        <f t="shared" si="85"/>
        <v>2.9999999934535282E-2</v>
      </c>
    </row>
    <row r="281" spans="1:6" x14ac:dyDescent="0.2">
      <c r="A281" t="str">
        <f>$A$29</f>
        <v>Water</v>
      </c>
      <c r="B281" s="26">
        <f t="shared" si="86"/>
        <v>0.69099999999417605</v>
      </c>
      <c r="C281" s="26">
        <f t="shared" si="86"/>
        <v>-0.1770000000061156</v>
      </c>
      <c r="D281" s="26">
        <f t="shared" si="86"/>
        <v>9.200000002251052E-2</v>
      </c>
      <c r="E281" s="26">
        <f t="shared" si="86"/>
        <v>0.12799999997522926</v>
      </c>
      <c r="F281" s="26">
        <f t="shared" si="85"/>
        <v>0.21999999999773978</v>
      </c>
    </row>
    <row r="282" spans="1:6" x14ac:dyDescent="0.2">
      <c r="A282" t="str">
        <f>$A$30</f>
        <v>Sewerage</v>
      </c>
      <c r="B282" s="26">
        <f t="shared" si="86"/>
        <v>0.12200000001242861</v>
      </c>
      <c r="C282" s="26">
        <f t="shared" si="86"/>
        <v>-7.8999999996364645E-2</v>
      </c>
      <c r="D282" s="26">
        <f t="shared" si="86"/>
        <v>3.9000000005976254E-2</v>
      </c>
      <c r="E282" s="26">
        <f t="shared" si="86"/>
        <v>4.999999999883209E-2</v>
      </c>
      <c r="F282" s="26">
        <f t="shared" si="85"/>
        <v>8.9000000004808344E-2</v>
      </c>
    </row>
    <row r="283" spans="1:6" x14ac:dyDescent="0.2">
      <c r="A283" t="str">
        <f>$A$31</f>
        <v>Waste management</v>
      </c>
      <c r="B283" s="26">
        <f t="shared" si="86"/>
        <v>0.60100000010957544</v>
      </c>
      <c r="C283" s="26">
        <f t="shared" si="86"/>
        <v>-0.73199999997596166</v>
      </c>
      <c r="D283" s="26">
        <f t="shared" si="86"/>
        <v>0.40200000008633197</v>
      </c>
      <c r="E283" s="26">
        <f t="shared" si="86"/>
        <v>0.58899999995693442</v>
      </c>
      <c r="F283" s="26">
        <f t="shared" si="85"/>
        <v>0.99100000004326638</v>
      </c>
    </row>
    <row r="284" spans="1:6" x14ac:dyDescent="0.2">
      <c r="A284" t="str">
        <f>$A$32</f>
        <v>Construction</v>
      </c>
      <c r="B284" s="26">
        <f t="shared" si="86"/>
        <v>5.8620000008864253</v>
      </c>
      <c r="C284" s="26">
        <f t="shared" si="86"/>
        <v>-0.84900000046719271</v>
      </c>
      <c r="D284" s="26">
        <f t="shared" si="86"/>
        <v>0.84799999950498517</v>
      </c>
      <c r="E284" s="26">
        <f t="shared" si="86"/>
        <v>1.8230000001852886</v>
      </c>
      <c r="F284" s="26">
        <f t="shared" si="85"/>
        <v>2.6709999996902738</v>
      </c>
    </row>
    <row r="285" spans="1:6" x14ac:dyDescent="0.2">
      <c r="A285" t="str">
        <f>$A$33</f>
        <v>Civil engineering</v>
      </c>
      <c r="B285" s="26">
        <f t="shared" si="86"/>
        <v>-5.8109999993267785</v>
      </c>
      <c r="C285" s="26">
        <f t="shared" si="86"/>
        <v>-0.8740000002554531</v>
      </c>
      <c r="D285" s="26">
        <f t="shared" si="86"/>
        <v>0.38699999967309751</v>
      </c>
      <c r="E285" s="26">
        <f t="shared" si="86"/>
        <v>0.76900000015576353</v>
      </c>
      <c r="F285" s="26">
        <f t="shared" si="85"/>
        <v>1.155999999828861</v>
      </c>
    </row>
    <row r="286" spans="1:6" x14ac:dyDescent="0.2">
      <c r="A286" t="str">
        <f>$A$34</f>
        <v>Specialised construction</v>
      </c>
      <c r="B286" s="26">
        <f t="shared" si="86"/>
        <v>7.4670000026350749</v>
      </c>
      <c r="C286" s="26">
        <f t="shared" si="86"/>
        <v>-4.0200000012885369</v>
      </c>
      <c r="D286" s="26">
        <f t="shared" si="86"/>
        <v>2.1289999983429055</v>
      </c>
      <c r="E286" s="26">
        <f t="shared" si="86"/>
        <v>4.2820000006903172</v>
      </c>
      <c r="F286" s="26">
        <f t="shared" si="85"/>
        <v>6.4109999990332227</v>
      </c>
    </row>
    <row r="287" spans="1:6" x14ac:dyDescent="0.2">
      <c r="A287" t="str">
        <f>$A$35</f>
        <v>Motor vehicle trade</v>
      </c>
      <c r="B287" s="26">
        <f t="shared" si="86"/>
        <v>3.1810000003182068</v>
      </c>
      <c r="C287" s="26">
        <f t="shared" si="86"/>
        <v>-6.1129999998227902</v>
      </c>
      <c r="D287" s="26">
        <f t="shared" si="86"/>
        <v>1.9039999999476223</v>
      </c>
      <c r="E287" s="26">
        <f t="shared" si="86"/>
        <v>2.5169999999106736</v>
      </c>
      <c r="F287" s="26">
        <f t="shared" si="85"/>
        <v>4.4209999998582958</v>
      </c>
    </row>
    <row r="288" spans="1:6" x14ac:dyDescent="0.2">
      <c r="A288" t="str">
        <f>$A$36</f>
        <v>Wholesale trade</v>
      </c>
      <c r="B288" s="26">
        <f t="shared" si="86"/>
        <v>30.629999999383912</v>
      </c>
      <c r="C288" s="26">
        <f t="shared" si="86"/>
        <v>-6.1409999984000052</v>
      </c>
      <c r="D288" s="26">
        <f t="shared" si="86"/>
        <v>2.9220000006300921</v>
      </c>
      <c r="E288" s="26">
        <f t="shared" si="86"/>
        <v>2.1119999982858957</v>
      </c>
      <c r="F288" s="26">
        <f t="shared" si="85"/>
        <v>5.0339999989159878</v>
      </c>
    </row>
    <row r="289" spans="1:6" x14ac:dyDescent="0.2">
      <c r="A289" t="str">
        <f>$A$37</f>
        <v>Retail trade</v>
      </c>
      <c r="B289" s="26">
        <f t="shared" si="86"/>
        <v>-10.286000004533491</v>
      </c>
      <c r="C289" s="26">
        <f t="shared" si="86"/>
        <v>-9.1799999961326932</v>
      </c>
      <c r="D289" s="26">
        <f t="shared" si="86"/>
        <v>2.1700000006817959</v>
      </c>
      <c r="E289" s="26">
        <f t="shared" si="86"/>
        <v>3.9109999931916946</v>
      </c>
      <c r="F289" s="26">
        <f t="shared" si="85"/>
        <v>6.0809999938734904</v>
      </c>
    </row>
    <row r="290" spans="1:6" x14ac:dyDescent="0.2">
      <c r="A290" t="str">
        <f>$A$38</f>
        <v>Land transport, etc</v>
      </c>
      <c r="B290" s="26">
        <f t="shared" si="86"/>
        <v>8.5309999997231429</v>
      </c>
      <c r="C290" s="26">
        <f t="shared" si="86"/>
        <v>10.678000001861584</v>
      </c>
      <c r="D290" s="26">
        <f t="shared" si="86"/>
        <v>-0.81399999910836129</v>
      </c>
      <c r="E290" s="26">
        <f t="shared" si="86"/>
        <v>-1.8550000005192544</v>
      </c>
      <c r="F290" s="26">
        <f t="shared" si="85"/>
        <v>-2.6689999996276157</v>
      </c>
    </row>
    <row r="291" spans="1:6" x14ac:dyDescent="0.2">
      <c r="A291" t="str">
        <f>$A$39</f>
        <v>Water transport</v>
      </c>
      <c r="B291" s="26">
        <f t="shared" si="86"/>
        <v>-6.0000000000703154E-3</v>
      </c>
      <c r="C291" s="26">
        <f t="shared" si="86"/>
        <v>4.000000000157088E-3</v>
      </c>
      <c r="D291" s="26">
        <f t="shared" si="86"/>
        <v>-5.0000000000635075E-3</v>
      </c>
      <c r="E291" s="26">
        <f t="shared" si="86"/>
        <v>-9.927822453015267E-14</v>
      </c>
      <c r="F291" s="26">
        <f t="shared" si="85"/>
        <v>-5.0000000001627857E-3</v>
      </c>
    </row>
    <row r="292" spans="1:6" x14ac:dyDescent="0.2">
      <c r="A292" t="str">
        <f>$A$40</f>
        <v>Air transport</v>
      </c>
      <c r="B292" s="26">
        <f t="shared" si="86"/>
        <v>-0.36900000000782107</v>
      </c>
      <c r="C292" s="26">
        <f t="shared" si="86"/>
        <v>-6.7999999989928783E-2</v>
      </c>
      <c r="D292" s="26">
        <f t="shared" si="86"/>
        <v>0.33600000000974073</v>
      </c>
      <c r="E292" s="26">
        <f t="shared" si="86"/>
        <v>5.7999999981290795E-2</v>
      </c>
      <c r="F292" s="26">
        <f t="shared" si="85"/>
        <v>0.39399999999103152</v>
      </c>
    </row>
    <row r="293" spans="1:6" x14ac:dyDescent="0.2">
      <c r="A293" t="str">
        <f>$A$41</f>
        <v>Warehousing, etc</v>
      </c>
      <c r="B293" s="26">
        <f t="shared" si="86"/>
        <v>9.0650000003254547</v>
      </c>
      <c r="C293" s="26">
        <f t="shared" si="86"/>
        <v>7.381000000391019</v>
      </c>
      <c r="D293" s="26">
        <f t="shared" si="86"/>
        <v>3.5390000002744415</v>
      </c>
      <c r="E293" s="26">
        <f t="shared" si="86"/>
        <v>1.9549999996903011</v>
      </c>
      <c r="F293" s="26">
        <f t="shared" si="85"/>
        <v>5.4939999999647426</v>
      </c>
    </row>
    <row r="294" spans="1:6" x14ac:dyDescent="0.2">
      <c r="A294" t="str">
        <f>$A$42</f>
        <v>Postal and courier</v>
      </c>
      <c r="B294" s="26">
        <f t="shared" si="86"/>
        <v>4.0929999999011812</v>
      </c>
      <c r="C294" s="26">
        <f t="shared" si="86"/>
        <v>5.1080000004350978</v>
      </c>
      <c r="D294" s="26">
        <f t="shared" si="86"/>
        <v>2.3860000001476678</v>
      </c>
      <c r="E294" s="26">
        <f t="shared" si="86"/>
        <v>1.8879999995339389</v>
      </c>
      <c r="F294" s="26">
        <f t="shared" si="85"/>
        <v>4.2739999996816067</v>
      </c>
    </row>
    <row r="295" spans="1:6" x14ac:dyDescent="0.2">
      <c r="A295" t="str">
        <f>$A$43</f>
        <v>Accommodation</v>
      </c>
      <c r="B295" s="26">
        <f t="shared" si="86"/>
        <v>1.3059999995778959</v>
      </c>
      <c r="C295" s="26">
        <f t="shared" si="86"/>
        <v>-0.78299999952942656</v>
      </c>
      <c r="D295" s="26">
        <f t="shared" si="86"/>
        <v>4.5750000000895028</v>
      </c>
      <c r="E295" s="26">
        <f t="shared" si="86"/>
        <v>3.2489999991652638</v>
      </c>
      <c r="F295" s="26">
        <f t="shared" si="85"/>
        <v>7.8239999992547666</v>
      </c>
    </row>
    <row r="296" spans="1:6" x14ac:dyDescent="0.2">
      <c r="A296" t="str">
        <f>$A$44</f>
        <v>Food and beverage services</v>
      </c>
      <c r="B296" s="26">
        <f t="shared" si="86"/>
        <v>12.044999998753667</v>
      </c>
      <c r="C296" s="26">
        <f t="shared" si="86"/>
        <v>-1.475999998431746</v>
      </c>
      <c r="D296" s="26">
        <f t="shared" si="86"/>
        <v>-5.5540000000665373</v>
      </c>
      <c r="E296" s="26">
        <f t="shared" si="86"/>
        <v>6.7719999975960548</v>
      </c>
      <c r="F296" s="26">
        <f t="shared" si="85"/>
        <v>1.2179999975295175</v>
      </c>
    </row>
    <row r="297" spans="1:6" x14ac:dyDescent="0.2">
      <c r="A297" t="str">
        <f>$A$45</f>
        <v>Publishing activities</v>
      </c>
      <c r="B297" s="26">
        <f t="shared" ref="B297:E297" si="87">C45-B45</f>
        <v>2.3719999999932222</v>
      </c>
      <c r="C297" s="26">
        <f t="shared" si="87"/>
        <v>-2.3410000000845121</v>
      </c>
      <c r="D297" s="26">
        <f t="shared" si="87"/>
        <v>-9.9999999910752813E-2</v>
      </c>
      <c r="E297" s="26">
        <f t="shared" si="87"/>
        <v>6.8999999954292512E-2</v>
      </c>
      <c r="F297" s="26">
        <f t="shared" si="85"/>
        <v>-3.09999999564603E-2</v>
      </c>
    </row>
    <row r="298" spans="1:6" x14ac:dyDescent="0.2">
      <c r="A298" t="str">
        <f>$A$46</f>
        <v>Film and music</v>
      </c>
      <c r="B298" s="26">
        <f t="shared" ref="B298:C322" si="88">C46-B46</f>
        <v>0.23899999999007138</v>
      </c>
      <c r="C298" s="26">
        <f t="shared" si="88"/>
        <v>-0.29599999999937499</v>
      </c>
      <c r="D298" s="26">
        <f t="shared" ref="D298:E298" si="89">E46-D46</f>
        <v>-2.1999999984749774E-2</v>
      </c>
      <c r="E298" s="26">
        <f t="shared" si="89"/>
        <v>6.4999999980156264E-2</v>
      </c>
      <c r="F298" s="26">
        <f t="shared" si="85"/>
        <v>4.299999999540649E-2</v>
      </c>
    </row>
    <row r="299" spans="1:6" x14ac:dyDescent="0.2">
      <c r="A299" t="str">
        <f>$A$47</f>
        <v>Broadcasting</v>
      </c>
      <c r="B299" s="26">
        <f t="shared" si="88"/>
        <v>0.78000000000741765</v>
      </c>
      <c r="C299" s="26">
        <f t="shared" si="88"/>
        <v>-0.34900000002567644</v>
      </c>
      <c r="D299" s="26">
        <f t="shared" ref="D299:E299" si="90">E47-D47</f>
        <v>-2.3999999978326692E-2</v>
      </c>
      <c r="E299" s="26">
        <f t="shared" si="90"/>
        <v>1.9999999961275439E-3</v>
      </c>
      <c r="F299" s="26">
        <f t="shared" si="85"/>
        <v>-2.1999999982199148E-2</v>
      </c>
    </row>
    <row r="300" spans="1:6" x14ac:dyDescent="0.2">
      <c r="A300" t="str">
        <f>$A$48</f>
        <v>Telecommunications</v>
      </c>
      <c r="B300" s="26">
        <f t="shared" si="88"/>
        <v>0.59499999989422214</v>
      </c>
      <c r="C300" s="26">
        <f t="shared" si="88"/>
        <v>-0.92500000006063132</v>
      </c>
      <c r="D300" s="26">
        <f t="shared" ref="D300:E300" si="91">E48-D48</f>
        <v>0.57500000010946906</v>
      </c>
      <c r="E300" s="26">
        <f t="shared" si="91"/>
        <v>0.57599999990324591</v>
      </c>
      <c r="F300" s="26">
        <f t="shared" si="85"/>
        <v>1.151000000012715</v>
      </c>
    </row>
    <row r="301" spans="1:6" x14ac:dyDescent="0.2">
      <c r="A301" t="str">
        <f>$A$49</f>
        <v>Computing services</v>
      </c>
      <c r="B301" s="26">
        <f t="shared" si="88"/>
        <v>4.9849999995746295</v>
      </c>
      <c r="C301" s="26">
        <f t="shared" si="88"/>
        <v>-3.4000000003947619</v>
      </c>
      <c r="D301" s="26">
        <f t="shared" ref="D301:E301" si="92">E49-D49</f>
        <v>2.5180000005563485</v>
      </c>
      <c r="E301" s="26">
        <f t="shared" si="92"/>
        <v>2.5939999996658898</v>
      </c>
      <c r="F301" s="26">
        <f t="shared" si="85"/>
        <v>5.1120000002222383</v>
      </c>
    </row>
    <row r="302" spans="1:6" x14ac:dyDescent="0.2">
      <c r="A302" t="str">
        <f>$A$50</f>
        <v>Information services</v>
      </c>
      <c r="B302" s="26">
        <f t="shared" si="88"/>
        <v>1.0409999999226383</v>
      </c>
      <c r="C302" s="26">
        <f t="shared" si="88"/>
        <v>-0.57400000003799345</v>
      </c>
      <c r="D302" s="26">
        <f t="shared" ref="D302:E302" si="93">E50-D50</f>
        <v>0.4360000000561044</v>
      </c>
      <c r="E302" s="26">
        <f t="shared" si="93"/>
        <v>0.42499999995091375</v>
      </c>
      <c r="F302" s="26">
        <f t="shared" si="85"/>
        <v>0.86100000000701815</v>
      </c>
    </row>
    <row r="303" spans="1:6" x14ac:dyDescent="0.2">
      <c r="A303" t="str">
        <f>$A$51</f>
        <v>Financial services</v>
      </c>
      <c r="B303" s="26">
        <f t="shared" si="88"/>
        <v>-4.3420000001342558</v>
      </c>
      <c r="C303" s="26">
        <f t="shared" si="88"/>
        <v>1.7929999998386812</v>
      </c>
      <c r="D303" s="26">
        <f t="shared" ref="D303:E303" si="94">E51-D51</f>
        <v>-0.44899999950861513</v>
      </c>
      <c r="E303" s="26">
        <f t="shared" si="94"/>
        <v>-1.2760000002608685</v>
      </c>
      <c r="F303" s="26">
        <f t="shared" si="85"/>
        <v>-1.7249999997694836</v>
      </c>
    </row>
    <row r="304" spans="1:6" x14ac:dyDescent="0.2">
      <c r="A304" t="str">
        <f>$A$52</f>
        <v>Insurance and pensions</v>
      </c>
      <c r="B304" s="26">
        <f t="shared" si="88"/>
        <v>1.7939999999896319</v>
      </c>
      <c r="C304" s="26">
        <f t="shared" si="88"/>
        <v>0.38399999996323952</v>
      </c>
      <c r="D304" s="26">
        <f t="shared" ref="D304:E304" si="95">E52-D52</f>
        <v>-9.3999999882332652E-2</v>
      </c>
      <c r="E304" s="26">
        <f t="shared" si="95"/>
        <v>-0.27900000005767955</v>
      </c>
      <c r="F304" s="26">
        <f t="shared" si="85"/>
        <v>-0.37299999994001221</v>
      </c>
    </row>
    <row r="305" spans="1:6" x14ac:dyDescent="0.2">
      <c r="A305" t="str">
        <f>$A$53</f>
        <v>Auxiliary financial services</v>
      </c>
      <c r="B305" s="26">
        <f t="shared" si="88"/>
        <v>0.57999999984718542</v>
      </c>
      <c r="C305" s="26">
        <f t="shared" si="88"/>
        <v>2.7869999998321333</v>
      </c>
      <c r="D305" s="26">
        <f t="shared" ref="D305:E305" si="96">E53-D53</f>
        <v>-8.7999999556611641E-2</v>
      </c>
      <c r="E305" s="26">
        <f t="shared" si="96"/>
        <v>-1.0850000001996065</v>
      </c>
      <c r="F305" s="26">
        <f t="shared" si="85"/>
        <v>-1.1729999997562182</v>
      </c>
    </row>
    <row r="306" spans="1:6" x14ac:dyDescent="0.2">
      <c r="A306" t="str">
        <f>$A$54</f>
        <v>Real estate</v>
      </c>
      <c r="B306" s="26">
        <f t="shared" si="88"/>
        <v>9.8299999999198739</v>
      </c>
      <c r="C306" s="26">
        <f t="shared" si="88"/>
        <v>1.7829999998331303</v>
      </c>
      <c r="D306" s="26">
        <f t="shared" ref="D306:E306" si="97">E54-D54</f>
        <v>-1.9049999994812268</v>
      </c>
      <c r="E306" s="26">
        <f t="shared" si="97"/>
        <v>3.4299999996592234</v>
      </c>
      <c r="F306" s="26">
        <f t="shared" si="85"/>
        <v>1.5250000001779966</v>
      </c>
    </row>
    <row r="307" spans="1:6" x14ac:dyDescent="0.2">
      <c r="A307" t="str">
        <f>$A$55</f>
        <v>Legal and accounting</v>
      </c>
      <c r="B307" s="26">
        <f t="shared" si="88"/>
        <v>8.0830000000871287</v>
      </c>
      <c r="C307" s="26">
        <f t="shared" si="88"/>
        <v>3.2879999991315643</v>
      </c>
      <c r="D307" s="26">
        <f t="shared" ref="D307:E307" si="98">E55-D55</f>
        <v>2.0400000015985</v>
      </c>
      <c r="E307" s="26">
        <f t="shared" si="98"/>
        <v>2.2209999995337171</v>
      </c>
      <c r="F307" s="26">
        <f t="shared" si="85"/>
        <v>4.2610000011322171</v>
      </c>
    </row>
    <row r="308" spans="1:6" x14ac:dyDescent="0.2">
      <c r="A308" t="str">
        <f>$A$56</f>
        <v>Head offices, etc</v>
      </c>
      <c r="B308" s="26">
        <f t="shared" si="88"/>
        <v>10.797999999954023</v>
      </c>
      <c r="C308" s="26">
        <f t="shared" si="88"/>
        <v>5.9259999987858052</v>
      </c>
      <c r="D308" s="26">
        <f t="shared" ref="D308:E308" si="99">E56-D56</f>
        <v>0.53800000197564657</v>
      </c>
      <c r="E308" s="26">
        <f t="shared" si="99"/>
        <v>0.8199999994649545</v>
      </c>
      <c r="F308" s="26">
        <f t="shared" si="85"/>
        <v>1.3580000014406011</v>
      </c>
    </row>
    <row r="309" spans="1:6" x14ac:dyDescent="0.2">
      <c r="A309" t="str">
        <f>$A$57</f>
        <v>Architectural and related</v>
      </c>
      <c r="B309" s="26">
        <f t="shared" si="88"/>
        <v>6.6189999994648971</v>
      </c>
      <c r="C309" s="26">
        <f t="shared" si="88"/>
        <v>2.8699999993146434</v>
      </c>
      <c r="D309" s="26">
        <f t="shared" ref="D309:E309" si="100">E57-D57</f>
        <v>-0.45499999879862685</v>
      </c>
      <c r="E309" s="26">
        <f t="shared" si="100"/>
        <v>1.9299999995869968</v>
      </c>
      <c r="F309" s="26">
        <f t="shared" si="85"/>
        <v>1.4750000007883699</v>
      </c>
    </row>
    <row r="310" spans="1:6" x14ac:dyDescent="0.2">
      <c r="A310" t="str">
        <f>$A$58</f>
        <v>Scientific research and development</v>
      </c>
      <c r="B310" s="26">
        <f t="shared" si="88"/>
        <v>2.6779999998831467</v>
      </c>
      <c r="C310" s="26">
        <f t="shared" si="88"/>
        <v>0.34799999983218122</v>
      </c>
      <c r="D310" s="26">
        <f t="shared" ref="D310:E310" si="101">E58-D58</f>
        <v>0.76800000018870485</v>
      </c>
      <c r="E310" s="26">
        <f t="shared" si="101"/>
        <v>1.0289999999898871</v>
      </c>
      <c r="F310" s="26">
        <f t="shared" si="85"/>
        <v>1.797000000178592</v>
      </c>
    </row>
    <row r="311" spans="1:6" x14ac:dyDescent="0.2">
      <c r="A311" t="str">
        <f>$A$59</f>
        <v>Advertising, etc</v>
      </c>
      <c r="B311" s="26">
        <f t="shared" si="88"/>
        <v>-2.6410000000128653</v>
      </c>
      <c r="C311" s="26">
        <f t="shared" si="88"/>
        <v>0.50099999989359922</v>
      </c>
      <c r="D311" s="26">
        <f t="shared" ref="D311:E311" si="102">E59-D59</f>
        <v>0.4160000001795785</v>
      </c>
      <c r="E311" s="26">
        <f t="shared" si="102"/>
        <v>0.55499999996119875</v>
      </c>
      <c r="F311" s="26">
        <f t="shared" si="85"/>
        <v>0.97100000014077725</v>
      </c>
    </row>
    <row r="312" spans="1:6" x14ac:dyDescent="0.2">
      <c r="A312" t="str">
        <f>$A$60</f>
        <v>Other professional</v>
      </c>
      <c r="B312" s="26">
        <f t="shared" si="88"/>
        <v>3.2119999999161095</v>
      </c>
      <c r="C312" s="26">
        <f t="shared" si="88"/>
        <v>2.9129999994770088</v>
      </c>
      <c r="D312" s="26">
        <f t="shared" ref="D312:E312" si="103">E60-D60</f>
        <v>2.7000000009475791</v>
      </c>
      <c r="E312" s="26">
        <f t="shared" si="103"/>
        <v>3.5849999997450794</v>
      </c>
      <c r="F312" s="26">
        <f t="shared" si="85"/>
        <v>6.2850000006926585</v>
      </c>
    </row>
    <row r="313" spans="1:6" x14ac:dyDescent="0.2">
      <c r="A313" t="str">
        <f>$A$61</f>
        <v>Veterinary</v>
      </c>
      <c r="B313" s="26">
        <f t="shared" si="88"/>
        <v>3.8319999998987289</v>
      </c>
      <c r="C313" s="26">
        <f t="shared" si="88"/>
        <v>1.2390000002788017</v>
      </c>
      <c r="D313" s="26">
        <f t="shared" ref="D313:E313" si="104">E61-D61</f>
        <v>0.91699999989578806</v>
      </c>
      <c r="E313" s="26">
        <f t="shared" si="104"/>
        <v>1.3260000000262604</v>
      </c>
      <c r="F313" s="26">
        <f t="shared" si="85"/>
        <v>2.2429999999220485</v>
      </c>
    </row>
    <row r="314" spans="1:6" x14ac:dyDescent="0.2">
      <c r="A314" t="str">
        <f>$A$62</f>
        <v>Rental and leasing</v>
      </c>
      <c r="B314" s="26">
        <f t="shared" si="88"/>
        <v>5.7639999999796316</v>
      </c>
      <c r="C314" s="26">
        <f t="shared" si="88"/>
        <v>-0.24299999999541555</v>
      </c>
      <c r="D314" s="26">
        <f t="shared" ref="D314:E314" si="105">E62-D62</f>
        <v>1.0340000001135934</v>
      </c>
      <c r="E314" s="26">
        <f t="shared" si="105"/>
        <v>1.1119999998920953</v>
      </c>
      <c r="F314" s="26">
        <f t="shared" si="85"/>
        <v>2.1460000000056887</v>
      </c>
    </row>
    <row r="315" spans="1:6" x14ac:dyDescent="0.2">
      <c r="A315" t="str">
        <f>$A$63</f>
        <v>Employment activities</v>
      </c>
      <c r="B315" s="26">
        <f t="shared" si="88"/>
        <v>-24.474000000155826</v>
      </c>
      <c r="C315" s="26">
        <f t="shared" si="88"/>
        <v>0.85200000029657019</v>
      </c>
      <c r="D315" s="26">
        <f t="shared" ref="D315:E315" si="106">E63-D63</f>
        <v>5.7870000003716484</v>
      </c>
      <c r="E315" s="26">
        <f t="shared" si="106"/>
        <v>6.1969999993984288</v>
      </c>
      <c r="F315" s="26">
        <f t="shared" si="85"/>
        <v>11.983999999770077</v>
      </c>
    </row>
    <row r="316" spans="1:6" x14ac:dyDescent="0.2">
      <c r="A316" t="str">
        <f>$A$64</f>
        <v>Travel, etc</v>
      </c>
      <c r="B316" s="26">
        <f t="shared" si="88"/>
        <v>-2.6469999999933087</v>
      </c>
      <c r="C316" s="26">
        <f t="shared" si="88"/>
        <v>6.5000000003252012E-2</v>
      </c>
      <c r="D316" s="26">
        <f t="shared" ref="D316:E316" si="107">E64-D64</f>
        <v>0.223000000027338</v>
      </c>
      <c r="E316" s="26">
        <f t="shared" si="107"/>
        <v>0.23799999996516963</v>
      </c>
      <c r="F316" s="26">
        <f t="shared" si="85"/>
        <v>0.46099999999250763</v>
      </c>
    </row>
    <row r="317" spans="1:6" x14ac:dyDescent="0.2">
      <c r="A317" t="str">
        <f>$A$65</f>
        <v>Security, etc</v>
      </c>
      <c r="B317" s="26">
        <f t="shared" si="88"/>
        <v>3.1499999999421266</v>
      </c>
      <c r="C317" s="26">
        <f t="shared" si="88"/>
        <v>-3.2999999922843415E-2</v>
      </c>
      <c r="D317" s="26">
        <f t="shared" ref="D317:E317" si="108">E65-D65</f>
        <v>0.88200000004889567</v>
      </c>
      <c r="E317" s="26">
        <f t="shared" si="108"/>
        <v>0.94799999990108041</v>
      </c>
      <c r="F317" s="26">
        <f t="shared" si="85"/>
        <v>1.8299999999499761</v>
      </c>
    </row>
    <row r="318" spans="1:6" x14ac:dyDescent="0.2">
      <c r="A318" t="str">
        <f>$A$66</f>
        <v>Services to buildings</v>
      </c>
      <c r="B318" s="26">
        <f t="shared" si="88"/>
        <v>-3.7690000004191546</v>
      </c>
      <c r="C318" s="26">
        <f t="shared" si="88"/>
        <v>1.250000000311509</v>
      </c>
      <c r="D318" s="26">
        <f t="shared" ref="D318:E318" si="109">E66-D66</f>
        <v>2.5439999999765917</v>
      </c>
      <c r="E318" s="26">
        <f t="shared" si="109"/>
        <v>2.5379999997496938</v>
      </c>
      <c r="F318" s="26">
        <f t="shared" si="85"/>
        <v>5.0819999997262855</v>
      </c>
    </row>
    <row r="319" spans="1:6" x14ac:dyDescent="0.2">
      <c r="A319" t="str">
        <f>$A$67</f>
        <v>Office administrative</v>
      </c>
      <c r="B319" s="26">
        <f t="shared" si="88"/>
        <v>-8.0739999999990566</v>
      </c>
      <c r="C319" s="26">
        <f t="shared" si="88"/>
        <v>-0.51599999992922108</v>
      </c>
      <c r="D319" s="26">
        <f t="shared" ref="D319:E319" si="110">E67-D67</f>
        <v>1.8620000001033219</v>
      </c>
      <c r="E319" s="26">
        <f t="shared" si="110"/>
        <v>2.0349999998493367</v>
      </c>
      <c r="F319" s="26">
        <f t="shared" si="85"/>
        <v>3.8969999999526586</v>
      </c>
    </row>
    <row r="320" spans="1:6" x14ac:dyDescent="0.2">
      <c r="A320" t="str">
        <f>$A$68</f>
        <v>Public administration and defence</v>
      </c>
      <c r="B320" s="26">
        <f t="shared" si="88"/>
        <v>2.2530000005947954</v>
      </c>
      <c r="C320" s="26">
        <f t="shared" si="88"/>
        <v>2.304999999019671</v>
      </c>
      <c r="D320" s="26">
        <f t="shared" ref="D320:E320" si="111">E68-D68</f>
        <v>6.1800000013437568</v>
      </c>
      <c r="E320" s="26">
        <f t="shared" si="111"/>
        <v>6.3489999997689921</v>
      </c>
      <c r="F320" s="26">
        <f t="shared" si="85"/>
        <v>12.529000001112749</v>
      </c>
    </row>
    <row r="321" spans="1:6" x14ac:dyDescent="0.2">
      <c r="A321" t="str">
        <f>$A$69</f>
        <v xml:space="preserve">Education </v>
      </c>
      <c r="B321" s="26">
        <f t="shared" si="88"/>
        <v>6.5910000018712367</v>
      </c>
      <c r="C321" s="26">
        <f t="shared" si="88"/>
        <v>-1.1720000041972867</v>
      </c>
      <c r="D321" s="26">
        <f t="shared" ref="D321:E321" si="112">E69-D69</f>
        <v>-4.9250000066720645</v>
      </c>
      <c r="E321" s="26">
        <f t="shared" si="112"/>
        <v>1.4560000108213842</v>
      </c>
      <c r="F321" s="26">
        <f t="shared" si="85"/>
        <v>-3.4689999958506803</v>
      </c>
    </row>
    <row r="322" spans="1:6" x14ac:dyDescent="0.2">
      <c r="A322" t="str">
        <f>$A$70</f>
        <v>Health</v>
      </c>
      <c r="B322" s="26">
        <f t="shared" si="88"/>
        <v>5.5980000006804858</v>
      </c>
      <c r="C322" s="26">
        <f t="shared" si="88"/>
        <v>2.2169999999826473</v>
      </c>
      <c r="D322" s="26">
        <f t="shared" ref="D322:E322" si="113">E70-D70</f>
        <v>7.9959999994043471</v>
      </c>
      <c r="E322" s="26">
        <f t="shared" si="113"/>
        <v>6.9600000017685204</v>
      </c>
      <c r="F322" s="26">
        <f t="shared" ref="F322:F333" si="114">F70-D70</f>
        <v>14.956000001172868</v>
      </c>
    </row>
    <row r="323" spans="1:6" x14ac:dyDescent="0.2">
      <c r="A323" t="str">
        <f>$A$71</f>
        <v>Residential care</v>
      </c>
      <c r="B323" s="26">
        <f t="shared" ref="B323:C323" si="115">C71-B71</f>
        <v>0.92900000032575036</v>
      </c>
      <c r="C323" s="26">
        <f t="shared" si="115"/>
        <v>-4.1859999997831281</v>
      </c>
      <c r="D323" s="26">
        <f t="shared" ref="D323:D331" si="116">E71-D71</f>
        <v>5.2179999997418278</v>
      </c>
      <c r="E323" s="26">
        <f t="shared" ref="E323:E331" si="117">F71-E71</f>
        <v>5.1910000004806207</v>
      </c>
      <c r="F323" s="26">
        <f t="shared" si="114"/>
        <v>10.409000000222449</v>
      </c>
    </row>
    <row r="324" spans="1:6" x14ac:dyDescent="0.2">
      <c r="A324" t="str">
        <f>$A$72</f>
        <v>Social work</v>
      </c>
      <c r="B324" s="26">
        <f t="shared" ref="B324:C324" si="118">C72-B72</f>
        <v>6.4340000003122739</v>
      </c>
      <c r="C324" s="26">
        <f t="shared" si="118"/>
        <v>-6.7389999997306234</v>
      </c>
      <c r="D324" s="26">
        <f t="shared" si="116"/>
        <v>5.9539999995668893</v>
      </c>
      <c r="E324" s="26">
        <f t="shared" si="117"/>
        <v>5.1920000008035601</v>
      </c>
      <c r="F324" s="26">
        <f t="shared" si="114"/>
        <v>11.146000000370449</v>
      </c>
    </row>
    <row r="325" spans="1:6" x14ac:dyDescent="0.2">
      <c r="A325" t="str">
        <f>$A$73</f>
        <v>Arts and entertainment</v>
      </c>
      <c r="B325" s="26">
        <f t="shared" ref="B325:C325" si="119">C73-B73</f>
        <v>-3.7790000001787538</v>
      </c>
      <c r="C325" s="26">
        <f t="shared" si="119"/>
        <v>-0.51300000003764534</v>
      </c>
      <c r="D325" s="26">
        <f t="shared" si="116"/>
        <v>-0.96999999988494823</v>
      </c>
      <c r="E325" s="26">
        <f t="shared" si="117"/>
        <v>1.4999999966966993E-2</v>
      </c>
      <c r="F325" s="26">
        <f t="shared" si="114"/>
        <v>-0.95499999991798123</v>
      </c>
    </row>
    <row r="326" spans="1:6" x14ac:dyDescent="0.2">
      <c r="A326" t="str">
        <f>$A$74</f>
        <v>Libraries, etc</v>
      </c>
      <c r="B326" s="26">
        <f t="shared" ref="B326:C326" si="120">C74-B74</f>
        <v>0.33699999996053265</v>
      </c>
      <c r="C326" s="26">
        <f t="shared" si="120"/>
        <v>0.3049999997814421</v>
      </c>
      <c r="D326" s="26">
        <f t="shared" si="116"/>
        <v>-2.5249999996761954</v>
      </c>
      <c r="E326" s="26">
        <f t="shared" si="117"/>
        <v>0.26799999993497714</v>
      </c>
      <c r="F326" s="26">
        <f t="shared" si="114"/>
        <v>-2.2569999997412182</v>
      </c>
    </row>
    <row r="327" spans="1:6" x14ac:dyDescent="0.2">
      <c r="A327" t="str">
        <f>$A$75</f>
        <v>Gambling and betting</v>
      </c>
      <c r="B327" s="26">
        <f t="shared" ref="B327:C327" si="121">C75-B75</f>
        <v>0.72400000000808973</v>
      </c>
      <c r="C327" s="26">
        <f t="shared" si="121"/>
        <v>-0.98100000002775367</v>
      </c>
      <c r="D327" s="26">
        <f t="shared" si="116"/>
        <v>-5.9999999927302206E-2</v>
      </c>
      <c r="E327" s="26">
        <f t="shared" si="117"/>
        <v>7.5999999972590437E-2</v>
      </c>
      <c r="F327" s="26">
        <f t="shared" si="114"/>
        <v>1.6000000045288232E-2</v>
      </c>
    </row>
    <row r="328" spans="1:6" x14ac:dyDescent="0.2">
      <c r="A328" t="str">
        <f>$A$76</f>
        <v>Sport and recreation</v>
      </c>
      <c r="B328" s="26">
        <f t="shared" ref="B328:C328" si="122">C76-B76</f>
        <v>7.7849999999541879</v>
      </c>
      <c r="C328" s="26">
        <f t="shared" si="122"/>
        <v>-5.9090000000651131</v>
      </c>
      <c r="D328" s="26">
        <f t="shared" si="116"/>
        <v>-0.37699999953644436</v>
      </c>
      <c r="E328" s="26">
        <f t="shared" si="117"/>
        <v>0.45099999976094551</v>
      </c>
      <c r="F328" s="26">
        <f t="shared" si="114"/>
        <v>7.400000022450115E-2</v>
      </c>
    </row>
    <row r="329" spans="1:6" x14ac:dyDescent="0.2">
      <c r="A329" t="str">
        <f>$A$77</f>
        <v>Membership organisations</v>
      </c>
      <c r="B329" s="26">
        <f t="shared" ref="B329:C329" si="123">C77-B77</f>
        <v>-4.0969999998249165</v>
      </c>
      <c r="C329" s="26">
        <f t="shared" si="123"/>
        <v>-1.1650000005436176</v>
      </c>
      <c r="D329" s="26">
        <f t="shared" si="116"/>
        <v>-1.267999999393254</v>
      </c>
      <c r="E329" s="26">
        <f t="shared" si="117"/>
        <v>-0.44500000011833762</v>
      </c>
      <c r="F329" s="26">
        <f t="shared" si="114"/>
        <v>-1.7129999995115917</v>
      </c>
    </row>
    <row r="330" spans="1:6" x14ac:dyDescent="0.2">
      <c r="A330" t="str">
        <f>$A$78</f>
        <v>Repair of goods</v>
      </c>
      <c r="B330" s="26">
        <f t="shared" ref="B330:C330" si="124">C78-B78</f>
        <v>1.6919999999817272</v>
      </c>
      <c r="C330" s="26">
        <f t="shared" si="124"/>
        <v>1.2179999999015045</v>
      </c>
      <c r="D330" s="26">
        <f t="shared" si="116"/>
        <v>-0.19299999988836802</v>
      </c>
      <c r="E330" s="26">
        <f t="shared" si="117"/>
        <v>9.1000000096714828E-2</v>
      </c>
      <c r="F330" s="26">
        <f t="shared" si="114"/>
        <v>-0.1019999997916532</v>
      </c>
    </row>
    <row r="331" spans="1:6" x14ac:dyDescent="0.2">
      <c r="A331" t="str">
        <f>$A$79</f>
        <v>Other personal service</v>
      </c>
      <c r="B331" s="26">
        <f>C79-B79</f>
        <v>15.115999999758714</v>
      </c>
      <c r="C331" s="26">
        <f t="shared" ref="C331" si="125">D79-C79</f>
        <v>0.86099999982077691</v>
      </c>
      <c r="D331" s="26">
        <f t="shared" si="116"/>
        <v>-2.3559999997825614</v>
      </c>
      <c r="E331" s="26">
        <f t="shared" si="117"/>
        <v>-0.56400000033153219</v>
      </c>
      <c r="F331" s="26">
        <f t="shared" si="114"/>
        <v>-2.9200000001140936</v>
      </c>
    </row>
    <row r="332" spans="1:6" x14ac:dyDescent="0.2">
      <c r="B332" s="26"/>
      <c r="C332" s="26"/>
      <c r="D332" s="26"/>
      <c r="E332" s="26"/>
      <c r="F332" s="26"/>
    </row>
    <row r="333" spans="1:6" x14ac:dyDescent="0.2">
      <c r="A333" s="23" t="str">
        <f>$A$81</f>
        <v>All industries</v>
      </c>
      <c r="B333" s="28">
        <f t="shared" ref="B333" si="126">C81-B81</f>
        <v>130.89299999957802</v>
      </c>
      <c r="C333" s="28">
        <f t="shared" ref="C333" si="127">D81-C81</f>
        <v>-1.1460000004667563</v>
      </c>
      <c r="D333" s="28">
        <f>E81-D81</f>
        <v>38.562000006360904</v>
      </c>
      <c r="E333" s="28">
        <f>F81-E81</f>
        <v>67.893999994570095</v>
      </c>
      <c r="F333" s="28">
        <f t="shared" si="114"/>
        <v>106.456000000931</v>
      </c>
    </row>
  </sheetData>
  <pageMargins left="0.7" right="0.7" top="0.75" bottom="0.75" header="0.3" footer="0.3"/>
  <pageSetup paperSize="9" scale="69" orientation="portrait" r:id="rId1"/>
  <rowBreaks count="3" manualBreakCount="3">
    <brk id="81" max="5" man="1"/>
    <brk id="165" max="5" man="1"/>
    <brk id="250" max="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8" t="str">
        <f>CONCATENATE("Industry Table 4  Employment by Industry Group in Sector (SIC 2007), ",B$5,"-",F$5,", ",Info!B5)</f>
        <v>Industry Table 4  Employment by Industry Group in Sector (SIC 2007), 2015-2035, East Midlands</v>
      </c>
    </row>
    <row r="2" spans="1:12" ht="12.75" customHeight="1" x14ac:dyDescent="0.2">
      <c r="A2" s="181" t="s">
        <v>534</v>
      </c>
    </row>
    <row r="3" spans="1:12" ht="12.75" customHeight="1" x14ac:dyDescent="0.25">
      <c r="A3" s="18"/>
      <c r="L3" s="37" t="s">
        <v>19</v>
      </c>
    </row>
    <row r="4" spans="1:12" x14ac:dyDescent="0.2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2">
      <c r="A5" s="23"/>
      <c r="B5" s="41">
        <f>'Ind T1'!B5</f>
        <v>2015</v>
      </c>
      <c r="C5" s="41">
        <f>'Ind T1'!C5</f>
        <v>2019</v>
      </c>
      <c r="D5" s="41">
        <f>'Ind T1'!D5</f>
        <v>2020</v>
      </c>
      <c r="E5" s="41">
        <f>'Ind T1'!E5</f>
        <v>2025</v>
      </c>
      <c r="F5" s="41">
        <f>'Ind T1'!F5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x14ac:dyDescent="0.2">
      <c r="A7" s="29" t="str">
        <f>'Ind T1'!A7</f>
        <v>Primary sector and utilities</v>
      </c>
      <c r="B7" s="30">
        <f>'Ind T1'!B7</f>
        <v>64.021999999765654</v>
      </c>
      <c r="C7" s="30">
        <f>'Ind T1'!C7</f>
        <v>64.061000000047173</v>
      </c>
      <c r="D7" s="30">
        <f>'Ind T1'!D7</f>
        <v>72.964999999731816</v>
      </c>
      <c r="E7" s="30">
        <f>'Ind T1'!E7</f>
        <v>72.076999999945642</v>
      </c>
      <c r="F7" s="30">
        <f>'Ind T1'!F7</f>
        <v>70.973999999645002</v>
      </c>
      <c r="H7" s="30">
        <f>C7-B7</f>
        <v>3.900000028151851E-2</v>
      </c>
      <c r="I7" s="30">
        <f>D7-C7</f>
        <v>8.9039999996846433</v>
      </c>
      <c r="J7" s="30">
        <f>E7-D7</f>
        <v>-0.8879999997861745</v>
      </c>
      <c r="K7" s="30">
        <f>F7-E7</f>
        <v>-1.1030000003006393</v>
      </c>
      <c r="L7" s="30">
        <f>F7-D7</f>
        <v>-1.9910000000868138</v>
      </c>
    </row>
    <row r="8" spans="1:12" x14ac:dyDescent="0.2">
      <c r="A8" t="str">
        <f>'Ind T2'!A5</f>
        <v>Agriculture</v>
      </c>
      <c r="B8" s="31">
        <f>'Ind T2'!B5</f>
        <v>27.710999999905233</v>
      </c>
      <c r="C8" s="31">
        <f>'Ind T2'!C5</f>
        <v>28.427000000194997</v>
      </c>
      <c r="D8" s="31">
        <f>'Ind T2'!D5</f>
        <v>40.702999999819355</v>
      </c>
      <c r="E8" s="31">
        <f>'Ind T2'!E5</f>
        <v>40.257999999791139</v>
      </c>
      <c r="F8" s="31">
        <f>'Ind T2'!F5</f>
        <v>38.939999999747165</v>
      </c>
      <c r="H8" s="11">
        <f t="shared" ref="H8:H40" si="0">C8-B8</f>
        <v>0.71600000028976396</v>
      </c>
      <c r="I8" s="30">
        <f t="shared" ref="I8:I38" si="1">D8-C8</f>
        <v>12.275999999624357</v>
      </c>
      <c r="J8" s="11">
        <f t="shared" ref="J8:J38" si="2">E8-D8</f>
        <v>-0.44500000002821594</v>
      </c>
      <c r="K8" s="11">
        <f t="shared" ref="K8:K38" si="3">F8-E8</f>
        <v>-1.3180000000439733</v>
      </c>
      <c r="L8" s="30">
        <f t="shared" ref="L8:L40" si="4">F8-D8</f>
        <v>-1.7630000000721893</v>
      </c>
    </row>
    <row r="9" spans="1:12" x14ac:dyDescent="0.2">
      <c r="A9" t="str">
        <f>'Ind T2'!A6</f>
        <v>Mining and quarrying</v>
      </c>
      <c r="B9" s="31">
        <f>'Ind T2'!B6</f>
        <v>5.5839999999539556</v>
      </c>
      <c r="C9" s="31">
        <f>'Ind T2'!C6</f>
        <v>4.039999999997776</v>
      </c>
      <c r="D9" s="31">
        <f>'Ind T2'!D6</f>
        <v>4.0610000000043804</v>
      </c>
      <c r="E9" s="31">
        <f>'Ind T2'!E6</f>
        <v>3.3150000000162803</v>
      </c>
      <c r="F9" s="31">
        <f>'Ind T2'!F6</f>
        <v>2.5030000000094232</v>
      </c>
      <c r="H9" s="11">
        <f t="shared" si="0"/>
        <v>-1.5439999999561795</v>
      </c>
      <c r="I9" s="30">
        <f t="shared" si="1"/>
        <v>2.1000000006604402E-2</v>
      </c>
      <c r="J9" s="11">
        <f t="shared" si="2"/>
        <v>-0.74599999998810018</v>
      </c>
      <c r="K9" s="11">
        <f t="shared" si="3"/>
        <v>-0.81200000000685701</v>
      </c>
      <c r="L9" s="30">
        <f t="shared" si="4"/>
        <v>-1.5579999999949572</v>
      </c>
    </row>
    <row r="10" spans="1:12" x14ac:dyDescent="0.2">
      <c r="A10" t="str">
        <f>'Ind T2'!A10</f>
        <v>Electricity and gas</v>
      </c>
      <c r="B10" s="31">
        <f>'Ind T2'!B10</f>
        <v>17.00700000003021</v>
      </c>
      <c r="C10" s="31">
        <f>'Ind T2'!C10</f>
        <v>16.459999999861971</v>
      </c>
      <c r="D10" s="31">
        <f>'Ind T2'!D10</f>
        <v>14.054999999894086</v>
      </c>
      <c r="E10" s="31">
        <f>'Ind T2'!E10</f>
        <v>13.825000000009407</v>
      </c>
      <c r="F10" s="31">
        <f>'Ind T2'!F10</f>
        <v>14.084999999828621</v>
      </c>
      <c r="H10" s="11">
        <f t="shared" si="0"/>
        <v>-0.54700000016823935</v>
      </c>
      <c r="I10" s="30">
        <f t="shared" si="1"/>
        <v>-2.4049999999678846</v>
      </c>
      <c r="J10" s="11">
        <f t="shared" si="2"/>
        <v>-0.22999999988467934</v>
      </c>
      <c r="K10" s="11">
        <f t="shared" si="3"/>
        <v>0.25999999981921462</v>
      </c>
      <c r="L10" s="30">
        <f t="shared" si="4"/>
        <v>2.9999999934535282E-2</v>
      </c>
    </row>
    <row r="11" spans="1:12" x14ac:dyDescent="0.2">
      <c r="A11" t="str">
        <f>'Ind T2'!A11</f>
        <v>Water and sewerage</v>
      </c>
      <c r="B11" s="31">
        <f>'Ind T2'!B11</f>
        <v>13.719999999876247</v>
      </c>
      <c r="C11" s="31">
        <f>'Ind T2'!C11</f>
        <v>15.133999999992428</v>
      </c>
      <c r="D11" s="31">
        <f>'Ind T2'!D11</f>
        <v>14.146000000013986</v>
      </c>
      <c r="E11" s="31">
        <f>'Ind T2'!E11</f>
        <v>14.679000000128806</v>
      </c>
      <c r="F11" s="31">
        <f>'Ind T2'!F11</f>
        <v>15.446000000059801</v>
      </c>
      <c r="H11" s="11">
        <f t="shared" ref="H11" si="5">C11-B11</f>
        <v>1.4140000001161805</v>
      </c>
      <c r="I11" s="30">
        <f t="shared" ref="I11" si="6">D11-C11</f>
        <v>-0.98799999997844168</v>
      </c>
      <c r="J11" s="11">
        <f t="shared" ref="J11" si="7">E11-D11</f>
        <v>0.53300000011481963</v>
      </c>
      <c r="K11" s="11">
        <f t="shared" ref="K11" si="8">F11-E11</f>
        <v>0.7669999999309951</v>
      </c>
      <c r="L11" s="30">
        <f t="shared" si="4"/>
        <v>1.3000000000458147</v>
      </c>
    </row>
    <row r="12" spans="1:12" x14ac:dyDescent="0.2">
      <c r="B12" s="31"/>
      <c r="C12" s="31"/>
      <c r="D12" s="31"/>
      <c r="E12" s="31"/>
      <c r="F12" s="31"/>
      <c r="H12" s="11"/>
      <c r="I12" s="30"/>
      <c r="J12" s="11"/>
      <c r="K12" s="11"/>
      <c r="L12" s="30"/>
    </row>
    <row r="13" spans="1:12" s="29" customFormat="1" x14ac:dyDescent="0.2">
      <c r="A13" s="29" t="str">
        <f>'Ind T1'!A8</f>
        <v>Manufacturing</v>
      </c>
      <c r="B13" s="30">
        <f>'Ind T1'!B8</f>
        <v>280.51099999879995</v>
      </c>
      <c r="C13" s="30">
        <f>'Ind T1'!C8</f>
        <v>285.66899999946503</v>
      </c>
      <c r="D13" s="30">
        <f>'Ind T1'!D8</f>
        <v>278.38900000048039</v>
      </c>
      <c r="E13" s="30">
        <f>'Ind T1'!E8</f>
        <v>270.23900000215787</v>
      </c>
      <c r="F13" s="30">
        <f>'Ind T1'!F8</f>
        <v>257.66000000058011</v>
      </c>
      <c r="H13" s="30">
        <f t="shared" si="0"/>
        <v>5.1580000006650835</v>
      </c>
      <c r="I13" s="30">
        <f t="shared" si="1"/>
        <v>-7.2799999989846356</v>
      </c>
      <c r="J13" s="30">
        <f t="shared" si="2"/>
        <v>-8.149999998322528</v>
      </c>
      <c r="K13" s="30">
        <f t="shared" si="3"/>
        <v>-12.579000001577754</v>
      </c>
      <c r="L13" s="30">
        <f t="shared" si="4"/>
        <v>-20.728999999900282</v>
      </c>
    </row>
    <row r="14" spans="1:12" x14ac:dyDescent="0.2">
      <c r="A14" t="str">
        <f>'Ind T2'!A7</f>
        <v>Food drink and tobacco</v>
      </c>
      <c r="B14" s="31">
        <f>'Ind T2'!B7</f>
        <v>57.5069999997772</v>
      </c>
      <c r="C14" s="31">
        <f>'Ind T2'!C7</f>
        <v>58.852999999795728</v>
      </c>
      <c r="D14" s="31">
        <f>'Ind T2'!D7</f>
        <v>57.156000000340534</v>
      </c>
      <c r="E14" s="31">
        <f>'Ind T2'!E7</f>
        <v>62.283000000784199</v>
      </c>
      <c r="F14" s="31">
        <f>'Ind T2'!F7</f>
        <v>68.406000000164283</v>
      </c>
      <c r="H14" s="11">
        <f t="shared" si="0"/>
        <v>1.3460000000185275</v>
      </c>
      <c r="I14" s="30">
        <f t="shared" si="1"/>
        <v>-1.6969999994551941</v>
      </c>
      <c r="J14" s="11">
        <f t="shared" si="2"/>
        <v>5.1270000004436653</v>
      </c>
      <c r="K14" s="11">
        <f t="shared" si="3"/>
        <v>6.1229999993800845</v>
      </c>
      <c r="L14" s="30">
        <f t="shared" si="4"/>
        <v>11.24999999982375</v>
      </c>
    </row>
    <row r="15" spans="1:12" x14ac:dyDescent="0.2">
      <c r="A15" t="str">
        <f>'Ind T2'!A8</f>
        <v>Engineering</v>
      </c>
      <c r="B15" s="31">
        <f>'Ind T2'!B8</f>
        <v>37.410999999920257</v>
      </c>
      <c r="C15" s="31">
        <f>'Ind T2'!C8</f>
        <v>30.664999999911633</v>
      </c>
      <c r="D15" s="31">
        <f>'Ind T2'!D8</f>
        <v>28.80599999994547</v>
      </c>
      <c r="E15" s="31">
        <f>'Ind T2'!E8</f>
        <v>28.23300000015599</v>
      </c>
      <c r="F15" s="31">
        <f>'Ind T2'!F8</f>
        <v>23.583000000040798</v>
      </c>
      <c r="H15" s="11">
        <f t="shared" si="0"/>
        <v>-6.7460000000086247</v>
      </c>
      <c r="I15" s="30">
        <f t="shared" si="1"/>
        <v>-1.8589999999661622</v>
      </c>
      <c r="J15" s="11">
        <f t="shared" si="2"/>
        <v>-0.5729999997894808</v>
      </c>
      <c r="K15" s="11">
        <f t="shared" si="3"/>
        <v>-4.6500000001151918</v>
      </c>
      <c r="L15" s="30">
        <f t="shared" si="4"/>
        <v>-5.2229999999046726</v>
      </c>
    </row>
    <row r="16" spans="1:12" x14ac:dyDescent="0.2">
      <c r="A16" t="str">
        <f>'Ind T2'!A9</f>
        <v>Rest of manufacturing</v>
      </c>
      <c r="B16" s="31">
        <f>'Ind T2'!B9</f>
        <v>185.59299999910246</v>
      </c>
      <c r="C16" s="31">
        <f>'Ind T2'!C9</f>
        <v>196.15099999975763</v>
      </c>
      <c r="D16" s="31">
        <f>'Ind T2'!D9</f>
        <v>192.42700000019437</v>
      </c>
      <c r="E16" s="31">
        <f>'Ind T2'!E9</f>
        <v>179.72300000121766</v>
      </c>
      <c r="F16" s="31">
        <f>'Ind T2'!F9</f>
        <v>165.67100000037496</v>
      </c>
      <c r="H16" s="11">
        <f t="shared" si="0"/>
        <v>10.55800000065517</v>
      </c>
      <c r="I16" s="30">
        <f t="shared" si="1"/>
        <v>-3.7239999995632616</v>
      </c>
      <c r="J16" s="11">
        <f t="shared" si="2"/>
        <v>-12.703999998976713</v>
      </c>
      <c r="K16" s="11">
        <f t="shared" si="3"/>
        <v>-14.052000000842696</v>
      </c>
      <c r="L16" s="30">
        <f t="shared" si="4"/>
        <v>-26.755999999819409</v>
      </c>
    </row>
    <row r="17" spans="1:12" x14ac:dyDescent="0.2">
      <c r="B17" s="31"/>
      <c r="C17" s="31"/>
      <c r="D17" s="31"/>
      <c r="E17" s="31"/>
      <c r="F17" s="31"/>
      <c r="H17" s="11"/>
      <c r="I17" s="30">
        <f t="shared" si="1"/>
        <v>0</v>
      </c>
      <c r="J17" s="11"/>
      <c r="K17" s="11"/>
      <c r="L17" s="30"/>
    </row>
    <row r="18" spans="1:12" s="29" customFormat="1" x14ac:dyDescent="0.2">
      <c r="A18" s="29" t="str">
        <f>'Ind T1'!A9</f>
        <v>Construction</v>
      </c>
      <c r="B18" s="30">
        <f>'Ind T1'!B9</f>
        <v>146.13199999695033</v>
      </c>
      <c r="C18" s="30">
        <f>'Ind T1'!C9</f>
        <v>153.65000000114503</v>
      </c>
      <c r="D18" s="30">
        <f>'Ind T1'!D9</f>
        <v>147.90699999913386</v>
      </c>
      <c r="E18" s="30">
        <f>'Ind T1'!E9</f>
        <v>151.27099999665484</v>
      </c>
      <c r="F18" s="30">
        <f>'Ind T1'!F9</f>
        <v>158.14499999768623</v>
      </c>
      <c r="H18" s="30">
        <f t="shared" si="0"/>
        <v>7.5180000041947039</v>
      </c>
      <c r="I18" s="30">
        <f t="shared" si="1"/>
        <v>-5.743000002011172</v>
      </c>
      <c r="J18" s="30">
        <f t="shared" si="2"/>
        <v>3.3639999975209776</v>
      </c>
      <c r="K18" s="30">
        <f t="shared" si="3"/>
        <v>6.8740000010313906</v>
      </c>
      <c r="L18" s="30">
        <f t="shared" si="4"/>
        <v>10.237999998552368</v>
      </c>
    </row>
    <row r="19" spans="1:12" x14ac:dyDescent="0.2">
      <c r="A19" s="29"/>
      <c r="B19" s="31"/>
      <c r="C19" s="31"/>
      <c r="D19" s="31"/>
      <c r="E19" s="31"/>
      <c r="F19" s="31"/>
      <c r="H19" s="11"/>
      <c r="I19" s="30"/>
      <c r="J19" s="11"/>
      <c r="K19" s="11"/>
      <c r="L19" s="30"/>
    </row>
    <row r="20" spans="1:12" s="29" customFormat="1" x14ac:dyDescent="0.2">
      <c r="A20" s="29" t="str">
        <f>'Ind T1'!A10</f>
        <v>Trade, accomod. and transport</v>
      </c>
      <c r="B20" s="30">
        <f>'Ind T1'!B10</f>
        <v>613.97400000690345</v>
      </c>
      <c r="C20" s="30">
        <f>'Ind T1'!C10</f>
        <v>672.1640000003456</v>
      </c>
      <c r="D20" s="30">
        <f>'Ind T1'!D10</f>
        <v>671.57400001072688</v>
      </c>
      <c r="E20" s="30">
        <f>'Ind T1'!E10</f>
        <v>683.03300001333264</v>
      </c>
      <c r="F20" s="30">
        <f>'Ind T1'!F10</f>
        <v>703.64000000016847</v>
      </c>
      <c r="H20" s="30">
        <f t="shared" si="0"/>
        <v>58.189999993442143</v>
      </c>
      <c r="I20" s="30">
        <f t="shared" si="1"/>
        <v>-0.58999998961871825</v>
      </c>
      <c r="J20" s="30">
        <f t="shared" si="2"/>
        <v>11.459000002605762</v>
      </c>
      <c r="K20" s="30">
        <f t="shared" si="3"/>
        <v>20.606999986835831</v>
      </c>
      <c r="L20" s="30">
        <f t="shared" si="4"/>
        <v>32.065999989441593</v>
      </c>
    </row>
    <row r="21" spans="1:12" x14ac:dyDescent="0.2">
      <c r="A21" s="10" t="str">
        <f>'Ind T2'!A13</f>
        <v>Wholesale and retail trade</v>
      </c>
      <c r="B21" s="31">
        <f>'Ind T2'!B13</f>
        <v>363.62400000565094</v>
      </c>
      <c r="C21" s="31">
        <f>'Ind T2'!C13</f>
        <v>387.14900000081957</v>
      </c>
      <c r="D21" s="31">
        <f>'Ind T2'!D13</f>
        <v>365.71500000646415</v>
      </c>
      <c r="E21" s="31">
        <f>'Ind T2'!E13</f>
        <v>372.71100000772367</v>
      </c>
      <c r="F21" s="31">
        <f>'Ind T2'!F13</f>
        <v>381.25099999911191</v>
      </c>
      <c r="H21" s="11">
        <f t="shared" si="0"/>
        <v>23.524999995168628</v>
      </c>
      <c r="I21" s="30">
        <f t="shared" si="1"/>
        <v>-21.433999994355418</v>
      </c>
      <c r="J21" s="11">
        <f t="shared" si="2"/>
        <v>6.9960000012595174</v>
      </c>
      <c r="K21" s="11">
        <f t="shared" si="3"/>
        <v>8.5399999913882425</v>
      </c>
      <c r="L21" s="30">
        <f t="shared" si="4"/>
        <v>15.53599999264776</v>
      </c>
    </row>
    <row r="22" spans="1:12" x14ac:dyDescent="0.2">
      <c r="A22" s="10" t="str">
        <f>'Ind T2'!A14</f>
        <v>Transport and storage</v>
      </c>
      <c r="B22" s="31">
        <f>'Ind T2'!B14</f>
        <v>117.80199999919714</v>
      </c>
      <c r="C22" s="31">
        <f>'Ind T2'!C14</f>
        <v>139.11599999913904</v>
      </c>
      <c r="D22" s="31">
        <f>'Ind T2'!D14</f>
        <v>162.21900000183695</v>
      </c>
      <c r="E22" s="31">
        <f>'Ind T2'!E14</f>
        <v>167.66100000316038</v>
      </c>
      <c r="F22" s="31">
        <f>'Ind T2'!F14</f>
        <v>169.70700000184658</v>
      </c>
      <c r="H22" s="11">
        <f t="shared" si="0"/>
        <v>21.313999999941899</v>
      </c>
      <c r="I22" s="30">
        <f t="shared" si="1"/>
        <v>23.103000002697911</v>
      </c>
      <c r="J22" s="11">
        <f t="shared" si="2"/>
        <v>5.4420000013234358</v>
      </c>
      <c r="K22" s="11">
        <f t="shared" si="3"/>
        <v>2.0459999986861988</v>
      </c>
      <c r="L22" s="30">
        <f t="shared" si="4"/>
        <v>7.4880000000096345</v>
      </c>
    </row>
    <row r="23" spans="1:12" x14ac:dyDescent="0.2">
      <c r="A23" s="10" t="str">
        <f>'Ind T2'!A15</f>
        <v>Accommodation and food</v>
      </c>
      <c r="B23" s="31">
        <f>'Ind T2'!B15</f>
        <v>132.54800000205535</v>
      </c>
      <c r="C23" s="31">
        <f>'Ind T2'!C15</f>
        <v>145.89900000038691</v>
      </c>
      <c r="D23" s="31">
        <f>'Ind T2'!D15</f>
        <v>143.64000000242572</v>
      </c>
      <c r="E23" s="31">
        <f>'Ind T2'!E15</f>
        <v>142.6610000024487</v>
      </c>
      <c r="F23" s="31">
        <f>'Ind T2'!F15</f>
        <v>152.68199999921001</v>
      </c>
      <c r="H23" s="11">
        <f t="shared" si="0"/>
        <v>13.350999998331559</v>
      </c>
      <c r="I23" s="30">
        <f t="shared" si="1"/>
        <v>-2.2589999979611832</v>
      </c>
      <c r="J23" s="11">
        <f t="shared" si="2"/>
        <v>-0.97899999997702025</v>
      </c>
      <c r="K23" s="11">
        <f t="shared" si="3"/>
        <v>10.020999996761304</v>
      </c>
      <c r="L23" s="30">
        <f t="shared" si="4"/>
        <v>9.0419999967842841</v>
      </c>
    </row>
    <row r="24" spans="1:12" x14ac:dyDescent="0.2">
      <c r="B24" s="31"/>
      <c r="C24" s="31"/>
      <c r="D24" s="31"/>
      <c r="E24" s="31"/>
      <c r="F24" s="31"/>
      <c r="H24" s="11"/>
      <c r="I24" s="30"/>
      <c r="J24" s="11"/>
      <c r="K24" s="11"/>
      <c r="L24" s="30"/>
    </row>
    <row r="25" spans="1:12" s="29" customFormat="1" x14ac:dyDescent="0.2">
      <c r="A25" s="29" t="str">
        <f>'Ind T1'!A11</f>
        <v>Business and other services</v>
      </c>
      <c r="B25" s="30">
        <f>'Ind T1'!B11</f>
        <v>616.1800000016857</v>
      </c>
      <c r="C25" s="30">
        <f>'Ind T1'!C11</f>
        <v>654.36299999889559</v>
      </c>
      <c r="D25" s="30">
        <f>'Ind T1'!D11</f>
        <v>665.500999994067</v>
      </c>
      <c r="E25" s="30">
        <f>'Ind T1'!E11</f>
        <v>677.85500000502554</v>
      </c>
      <c r="F25" s="30">
        <f>'Ind T1'!F11</f>
        <v>706.80199999996341</v>
      </c>
      <c r="H25" s="30">
        <f t="shared" si="0"/>
        <v>38.18299999720989</v>
      </c>
      <c r="I25" s="30">
        <f t="shared" si="1"/>
        <v>11.137999995171413</v>
      </c>
      <c r="J25" s="30">
        <f t="shared" si="2"/>
        <v>12.354000010958543</v>
      </c>
      <c r="K25" s="30">
        <f t="shared" si="3"/>
        <v>28.946999994937869</v>
      </c>
      <c r="L25" s="30">
        <f t="shared" si="4"/>
        <v>41.301000005896412</v>
      </c>
    </row>
    <row r="26" spans="1:12" x14ac:dyDescent="0.2">
      <c r="A26" s="10" t="str">
        <f>'Ind T2'!A16</f>
        <v>Media</v>
      </c>
      <c r="B26" s="11">
        <f>'Ind T2'!B16</f>
        <v>8.2350000000653427</v>
      </c>
      <c r="C26" s="11">
        <f>'Ind T2'!C16</f>
        <v>11.626000000056054</v>
      </c>
      <c r="D26" s="11">
        <f>'Ind T2'!D16</f>
        <v>8.6399999999464896</v>
      </c>
      <c r="E26" s="11">
        <f>'Ind T2'!E16</f>
        <v>8.4940000000726616</v>
      </c>
      <c r="F26" s="11">
        <f>'Ind T2'!F16</f>
        <v>8.6300000000032373</v>
      </c>
      <c r="H26" s="11">
        <f t="shared" si="0"/>
        <v>3.3909999999907114</v>
      </c>
      <c r="I26" s="30">
        <f t="shared" si="1"/>
        <v>-2.9860000001095646</v>
      </c>
      <c r="J26" s="11">
        <f t="shared" si="2"/>
        <v>-0.14599999987382795</v>
      </c>
      <c r="K26" s="11">
        <f t="shared" si="3"/>
        <v>0.13599999993057565</v>
      </c>
      <c r="L26" s="30">
        <f t="shared" si="4"/>
        <v>-9.9999999432522912E-3</v>
      </c>
    </row>
    <row r="27" spans="1:12" x14ac:dyDescent="0.2">
      <c r="A27" s="10" t="str">
        <f>'Ind T2'!A17</f>
        <v>Information technology</v>
      </c>
      <c r="B27" s="11">
        <f>'Ind T2'!B17</f>
        <v>44.996000000155043</v>
      </c>
      <c r="C27" s="11">
        <f>'Ind T2'!C17</f>
        <v>51.616999999546536</v>
      </c>
      <c r="D27" s="11">
        <f>'Ind T2'!D17</f>
        <v>46.717999999053148</v>
      </c>
      <c r="E27" s="11">
        <f>'Ind T2'!E17</f>
        <v>50.246999999775063</v>
      </c>
      <c r="F27" s="11">
        <f>'Ind T2'!F17</f>
        <v>53.841999999295126</v>
      </c>
      <c r="H27" s="11">
        <f t="shared" si="0"/>
        <v>6.6209999993914934</v>
      </c>
      <c r="I27" s="30">
        <f t="shared" si="1"/>
        <v>-4.8990000004933876</v>
      </c>
      <c r="J27" s="11">
        <f t="shared" si="2"/>
        <v>3.5290000007219149</v>
      </c>
      <c r="K27" s="11">
        <f t="shared" si="3"/>
        <v>3.5949999995200628</v>
      </c>
      <c r="L27" s="30">
        <f t="shared" si="4"/>
        <v>7.1240000002419777</v>
      </c>
    </row>
    <row r="28" spans="1:12" x14ac:dyDescent="0.2">
      <c r="A28" s="10" t="str">
        <f>'Ind T2'!A18</f>
        <v>Finance and insurance</v>
      </c>
      <c r="B28" s="11">
        <f>'Ind T2'!B18</f>
        <v>41.772000000069056</v>
      </c>
      <c r="C28" s="11">
        <f>'Ind T2'!C18</f>
        <v>39.803999999771619</v>
      </c>
      <c r="D28" s="11">
        <f>'Ind T2'!D18</f>
        <v>44.767999999405674</v>
      </c>
      <c r="E28" s="11">
        <f>'Ind T2'!E18</f>
        <v>44.137000000458116</v>
      </c>
      <c r="F28" s="11">
        <f>'Ind T2'!F18</f>
        <v>41.496999999939959</v>
      </c>
      <c r="H28" s="11">
        <f t="shared" si="0"/>
        <v>-1.9680000002974367</v>
      </c>
      <c r="I28" s="30">
        <f t="shared" si="1"/>
        <v>4.9639999996340549</v>
      </c>
      <c r="J28" s="11">
        <f t="shared" si="2"/>
        <v>-0.63099999894755854</v>
      </c>
      <c r="K28" s="11">
        <f t="shared" si="3"/>
        <v>-2.6400000005181568</v>
      </c>
      <c r="L28" s="30">
        <f t="shared" si="4"/>
        <v>-3.2709999994657153</v>
      </c>
    </row>
    <row r="29" spans="1:12" x14ac:dyDescent="0.2">
      <c r="A29" s="10" t="str">
        <f>'Ind T2'!A19</f>
        <v>Real estate</v>
      </c>
      <c r="B29" s="11">
        <f>'Ind T2'!B19</f>
        <v>27.166000000009245</v>
      </c>
      <c r="C29" s="11">
        <f>'Ind T2'!C19</f>
        <v>36.995999999929118</v>
      </c>
      <c r="D29" s="11">
        <f>'Ind T2'!D19</f>
        <v>38.778999999762249</v>
      </c>
      <c r="E29" s="11">
        <f>'Ind T2'!E19</f>
        <v>36.874000000281022</v>
      </c>
      <c r="F29" s="11">
        <f>'Ind T2'!F19</f>
        <v>40.303999999940245</v>
      </c>
      <c r="H29" s="11">
        <f t="shared" ref="H29:H31" si="9">C29-B29</f>
        <v>9.8299999999198739</v>
      </c>
      <c r="I29" s="30">
        <f t="shared" ref="I29:I31" si="10">D29-C29</f>
        <v>1.7829999998331303</v>
      </c>
      <c r="J29" s="11">
        <f t="shared" ref="J29:J31" si="11">E29-D29</f>
        <v>-1.9049999994812268</v>
      </c>
      <c r="K29" s="11">
        <f t="shared" ref="K29:K31" si="12">F29-E29</f>
        <v>3.4299999996592234</v>
      </c>
      <c r="L29" s="30">
        <f t="shared" si="4"/>
        <v>1.5250000001779966</v>
      </c>
    </row>
    <row r="30" spans="1:12" x14ac:dyDescent="0.2">
      <c r="A30" s="10" t="str">
        <f>'Ind T2'!A20</f>
        <v>Professional services</v>
      </c>
      <c r="B30" s="11">
        <f>'Ind T2'!B20</f>
        <v>155.69900000005234</v>
      </c>
      <c r="C30" s="11">
        <f>'Ind T2'!C20</f>
        <v>188.27999999924353</v>
      </c>
      <c r="D30" s="11">
        <f>'Ind T2'!D20</f>
        <v>205.36499999595711</v>
      </c>
      <c r="E30" s="11">
        <f>'Ind T2'!E20</f>
        <v>212.28900000194429</v>
      </c>
      <c r="F30" s="11">
        <f>'Ind T2'!F20</f>
        <v>223.75500000025241</v>
      </c>
      <c r="H30" s="11">
        <f t="shared" si="9"/>
        <v>32.580999999191192</v>
      </c>
      <c r="I30" s="30">
        <f t="shared" si="10"/>
        <v>17.084999996713577</v>
      </c>
      <c r="J30" s="11">
        <f t="shared" si="11"/>
        <v>6.9240000059871818</v>
      </c>
      <c r="K30" s="11">
        <f t="shared" si="12"/>
        <v>11.465999998308121</v>
      </c>
      <c r="L30" s="30">
        <f t="shared" si="4"/>
        <v>18.390000004295302</v>
      </c>
    </row>
    <row r="31" spans="1:12" x14ac:dyDescent="0.2">
      <c r="A31" s="10" t="str">
        <f>'Ind T2'!A21</f>
        <v>Support services</v>
      </c>
      <c r="B31" s="11">
        <f>'Ind T2'!B21</f>
        <v>224.21700000051538</v>
      </c>
      <c r="C31" s="11">
        <f>'Ind T2'!C21</f>
        <v>194.16699999986977</v>
      </c>
      <c r="D31" s="11">
        <f>'Ind T2'!D21</f>
        <v>195.54200000063364</v>
      </c>
      <c r="E31" s="11">
        <f>'Ind T2'!E21</f>
        <v>207.87400000127505</v>
      </c>
      <c r="F31" s="11">
        <f>'Ind T2'!F21</f>
        <v>220.94200000003084</v>
      </c>
      <c r="H31" s="11">
        <f t="shared" si="9"/>
        <v>-30.05000000064561</v>
      </c>
      <c r="I31" s="30">
        <f t="shared" si="10"/>
        <v>1.3750000007638619</v>
      </c>
      <c r="J31" s="11">
        <f t="shared" si="11"/>
        <v>12.332000000641415</v>
      </c>
      <c r="K31" s="11">
        <f t="shared" si="12"/>
        <v>13.067999998755795</v>
      </c>
      <c r="L31" s="30">
        <f t="shared" si="4"/>
        <v>25.39999999939721</v>
      </c>
    </row>
    <row r="32" spans="1:12" x14ac:dyDescent="0.2">
      <c r="A32" s="10" t="str">
        <f>'Ind T2'!A25</f>
        <v>Arts and entertainment</v>
      </c>
      <c r="B32" s="11">
        <f>'Ind T2'!B25</f>
        <v>58.840000000436149</v>
      </c>
      <c r="C32" s="11">
        <f>'Ind T2'!C25</f>
        <v>63.907000000180204</v>
      </c>
      <c r="D32" s="11">
        <f>'Ind T2'!D25</f>
        <v>56.808999999831144</v>
      </c>
      <c r="E32" s="11">
        <f>'Ind T2'!E25</f>
        <v>52.877000000806248</v>
      </c>
      <c r="F32" s="11">
        <f>'Ind T2'!F25</f>
        <v>53.687000000441728</v>
      </c>
      <c r="H32" s="11">
        <f t="shared" ref="H32" si="13">C32-B32</f>
        <v>5.0669999997440556</v>
      </c>
      <c r="I32" s="30">
        <f t="shared" ref="I32:I33" si="14">D32-C32</f>
        <v>-7.0980000003490602</v>
      </c>
      <c r="J32" s="11">
        <f t="shared" ref="J32:J33" si="15">E32-D32</f>
        <v>-3.9319999990248959</v>
      </c>
      <c r="K32" s="11">
        <f t="shared" ref="K32:K33" si="16">F32-E32</f>
        <v>0.80999999963547964</v>
      </c>
      <c r="L32" s="30">
        <f t="shared" si="4"/>
        <v>-3.1219999993894163</v>
      </c>
    </row>
    <row r="33" spans="1:12" x14ac:dyDescent="0.2">
      <c r="A33" s="10" t="str">
        <f>'Ind T2'!A26</f>
        <v>Other services</v>
      </c>
      <c r="B33" s="11">
        <f>'Ind T2'!B26</f>
        <v>55.255000000383248</v>
      </c>
      <c r="C33" s="11">
        <f>'Ind T2'!C26</f>
        <v>67.966000000298777</v>
      </c>
      <c r="D33" s="11">
        <f>'Ind T2'!D26</f>
        <v>68.879999999477434</v>
      </c>
      <c r="E33" s="11">
        <f>'Ind T2'!E26</f>
        <v>65.063000000413254</v>
      </c>
      <c r="F33" s="11">
        <f>'Ind T2'!F26</f>
        <v>64.145000000060094</v>
      </c>
      <c r="H33" s="11">
        <f>C33-B33</f>
        <v>12.710999999915529</v>
      </c>
      <c r="I33" s="30">
        <f t="shared" si="14"/>
        <v>0.91399999917865671</v>
      </c>
      <c r="J33" s="11">
        <f t="shared" si="15"/>
        <v>-3.8169999990641799</v>
      </c>
      <c r="K33" s="11">
        <f t="shared" si="16"/>
        <v>-0.91800000035316032</v>
      </c>
      <c r="L33" s="30">
        <f t="shared" si="4"/>
        <v>-4.7349999994173402</v>
      </c>
    </row>
    <row r="34" spans="1:12" x14ac:dyDescent="0.2">
      <c r="B34" s="31"/>
      <c r="C34" s="31"/>
      <c r="D34" s="31"/>
      <c r="E34" s="31"/>
      <c r="F34" s="31"/>
      <c r="H34" s="11"/>
      <c r="I34" s="30"/>
      <c r="J34" s="11"/>
      <c r="K34" s="11"/>
      <c r="L34" s="30"/>
    </row>
    <row r="35" spans="1:12" s="29" customFormat="1" x14ac:dyDescent="0.2">
      <c r="A35" s="29" t="str">
        <f>'Ind T1'!A12</f>
        <v>Non-marketed services</v>
      </c>
      <c r="B35" s="30">
        <f>'Ind T1'!B12</f>
        <v>553.67199999512275</v>
      </c>
      <c r="C35" s="30">
        <f>'Ind T1'!C12</f>
        <v>575.47699999890733</v>
      </c>
      <c r="D35" s="30">
        <f>'Ind T1'!D12</f>
        <v>567.9019999941986</v>
      </c>
      <c r="E35" s="30">
        <f>'Ind T1'!E12</f>
        <v>588.32499998758328</v>
      </c>
      <c r="F35" s="30">
        <f>'Ind T1'!F12</f>
        <v>613.47300000122641</v>
      </c>
      <c r="H35" s="30">
        <f t="shared" si="0"/>
        <v>21.805000003784585</v>
      </c>
      <c r="I35" s="30">
        <f t="shared" si="1"/>
        <v>-7.5750000047087269</v>
      </c>
      <c r="J35" s="30">
        <f t="shared" si="2"/>
        <v>20.422999993384678</v>
      </c>
      <c r="K35" s="30">
        <f t="shared" si="3"/>
        <v>25.148000013643127</v>
      </c>
      <c r="L35" s="30">
        <f t="shared" si="4"/>
        <v>45.571000007027806</v>
      </c>
    </row>
    <row r="36" spans="1:12" x14ac:dyDescent="0.2">
      <c r="A36" s="10" t="str">
        <f>'Ind T2'!A22</f>
        <v>Public admin. and defence</v>
      </c>
      <c r="B36" s="31">
        <f>'Ind T2'!B22</f>
        <v>75.665999999336734</v>
      </c>
      <c r="C36" s="31">
        <f>'Ind T2'!C22</f>
        <v>77.918999999931529</v>
      </c>
      <c r="D36" s="31">
        <f>'Ind T2'!D22</f>
        <v>80.2239999989512</v>
      </c>
      <c r="E36" s="31">
        <f>'Ind T2'!E22</f>
        <v>86.404000000294957</v>
      </c>
      <c r="F36" s="31">
        <f>'Ind T2'!F22</f>
        <v>92.753000000063949</v>
      </c>
      <c r="H36" s="11">
        <f t="shared" si="0"/>
        <v>2.2530000005947954</v>
      </c>
      <c r="I36" s="30">
        <f t="shared" si="1"/>
        <v>2.304999999019671</v>
      </c>
      <c r="J36" s="11">
        <f t="shared" si="2"/>
        <v>6.1800000013437568</v>
      </c>
      <c r="K36" s="11">
        <f t="shared" si="3"/>
        <v>6.3489999997689921</v>
      </c>
      <c r="L36" s="30">
        <f t="shared" si="4"/>
        <v>12.529000001112749</v>
      </c>
    </row>
    <row r="37" spans="1:12" x14ac:dyDescent="0.2">
      <c r="A37" s="10" t="str">
        <f>'Ind T2'!A23</f>
        <v>Education</v>
      </c>
      <c r="B37" s="31">
        <f>'Ind T2'!B23</f>
        <v>204.37499999959886</v>
      </c>
      <c r="C37" s="31">
        <f>'Ind T2'!C23</f>
        <v>210.96600000147009</v>
      </c>
      <c r="D37" s="31">
        <f>'Ind T2'!D23</f>
        <v>209.79399999727281</v>
      </c>
      <c r="E37" s="31">
        <f>'Ind T2'!E23</f>
        <v>204.86899999060074</v>
      </c>
      <c r="F37" s="31">
        <f>'Ind T2'!F23</f>
        <v>206.32500000142213</v>
      </c>
      <c r="H37" s="11">
        <f t="shared" si="0"/>
        <v>6.5910000018712367</v>
      </c>
      <c r="I37" s="30">
        <f t="shared" si="1"/>
        <v>-1.1720000041972867</v>
      </c>
      <c r="J37" s="11">
        <f t="shared" si="2"/>
        <v>-4.9250000066720645</v>
      </c>
      <c r="K37" s="11">
        <f t="shared" si="3"/>
        <v>1.4560000108213842</v>
      </c>
      <c r="L37" s="30">
        <f t="shared" si="4"/>
        <v>-3.4689999958506803</v>
      </c>
    </row>
    <row r="38" spans="1:12" x14ac:dyDescent="0.2">
      <c r="A38" s="10" t="str">
        <f>'Ind T2'!A24</f>
        <v>Health and social work</v>
      </c>
      <c r="B38" s="31">
        <f>'Ind T2'!B24</f>
        <v>273.63099999618714</v>
      </c>
      <c r="C38" s="31">
        <f>'Ind T2'!C24</f>
        <v>286.59199999750564</v>
      </c>
      <c r="D38" s="31">
        <f>'Ind T2'!D24</f>
        <v>277.88399999797457</v>
      </c>
      <c r="E38" s="31">
        <f>'Ind T2'!E24</f>
        <v>297.05199999668764</v>
      </c>
      <c r="F38" s="31">
        <f>'Ind T2'!F24</f>
        <v>314.39499999974032</v>
      </c>
      <c r="H38" s="11">
        <f t="shared" si="0"/>
        <v>12.961000001318496</v>
      </c>
      <c r="I38" s="30">
        <f t="shared" si="1"/>
        <v>-8.7079999995310686</v>
      </c>
      <c r="J38" s="11">
        <f t="shared" si="2"/>
        <v>19.167999998713071</v>
      </c>
      <c r="K38" s="11">
        <f t="shared" si="3"/>
        <v>17.34300000305268</v>
      </c>
      <c r="L38" s="30">
        <f t="shared" si="4"/>
        <v>36.511000001765751</v>
      </c>
    </row>
    <row r="39" spans="1:12" x14ac:dyDescent="0.2">
      <c r="B39" s="31"/>
      <c r="C39" s="31"/>
      <c r="D39" s="31"/>
      <c r="E39" s="31"/>
      <c r="F39" s="31"/>
      <c r="H39" s="11"/>
      <c r="I39" s="11"/>
      <c r="J39" s="11"/>
      <c r="K39" s="11"/>
      <c r="L39" s="30"/>
    </row>
    <row r="40" spans="1:12" x14ac:dyDescent="0.2">
      <c r="A40" s="38" t="str">
        <f>'Ind T1'!A14</f>
        <v>All industries</v>
      </c>
      <c r="B40" s="32">
        <f>'Ind T1'!B14</f>
        <v>2274.4909999992278</v>
      </c>
      <c r="C40" s="32">
        <f>'Ind T1'!C14</f>
        <v>2405.3839999988058</v>
      </c>
      <c r="D40" s="32">
        <f>'Ind T1'!D14</f>
        <v>2404.2379999983386</v>
      </c>
      <c r="E40" s="32">
        <f>'Ind T1'!E14</f>
        <v>2442.8000000047</v>
      </c>
      <c r="F40" s="32">
        <f>'Ind T1'!F14</f>
        <v>2510.6939999992696</v>
      </c>
      <c r="G40" s="23"/>
      <c r="H40" s="33">
        <f t="shared" si="0"/>
        <v>130.89299999957802</v>
      </c>
      <c r="I40" s="33">
        <f>D40-C40</f>
        <v>-1.1460000004672111</v>
      </c>
      <c r="J40" s="33">
        <f>E40-D40</f>
        <v>38.562000006361359</v>
      </c>
      <c r="K40" s="33">
        <f>F40-E40</f>
        <v>67.89399999456964</v>
      </c>
      <c r="L40" s="205">
        <f t="shared" si="4"/>
        <v>106.456000000931</v>
      </c>
    </row>
    <row r="44" spans="1:12" ht="15.75" x14ac:dyDescent="0.25">
      <c r="A44" s="18" t="str">
        <f>CONCATENATE(A1," (Continued)")</f>
        <v>Industry Table 4  Employment by Industry Group in Sector (SIC 2007), 2015-2035, East Midlands (Continued)</v>
      </c>
    </row>
    <row r="46" spans="1:12" x14ac:dyDescent="0.2">
      <c r="L46" s="15" t="s">
        <v>20</v>
      </c>
    </row>
    <row r="47" spans="1:12" x14ac:dyDescent="0.2">
      <c r="A47" s="35"/>
      <c r="B47" s="27" t="s">
        <v>14</v>
      </c>
      <c r="C47" s="27"/>
      <c r="D47" s="27"/>
      <c r="E47" s="27"/>
      <c r="F47" s="27"/>
      <c r="G47" s="27"/>
      <c r="H47" s="27" t="s">
        <v>463</v>
      </c>
      <c r="I47" s="27"/>
      <c r="J47" s="27"/>
      <c r="K47" s="27"/>
      <c r="L47" s="27"/>
    </row>
    <row r="48" spans="1:12" x14ac:dyDescent="0.2">
      <c r="A48" s="23"/>
      <c r="B48" s="36" t="str">
        <f>H5</f>
        <v>2015-2019</v>
      </c>
      <c r="C48" s="36" t="str">
        <f>I5</f>
        <v>2019-2020</v>
      </c>
      <c r="D48" s="36" t="str">
        <f>J5</f>
        <v>2020-2025</v>
      </c>
      <c r="E48" s="36" t="str">
        <f>K5</f>
        <v>2025-2035</v>
      </c>
      <c r="F48" s="36" t="str">
        <f>L5</f>
        <v>2020-2035</v>
      </c>
      <c r="G48" s="40"/>
      <c r="H48" s="41">
        <f>B5</f>
        <v>2015</v>
      </c>
      <c r="I48" s="41">
        <f>C5</f>
        <v>2019</v>
      </c>
      <c r="J48" s="41">
        <f>D5</f>
        <v>2020</v>
      </c>
      <c r="K48" s="41">
        <f>E5</f>
        <v>2025</v>
      </c>
      <c r="L48" s="41">
        <f>F5</f>
        <v>2035</v>
      </c>
    </row>
    <row r="50" spans="1:12" s="29" customFormat="1" x14ac:dyDescent="0.2">
      <c r="A50" s="29" t="str">
        <f>A7</f>
        <v>Primary sector and utilities</v>
      </c>
      <c r="B50" s="43">
        <f t="shared" ref="B50:E54" si="17">IF(AND(C$5-B$5 &lt;&gt; 0,B7&lt;&gt;0,C7&lt;&gt;0),(EXP(LN(C7/B7)/(C$5-B$5))-1)*100,0)</f>
        <v>1.5225662428197673E-2</v>
      </c>
      <c r="C50" s="43">
        <f t="shared" si="17"/>
        <v>13.899252274672701</v>
      </c>
      <c r="D50" s="43">
        <f t="shared" si="17"/>
        <v>-0.24459801246194957</v>
      </c>
      <c r="E50" s="43">
        <f t="shared" si="17"/>
        <v>-0.15409494388045619</v>
      </c>
      <c r="F50" s="43">
        <f>IF(AND(F$5-D$5 &lt;&gt; 0,D7&lt;&gt;0,F7&lt;&gt;0),(EXP(LN(F7/D7)/(F$5-D$5))-1)*100,0)</f>
        <v>-0.18427175294098985</v>
      </c>
      <c r="H50" s="43">
        <f>(B7/B$40)*100</f>
        <v>2.814783615313817</v>
      </c>
      <c r="I50" s="43">
        <f>(C7/C$40)*100</f>
        <v>2.6632338121513643</v>
      </c>
      <c r="J50" s="43">
        <f>(D7/D$40)*100</f>
        <v>3.0348492952770165</v>
      </c>
      <c r="K50" s="43">
        <f>(E7/E$40)*100</f>
        <v>2.9505894874654888</v>
      </c>
      <c r="L50" s="43">
        <f>(F7/F$40)*100</f>
        <v>2.8268677903267245</v>
      </c>
    </row>
    <row r="51" spans="1:12" x14ac:dyDescent="0.2">
      <c r="A51" t="str">
        <f>A8</f>
        <v>Agriculture</v>
      </c>
      <c r="B51" s="39">
        <f t="shared" si="17"/>
        <v>0.63978673488294113</v>
      </c>
      <c r="C51" s="43">
        <f t="shared" si="17"/>
        <v>43.184296617793464</v>
      </c>
      <c r="D51" s="39">
        <f t="shared" si="17"/>
        <v>-0.21961964094266984</v>
      </c>
      <c r="E51" s="39">
        <f t="shared" si="17"/>
        <v>-0.33231402995451687</v>
      </c>
      <c r="F51" s="43">
        <f t="shared" ref="F51:F83" si="18">IF(AND(F$5-D$5 &lt;&gt; 0,D8&lt;&gt;0,F8&lt;&gt;0),(EXP(LN(F8/D8)/(F$5-D$5))-1)*100,0)</f>
        <v>-0.29476338291910542</v>
      </c>
      <c r="H51" s="39">
        <f t="shared" ref="H51:L54" si="19">(B8/B$7)*100</f>
        <v>43.283558776680934</v>
      </c>
      <c r="I51" s="39">
        <f t="shared" si="19"/>
        <v>44.374892680685697</v>
      </c>
      <c r="J51" s="39">
        <f t="shared" si="19"/>
        <v>55.784280134268428</v>
      </c>
      <c r="K51" s="39">
        <f t="shared" si="19"/>
        <v>55.854155971837763</v>
      </c>
      <c r="L51" s="39">
        <f t="shared" si="19"/>
        <v>54.865161890187863</v>
      </c>
    </row>
    <row r="52" spans="1:12" x14ac:dyDescent="0.2">
      <c r="A52" t="str">
        <f>A9</f>
        <v>Mining and quarrying</v>
      </c>
      <c r="B52" s="39">
        <f t="shared" si="17"/>
        <v>-7.7728074042879847</v>
      </c>
      <c r="C52" s="43">
        <f t="shared" si="17"/>
        <v>0.51980198036178926</v>
      </c>
      <c r="D52" s="39">
        <f t="shared" si="17"/>
        <v>-3.9781412390633042</v>
      </c>
      <c r="E52" s="39">
        <f t="shared" si="17"/>
        <v>-2.7705718033212423</v>
      </c>
      <c r="F52" s="43">
        <f t="shared" si="18"/>
        <v>-3.1747729608764819</v>
      </c>
      <c r="H52" s="39">
        <f t="shared" si="19"/>
        <v>8.722001811837174</v>
      </c>
      <c r="I52" s="39">
        <f t="shared" si="19"/>
        <v>6.3064891275421875</v>
      </c>
      <c r="J52" s="39">
        <f t="shared" si="19"/>
        <v>5.5656821764123992</v>
      </c>
      <c r="K52" s="39">
        <f t="shared" si="19"/>
        <v>4.5992480264422504</v>
      </c>
      <c r="L52" s="39">
        <f t="shared" si="19"/>
        <v>3.5266435596442962</v>
      </c>
    </row>
    <row r="53" spans="1:12" x14ac:dyDescent="0.2">
      <c r="A53" t="str">
        <f>A10</f>
        <v>Electricity and gas</v>
      </c>
      <c r="B53" s="39">
        <f t="shared" si="17"/>
        <v>-0.81396493811152215</v>
      </c>
      <c r="C53" s="43">
        <f t="shared" si="17"/>
        <v>-14.61117861475123</v>
      </c>
      <c r="D53" s="39">
        <f t="shared" si="17"/>
        <v>-0.32944925989808471</v>
      </c>
      <c r="E53" s="39">
        <f t="shared" si="17"/>
        <v>0.18649221991069442</v>
      </c>
      <c r="F53" s="43">
        <f t="shared" si="18"/>
        <v>1.421565676347214E-2</v>
      </c>
      <c r="H53" s="39">
        <f t="shared" si="19"/>
        <v>26.564306019950113</v>
      </c>
      <c r="I53" s="39">
        <f t="shared" si="19"/>
        <v>25.694260158052245</v>
      </c>
      <c r="J53" s="39">
        <f t="shared" si="19"/>
        <v>19.262660179463779</v>
      </c>
      <c r="K53" s="39">
        <f t="shared" si="19"/>
        <v>19.180876007630495</v>
      </c>
      <c r="L53" s="39">
        <f t="shared" si="19"/>
        <v>19.845295460167208</v>
      </c>
    </row>
    <row r="54" spans="1:12" x14ac:dyDescent="0.2">
      <c r="A54" t="str">
        <f>A11</f>
        <v>Water and sewerage</v>
      </c>
      <c r="B54" s="39">
        <f t="shared" si="17"/>
        <v>2.4825456240959776</v>
      </c>
      <c r="C54" s="43">
        <f t="shared" si="17"/>
        <v>-6.5283467687256236</v>
      </c>
      <c r="D54" s="39">
        <f t="shared" si="17"/>
        <v>0.74246273468929758</v>
      </c>
      <c r="E54" s="39">
        <f t="shared" si="17"/>
        <v>0.510620939445805</v>
      </c>
      <c r="F54" s="43">
        <f t="shared" si="18"/>
        <v>0.58784219438701157</v>
      </c>
      <c r="H54" s="39">
        <f t="shared" si="19"/>
        <v>21.430133391531765</v>
      </c>
      <c r="I54" s="39">
        <f t="shared" si="19"/>
        <v>23.624358033719865</v>
      </c>
      <c r="J54" s="39">
        <f t="shared" si="19"/>
        <v>19.387377509855384</v>
      </c>
      <c r="K54" s="39">
        <f t="shared" si="19"/>
        <v>20.365719994089481</v>
      </c>
      <c r="L54" s="39">
        <f t="shared" si="19"/>
        <v>21.762899090000644</v>
      </c>
    </row>
    <row r="55" spans="1:12" x14ac:dyDescent="0.2">
      <c r="B55" s="39"/>
      <c r="C55" s="43"/>
      <c r="D55" s="39"/>
      <c r="E55" s="39"/>
      <c r="F55" s="43"/>
      <c r="H55" s="39"/>
      <c r="I55" s="39"/>
      <c r="J55" s="39"/>
      <c r="K55" s="39"/>
      <c r="L55" s="39"/>
    </row>
    <row r="56" spans="1:12" s="29" customFormat="1" x14ac:dyDescent="0.2">
      <c r="A56" s="29" t="str">
        <f>A13</f>
        <v>Manufacturing</v>
      </c>
      <c r="B56" s="43">
        <f t="shared" ref="B56:E59" si="20">IF(AND(C$5-B$5 &lt;&gt; 0,B13&lt;&gt;0,C13&lt;&gt;0),(EXP(LN(C13/B13)/(C$5-B$5))-1)*100,0)</f>
        <v>0.45656052726672502</v>
      </c>
      <c r="C56" s="43">
        <f t="shared" si="20"/>
        <v>-2.5484039216709831</v>
      </c>
      <c r="D56" s="43">
        <f t="shared" si="20"/>
        <v>-0.59249107842627158</v>
      </c>
      <c r="E56" s="43">
        <f t="shared" si="20"/>
        <v>-0.47552444822765993</v>
      </c>
      <c r="F56" s="43">
        <f t="shared" si="18"/>
        <v>-0.51452860889750207</v>
      </c>
      <c r="H56" s="43">
        <f>(B13/B$40)*100</f>
        <v>12.332913166018031</v>
      </c>
      <c r="I56" s="43">
        <f>(C13/C$40)*100</f>
        <v>11.876232651402306</v>
      </c>
      <c r="J56" s="43">
        <f>(D13/D$40)*100</f>
        <v>11.579094914924095</v>
      </c>
      <c r="K56" s="43">
        <f>(E13/E$40)*100</f>
        <v>11.062673980744961</v>
      </c>
      <c r="L56" s="43">
        <f>(F13/F$40)*100</f>
        <v>10.262501125212992</v>
      </c>
    </row>
    <row r="57" spans="1:12" x14ac:dyDescent="0.2">
      <c r="A57" t="str">
        <f>A14</f>
        <v>Food drink and tobacco</v>
      </c>
      <c r="B57" s="39">
        <f t="shared" si="20"/>
        <v>0.58007922993179584</v>
      </c>
      <c r="C57" s="43">
        <f t="shared" si="20"/>
        <v>-2.883455387934486</v>
      </c>
      <c r="D57" s="39">
        <f t="shared" si="20"/>
        <v>1.7329268075813031</v>
      </c>
      <c r="E57" s="39">
        <f t="shared" si="20"/>
        <v>0.94213061824661715</v>
      </c>
      <c r="F57" s="43">
        <f t="shared" si="18"/>
        <v>1.2050439707365301</v>
      </c>
      <c r="H57" s="39">
        <f t="shared" ref="H57:L59" si="21">(B14/B$13)*100</f>
        <v>20.500800325129216</v>
      </c>
      <c r="I57" s="39">
        <f t="shared" si="21"/>
        <v>20.601815387706029</v>
      </c>
      <c r="J57" s="39">
        <f t="shared" si="21"/>
        <v>20.53098362372145</v>
      </c>
      <c r="K57" s="39">
        <f t="shared" si="21"/>
        <v>23.047376581576628</v>
      </c>
      <c r="L57" s="39">
        <f t="shared" si="21"/>
        <v>26.548940464181587</v>
      </c>
    </row>
    <row r="58" spans="1:12" x14ac:dyDescent="0.2">
      <c r="A58" t="str">
        <f>A15</f>
        <v>Engineering</v>
      </c>
      <c r="B58" s="39">
        <f t="shared" si="20"/>
        <v>-4.8495354471289387</v>
      </c>
      <c r="C58" s="43">
        <f t="shared" si="20"/>
        <v>-6.0622859937111357</v>
      </c>
      <c r="D58" s="39">
        <f t="shared" si="20"/>
        <v>-0.4010375325167348</v>
      </c>
      <c r="E58" s="39">
        <f t="shared" si="20"/>
        <v>-1.7835568677893043</v>
      </c>
      <c r="F58" s="43">
        <f t="shared" si="18"/>
        <v>-1.3248626357906912</v>
      </c>
      <c r="H58" s="39">
        <f t="shared" si="21"/>
        <v>13.336731892895576</v>
      </c>
      <c r="I58" s="39">
        <f t="shared" si="21"/>
        <v>10.734451410537741</v>
      </c>
      <c r="J58" s="39">
        <f t="shared" si="21"/>
        <v>10.347391599486963</v>
      </c>
      <c r="K58" s="39">
        <f t="shared" si="21"/>
        <v>10.447418766325567</v>
      </c>
      <c r="L58" s="39">
        <f t="shared" si="21"/>
        <v>9.1527594504337895</v>
      </c>
    </row>
    <row r="59" spans="1:12" x14ac:dyDescent="0.2">
      <c r="A59" t="str">
        <f>A16</f>
        <v>Rest of manufacturing</v>
      </c>
      <c r="B59" s="39">
        <f t="shared" si="20"/>
        <v>1.3928273694328253</v>
      </c>
      <c r="C59" s="43">
        <f t="shared" si="20"/>
        <v>-1.8985373511059667</v>
      </c>
      <c r="D59" s="39">
        <f t="shared" si="20"/>
        <v>-1.3567142205350491</v>
      </c>
      <c r="E59" s="39">
        <f t="shared" si="20"/>
        <v>-0.81082377320090826</v>
      </c>
      <c r="F59" s="43">
        <f t="shared" si="18"/>
        <v>-0.99312209377682148</v>
      </c>
      <c r="H59" s="39">
        <f t="shared" si="21"/>
        <v>66.162467781975195</v>
      </c>
      <c r="I59" s="39">
        <f t="shared" si="21"/>
        <v>68.663733201756216</v>
      </c>
      <c r="J59" s="39">
        <f t="shared" si="21"/>
        <v>69.121624776791577</v>
      </c>
      <c r="K59" s="39">
        <f t="shared" si="21"/>
        <v>66.505204652097788</v>
      </c>
      <c r="L59" s="39">
        <f t="shared" si="21"/>
        <v>64.298300085384597</v>
      </c>
    </row>
    <row r="60" spans="1:12" x14ac:dyDescent="0.2">
      <c r="B60" s="39"/>
      <c r="C60" s="43"/>
      <c r="D60" s="39"/>
      <c r="E60" s="39"/>
      <c r="F60" s="43"/>
      <c r="H60" s="39"/>
      <c r="I60" s="39"/>
      <c r="J60" s="39"/>
      <c r="K60" s="39"/>
      <c r="L60" s="39"/>
    </row>
    <row r="61" spans="1:12" s="29" customFormat="1" x14ac:dyDescent="0.2">
      <c r="A61" s="29" t="str">
        <f>A18</f>
        <v>Construction</v>
      </c>
      <c r="B61" s="43">
        <f>IF(AND(C$5-B$5 &lt;&gt; 0,B18&lt;&gt;0,C18&lt;&gt;0),(EXP(LN(C18/B18)/(C$5-B$5))-1)*100,0)</f>
        <v>1.2620718907568884</v>
      </c>
      <c r="C61" s="43">
        <f>IF(AND(D$5-C$5 &lt;&gt; 0,C18&lt;&gt;0,D18&lt;&gt;0),(EXP(LN(D18/C18)/(D$5-C$5))-1)*100,0)</f>
        <v>-3.7377155886549773</v>
      </c>
      <c r="D61" s="43">
        <f>IF(AND(E$5-D$5 &lt;&gt; 0,D18&lt;&gt;0,E18&lt;&gt;0),(EXP(LN(E18/D18)/(E$5-D$5))-1)*100,0)</f>
        <v>0.45079769659779334</v>
      </c>
      <c r="E61" s="43">
        <f>IF(AND(F$5-E$5 &lt;&gt; 0,E18&lt;&gt;0,F18&lt;&gt;0),(EXP(LN(F18/E18)/(F$5-E$5))-1)*100,0)</f>
        <v>0.44538292917142286</v>
      </c>
      <c r="F61" s="43">
        <f t="shared" si="18"/>
        <v>0.44718781921486705</v>
      </c>
      <c r="H61" s="43">
        <f>(B18/B$40)*100</f>
        <v>6.424822080940304</v>
      </c>
      <c r="I61" s="43">
        <f>(C18/C$40)*100</f>
        <v>6.387753473092916</v>
      </c>
      <c r="J61" s="43">
        <f>(D18/D$40)*100</f>
        <v>6.1519283864258059</v>
      </c>
      <c r="K61" s="43">
        <f>(E18/E$40)*100</f>
        <v>6.1925249711955042</v>
      </c>
      <c r="L61" s="43">
        <f>(F18/F$40)*100</f>
        <v>6.2988560134262572</v>
      </c>
    </row>
    <row r="62" spans="1:12" x14ac:dyDescent="0.2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x14ac:dyDescent="0.2">
      <c r="A63" s="29" t="str">
        <f>A20</f>
        <v>Trade, accomod. and transport</v>
      </c>
      <c r="B63" s="43">
        <f t="shared" ref="B63:E66" si="22">IF(AND(C$5-B$5 &lt;&gt; 0,B20&lt;&gt;0,C20&lt;&gt;0),(EXP(LN(C20/B20)/(C$5-B$5))-1)*100,0)</f>
        <v>2.2895615466106189</v>
      </c>
      <c r="C63" s="43">
        <f t="shared" si="22"/>
        <v>-8.7776195931110745E-2</v>
      </c>
      <c r="D63" s="43">
        <f t="shared" si="22"/>
        <v>0.33895242345571841</v>
      </c>
      <c r="E63" s="43">
        <f t="shared" si="22"/>
        <v>0.29767905735158529</v>
      </c>
      <c r="F63" s="43">
        <f t="shared" si="18"/>
        <v>0.31143495933443344</v>
      </c>
      <c r="H63" s="43">
        <f>(B20/B$40)*100</f>
        <v>26.993907648221597</v>
      </c>
      <c r="I63" s="43">
        <f>(C20/C$40)*100</f>
        <v>27.944145300736984</v>
      </c>
      <c r="J63" s="43">
        <f>(D20/D$40)*100</f>
        <v>27.93292511020918</v>
      </c>
      <c r="K63" s="43">
        <f>(E20/E$40)*100</f>
        <v>27.961069265270115</v>
      </c>
      <c r="L63" s="43">
        <f>(F20/F$40)*100</f>
        <v>28.02571719215377</v>
      </c>
    </row>
    <row r="64" spans="1:12" x14ac:dyDescent="0.2">
      <c r="A64" t="str">
        <f>A21</f>
        <v>Wholesale and retail trade</v>
      </c>
      <c r="B64" s="39">
        <f t="shared" si="22"/>
        <v>1.579577112474384</v>
      </c>
      <c r="C64" s="43">
        <f t="shared" si="22"/>
        <v>-5.5363697166491583</v>
      </c>
      <c r="D64" s="39">
        <f t="shared" si="22"/>
        <v>0.37969861296678342</v>
      </c>
      <c r="E64" s="39">
        <f t="shared" si="22"/>
        <v>0.22680311445049117</v>
      </c>
      <c r="F64" s="43">
        <f t="shared" si="18"/>
        <v>0.27774238685975838</v>
      </c>
      <c r="H64" s="39">
        <f t="shared" ref="H64:L66" si="23">(B21/B$20)*100</f>
        <v>59.224657721916948</v>
      </c>
      <c r="I64" s="39">
        <f t="shared" si="23"/>
        <v>57.597401824647044</v>
      </c>
      <c r="J64" s="39">
        <f t="shared" si="23"/>
        <v>54.456396465709311</v>
      </c>
      <c r="K64" s="39">
        <f t="shared" si="23"/>
        <v>54.567056057386452</v>
      </c>
      <c r="L64" s="39">
        <f t="shared" si="23"/>
        <v>54.182678642348449</v>
      </c>
    </row>
    <row r="65" spans="1:12" x14ac:dyDescent="0.2">
      <c r="A65" t="str">
        <f>A22</f>
        <v>Transport and storage</v>
      </c>
      <c r="B65" s="39">
        <f>IF(AND(C$5-B$5 &lt;&gt; 0,B22&lt;&gt;0,C22&lt;&gt;0),(EXP(LN(C22/B22)/(C$5-B$5))-1)*100,0)</f>
        <v>4.2452090331989156</v>
      </c>
      <c r="C65" s="43">
        <f t="shared" si="22"/>
        <v>16.607004228730627</v>
      </c>
      <c r="D65" s="39">
        <f t="shared" si="22"/>
        <v>0.66211856692022231</v>
      </c>
      <c r="E65" s="39">
        <f t="shared" si="22"/>
        <v>0.12136696016935566</v>
      </c>
      <c r="F65" s="43">
        <f t="shared" si="18"/>
        <v>0.30129395725082553</v>
      </c>
      <c r="H65" s="39">
        <f t="shared" si="23"/>
        <v>19.186805955606033</v>
      </c>
      <c r="I65" s="39">
        <f t="shared" si="23"/>
        <v>20.696734725315178</v>
      </c>
      <c r="J65" s="39">
        <f t="shared" si="23"/>
        <v>24.155044715734359</v>
      </c>
      <c r="K65" s="39">
        <f t="shared" si="23"/>
        <v>24.546544603245771</v>
      </c>
      <c r="L65" s="39">
        <f t="shared" si="23"/>
        <v>24.1184412486223</v>
      </c>
    </row>
    <row r="66" spans="1:12" x14ac:dyDescent="0.2">
      <c r="A66" t="str">
        <f>A23</f>
        <v>Accommodation and food</v>
      </c>
      <c r="B66" s="39">
        <f t="shared" si="22"/>
        <v>2.4282573646806194</v>
      </c>
      <c r="C66" s="43">
        <f t="shared" si="22"/>
        <v>-1.5483313785256914</v>
      </c>
      <c r="D66" s="39">
        <f t="shared" si="22"/>
        <v>-0.13668615644039095</v>
      </c>
      <c r="E66" s="39">
        <f t="shared" si="22"/>
        <v>0.68117089278336707</v>
      </c>
      <c r="F66" s="43">
        <f t="shared" si="18"/>
        <v>0.40781034387984416</v>
      </c>
      <c r="H66" s="39">
        <f t="shared" si="23"/>
        <v>21.588536322477008</v>
      </c>
      <c r="I66" s="39">
        <f t="shared" si="23"/>
        <v>21.705863450037771</v>
      </c>
      <c r="J66" s="39">
        <f t="shared" si="23"/>
        <v>21.388558818556316</v>
      </c>
      <c r="K66" s="39">
        <f t="shared" si="23"/>
        <v>20.886399339367788</v>
      </c>
      <c r="L66" s="39">
        <f t="shared" si="23"/>
        <v>21.698880109029258</v>
      </c>
    </row>
    <row r="67" spans="1:12" x14ac:dyDescent="0.2">
      <c r="B67" s="39"/>
      <c r="C67" s="43"/>
      <c r="D67" s="39"/>
      <c r="E67" s="39"/>
      <c r="F67" s="43"/>
      <c r="H67" s="39"/>
      <c r="I67" s="39"/>
      <c r="J67" s="39"/>
      <c r="K67" s="39"/>
      <c r="L67" s="39"/>
    </row>
    <row r="68" spans="1:12" s="29" customFormat="1" x14ac:dyDescent="0.2">
      <c r="A68" s="29" t="str">
        <f>A25</f>
        <v>Business and other services</v>
      </c>
      <c r="B68" s="43">
        <f t="shared" ref="B68:E71" si="24">IF(AND(C$5-B$5 &lt;&gt; 0,B25&lt;&gt;0,C25&lt;&gt;0),(EXP(LN(C25/B25)/(C$5-B$5))-1)*100,0)</f>
        <v>1.5144308932158568</v>
      </c>
      <c r="C68" s="43">
        <f t="shared" si="24"/>
        <v>1.702113352250989</v>
      </c>
      <c r="D68" s="43">
        <f t="shared" si="24"/>
        <v>0.36854266078307774</v>
      </c>
      <c r="E68" s="43">
        <f t="shared" si="24"/>
        <v>0.41904725111965302</v>
      </c>
      <c r="F68" s="43">
        <f t="shared" si="18"/>
        <v>0.40220956458576484</v>
      </c>
      <c r="H68" s="43">
        <f>(B25/B$40)*100</f>
        <v>27.090896380855977</v>
      </c>
      <c r="I68" s="43">
        <f>(C25/C$40)*100</f>
        <v>27.20409714204553</v>
      </c>
      <c r="J68" s="43">
        <f>(D25/D$40)*100</f>
        <v>27.680329484623691</v>
      </c>
      <c r="K68" s="43">
        <f>(E25/E$40)*100</f>
        <v>27.749099394290212</v>
      </c>
      <c r="L68" s="43">
        <f>(F25/F$40)*100</f>
        <v>28.151658465753655</v>
      </c>
    </row>
    <row r="69" spans="1:12" x14ac:dyDescent="0.2">
      <c r="A69" t="str">
        <f>A26</f>
        <v>Media</v>
      </c>
      <c r="B69" s="39">
        <f t="shared" si="24"/>
        <v>9.0038101801831907</v>
      </c>
      <c r="C69" s="43">
        <f t="shared" si="24"/>
        <v>-25.683812146010389</v>
      </c>
      <c r="D69" s="39">
        <f t="shared" si="24"/>
        <v>-0.3402707805555405</v>
      </c>
      <c r="E69" s="39">
        <f t="shared" si="24"/>
        <v>0.15897095703023556</v>
      </c>
      <c r="F69" s="43">
        <f t="shared" si="18"/>
        <v>-7.7202200693959888E-3</v>
      </c>
      <c r="H69" s="39">
        <f t="shared" ref="H69:L71" si="25">(B26/B$25)*100</f>
        <v>1.3364601252950135</v>
      </c>
      <c r="I69" s="39">
        <f t="shared" si="25"/>
        <v>1.7766896967089638</v>
      </c>
      <c r="J69" s="39">
        <f t="shared" si="25"/>
        <v>1.298270025142489</v>
      </c>
      <c r="K69" s="39">
        <f t="shared" si="25"/>
        <v>1.2530703469045279</v>
      </c>
      <c r="L69" s="39">
        <f t="shared" si="25"/>
        <v>1.2209925834963233</v>
      </c>
    </row>
    <row r="70" spans="1:12" x14ac:dyDescent="0.2">
      <c r="A70" t="str">
        <f>A27</f>
        <v>Information technology</v>
      </c>
      <c r="B70" s="39">
        <f t="shared" si="24"/>
        <v>3.491507443263786</v>
      </c>
      <c r="C70" s="43">
        <f t="shared" si="24"/>
        <v>-9.4910591482194384</v>
      </c>
      <c r="D70" s="39">
        <f t="shared" si="24"/>
        <v>1.4670838505468797</v>
      </c>
      <c r="E70" s="39">
        <f t="shared" si="24"/>
        <v>0.69342300145778246</v>
      </c>
      <c r="F70" s="43">
        <f t="shared" si="18"/>
        <v>0.95065227916140138</v>
      </c>
      <c r="H70" s="39">
        <f t="shared" si="25"/>
        <v>7.3024116329695783</v>
      </c>
      <c r="I70" s="39">
        <f t="shared" si="25"/>
        <v>7.8881293715619085</v>
      </c>
      <c r="J70" s="39">
        <f t="shared" si="25"/>
        <v>7.0199744252029141</v>
      </c>
      <c r="K70" s="39">
        <f t="shared" si="25"/>
        <v>7.4126472474795548</v>
      </c>
      <c r="L70" s="39">
        <f t="shared" si="25"/>
        <v>7.6176920833978841</v>
      </c>
    </row>
    <row r="71" spans="1:12" x14ac:dyDescent="0.2">
      <c r="A71" t="str">
        <f>A28</f>
        <v>Finance and insurance</v>
      </c>
      <c r="B71" s="39">
        <f t="shared" si="24"/>
        <v>-1.1992225381281751</v>
      </c>
      <c r="C71" s="43">
        <f t="shared" si="24"/>
        <v>12.471108430465616</v>
      </c>
      <c r="D71" s="39">
        <f t="shared" si="24"/>
        <v>-0.28350068575804244</v>
      </c>
      <c r="E71" s="39">
        <f t="shared" si="24"/>
        <v>-0.61487483489156558</v>
      </c>
      <c r="F71" s="43">
        <f t="shared" si="18"/>
        <v>-0.50453932293708093</v>
      </c>
      <c r="H71" s="39">
        <f t="shared" si="25"/>
        <v>6.7791878996323778</v>
      </c>
      <c r="I71" s="39">
        <f t="shared" si="25"/>
        <v>6.0828622644982673</v>
      </c>
      <c r="J71" s="39">
        <f t="shared" si="25"/>
        <v>6.7269620931906609</v>
      </c>
      <c r="K71" s="39">
        <f t="shared" si="25"/>
        <v>6.5112745351337518</v>
      </c>
      <c r="L71" s="39">
        <f t="shared" si="25"/>
        <v>5.8710926115011146</v>
      </c>
    </row>
    <row r="72" spans="1:12" x14ac:dyDescent="0.2">
      <c r="A72" t="str">
        <f t="shared" ref="A72:A76" si="26">A29</f>
        <v>Real estate</v>
      </c>
      <c r="B72" s="39">
        <f t="shared" ref="B72:E72" si="27">IF(AND(C$5-B$5 &lt;&gt; 0,B29&lt;&gt;0,C29&lt;&gt;0),(EXP(LN(C29/B29)/(C$5-B$5))-1)*100,0)</f>
        <v>8.0269883256338872</v>
      </c>
      <c r="C72" s="43">
        <f t="shared" si="27"/>
        <v>4.8194399390111053</v>
      </c>
      <c r="D72" s="39">
        <f t="shared" si="27"/>
        <v>-1.0023856349366866</v>
      </c>
      <c r="E72" s="39">
        <f t="shared" si="27"/>
        <v>0.89340751267930063</v>
      </c>
      <c r="F72" s="43">
        <f t="shared" si="18"/>
        <v>0.2574766139615825</v>
      </c>
      <c r="H72" s="39">
        <f t="shared" ref="H72:L72" si="28">(B29/B$25)*100</f>
        <v>4.4087766561613364</v>
      </c>
      <c r="I72" s="39">
        <f t="shared" si="28"/>
        <v>5.6537426474283476</v>
      </c>
      <c r="J72" s="39">
        <f t="shared" si="28"/>
        <v>5.8270385769680235</v>
      </c>
      <c r="K72" s="39">
        <f t="shared" si="28"/>
        <v>5.4398064482828401</v>
      </c>
      <c r="L72" s="39">
        <f t="shared" si="28"/>
        <v>5.7023041813608808</v>
      </c>
    </row>
    <row r="73" spans="1:12" x14ac:dyDescent="0.2">
      <c r="A73" t="str">
        <f t="shared" si="26"/>
        <v>Professional services</v>
      </c>
      <c r="B73" s="39">
        <f t="shared" ref="B73:E73" si="29">IF(AND(C$5-B$5 &lt;&gt; 0,B30&lt;&gt;0,C30&lt;&gt;0),(EXP(LN(C30/B30)/(C$5-B$5))-1)*100,0)</f>
        <v>4.8647658823580908</v>
      </c>
      <c r="C73" s="43">
        <f t="shared" si="29"/>
        <v>9.0742511136510551</v>
      </c>
      <c r="D73" s="39">
        <f t="shared" si="29"/>
        <v>0.6653974004191765</v>
      </c>
      <c r="E73" s="39">
        <f t="shared" si="29"/>
        <v>0.52741746852380533</v>
      </c>
      <c r="F73" s="43">
        <f t="shared" si="18"/>
        <v>0.57338975232432698</v>
      </c>
      <c r="H73" s="39">
        <f t="shared" ref="H73:L73" si="30">(B30/B$25)*100</f>
        <v>25.268428056676033</v>
      </c>
      <c r="I73" s="39">
        <f t="shared" si="30"/>
        <v>28.773020479391608</v>
      </c>
      <c r="J73" s="39">
        <f t="shared" si="30"/>
        <v>30.858706447892331</v>
      </c>
      <c r="K73" s="39">
        <f t="shared" si="30"/>
        <v>31.31775969792513</v>
      </c>
      <c r="L73" s="39">
        <f t="shared" si="30"/>
        <v>31.657380709203427</v>
      </c>
    </row>
    <row r="74" spans="1:12" x14ac:dyDescent="0.2">
      <c r="A74" t="str">
        <f t="shared" si="26"/>
        <v>Support services</v>
      </c>
      <c r="B74" s="39">
        <f t="shared" ref="B74:E74" si="31">IF(AND(C$5-B$5 &lt;&gt; 0,B31&lt;&gt;0,C31&lt;&gt;0),(EXP(LN(C31/B31)/(C$5-B$5))-1)*100,0)</f>
        <v>-3.5334557875314254</v>
      </c>
      <c r="C74" s="43">
        <f t="shared" si="31"/>
        <v>0.7081532911178412</v>
      </c>
      <c r="D74" s="39">
        <f t="shared" si="31"/>
        <v>1.2306496698389457</v>
      </c>
      <c r="E74" s="39">
        <f t="shared" si="31"/>
        <v>0.61154330435948534</v>
      </c>
      <c r="F74" s="43">
        <f t="shared" si="18"/>
        <v>0.81749024184467611</v>
      </c>
      <c r="H74" s="39">
        <f>(B31/B$25)*100</f>
        <v>36.388230711789085</v>
      </c>
      <c r="I74" s="39">
        <f t="shared" ref="I74:L74" si="32">(C31/C$25)*100</f>
        <v>29.672674035695401</v>
      </c>
      <c r="J74" s="39">
        <f t="shared" si="32"/>
        <v>29.382675608658275</v>
      </c>
      <c r="K74" s="39">
        <f t="shared" si="32"/>
        <v>30.666440462891604</v>
      </c>
      <c r="L74" s="39">
        <f t="shared" si="32"/>
        <v>31.259390890241157</v>
      </c>
    </row>
    <row r="75" spans="1:12" x14ac:dyDescent="0.2">
      <c r="A75" t="str">
        <f t="shared" si="26"/>
        <v>Arts and entertainment</v>
      </c>
      <c r="B75" s="39">
        <f t="shared" ref="B75:E75" si="33">IF(AND(C$5-B$5 &lt;&gt; 0,B32&lt;&gt;0,C32&lt;&gt;0),(EXP(LN(C32/B32)/(C$5-B$5))-1)*100,0)</f>
        <v>2.0866474460041973</v>
      </c>
      <c r="C75" s="43">
        <f t="shared" si="33"/>
        <v>-11.106764517703926</v>
      </c>
      <c r="D75" s="39">
        <f t="shared" si="33"/>
        <v>-1.424285743247633</v>
      </c>
      <c r="E75" s="39">
        <f t="shared" si="33"/>
        <v>0.15213986373137089</v>
      </c>
      <c r="F75" s="43">
        <f t="shared" si="18"/>
        <v>-0.37611675117814602</v>
      </c>
      <c r="H75" s="39">
        <f t="shared" ref="H75:L75" si="34">(B32/B$25)*100</f>
        <v>9.5491577136997599</v>
      </c>
      <c r="I75" s="39">
        <f t="shared" si="34"/>
        <v>9.7662917983272379</v>
      </c>
      <c r="J75" s="39">
        <f t="shared" si="34"/>
        <v>8.5362756780737534</v>
      </c>
      <c r="K75" s="39">
        <f t="shared" si="34"/>
        <v>7.800635829257617</v>
      </c>
      <c r="L75" s="39">
        <f t="shared" si="34"/>
        <v>7.5957623210523613</v>
      </c>
    </row>
    <row r="76" spans="1:12" x14ac:dyDescent="0.2">
      <c r="A76" t="str">
        <f t="shared" si="26"/>
        <v>Other services</v>
      </c>
      <c r="B76" s="39">
        <f t="shared" ref="B76:E76" si="35">IF(AND(C$5-B$5 &lt;&gt; 0,B33&lt;&gt;0,C33&lt;&gt;0),(EXP(LN(C33/B33)/(C$5-B$5))-1)*100,0)</f>
        <v>5.3125265349826423</v>
      </c>
      <c r="C76" s="43">
        <f t="shared" si="35"/>
        <v>1.3447900408654956</v>
      </c>
      <c r="D76" s="39">
        <f t="shared" si="35"/>
        <v>-1.1337209705756912</v>
      </c>
      <c r="E76" s="39">
        <f t="shared" si="35"/>
        <v>-0.14199794306146707</v>
      </c>
      <c r="F76" s="43">
        <f t="shared" si="18"/>
        <v>-0.47367271170984937</v>
      </c>
      <c r="H76" s="39">
        <f t="shared" ref="H76:L76" si="36">(B33/B$25)*100</f>
        <v>8.967347203776832</v>
      </c>
      <c r="I76" s="39">
        <f t="shared" si="36"/>
        <v>10.386589706388271</v>
      </c>
      <c r="J76" s="39">
        <f t="shared" si="36"/>
        <v>10.350097144871533</v>
      </c>
      <c r="K76" s="39">
        <f t="shared" si="36"/>
        <v>9.5983654321249947</v>
      </c>
      <c r="L76" s="39">
        <f t="shared" si="36"/>
        <v>9.0753846197468899</v>
      </c>
    </row>
    <row r="77" spans="1:12" x14ac:dyDescent="0.2">
      <c r="B77" s="39"/>
      <c r="C77" s="43"/>
      <c r="D77" s="39"/>
      <c r="E77" s="39"/>
      <c r="F77" s="43"/>
      <c r="H77" s="39"/>
      <c r="I77" s="39"/>
      <c r="J77" s="39"/>
      <c r="K77" s="39"/>
      <c r="L77" s="39"/>
    </row>
    <row r="78" spans="1:12" s="29" customFormat="1" x14ac:dyDescent="0.2">
      <c r="A78" s="29" t="str">
        <f>A35</f>
        <v>Non-marketed services</v>
      </c>
      <c r="B78" s="43">
        <f t="shared" ref="B78:E79" si="37">IF(AND(C$5-B$5 &lt;&gt; 0,B35&lt;&gt;0,C35&lt;&gt;0),(EXP(LN(C35/B35)/(C$5-B$5))-1)*100,0)</f>
        <v>0.97034785133414125</v>
      </c>
      <c r="C78" s="43">
        <f t="shared" ref="C78:C83" si="38">IF(AND(D$5-C$5 &lt;&gt; 0,C35&lt;&gt;0,D35&lt;&gt;0),(EXP(LN(D35/C35)/(D$5-C$5))-1)*100,0)</f>
        <v>-1.3162993490136166</v>
      </c>
      <c r="D78" s="43">
        <f t="shared" si="37"/>
        <v>0.70911535311286578</v>
      </c>
      <c r="E78" s="43">
        <f t="shared" si="37"/>
        <v>0.41944458803533369</v>
      </c>
      <c r="F78" s="43">
        <f t="shared" si="18"/>
        <v>0.51590881526228927</v>
      </c>
      <c r="H78" s="43">
        <f>(B35/B$40)*100</f>
        <v>24.342677108650275</v>
      </c>
      <c r="I78" s="43">
        <f>(C35/C$40)*100</f>
        <v>23.924537620570895</v>
      </c>
      <c r="J78" s="43">
        <f>(D35/D$40)*100</f>
        <v>23.620872808540213</v>
      </c>
      <c r="K78" s="43">
        <f>(E35/E$40)*100</f>
        <v>24.084042901033705</v>
      </c>
      <c r="L78" s="43">
        <f>(F35/F$40)*100</f>
        <v>24.434399413126602</v>
      </c>
    </row>
    <row r="79" spans="1:12" x14ac:dyDescent="0.2">
      <c r="A79" t="str">
        <f>A36</f>
        <v>Public admin. and defence</v>
      </c>
      <c r="B79" s="39">
        <f t="shared" si="37"/>
        <v>0.73621955221789825</v>
      </c>
      <c r="C79" s="43">
        <f t="shared" si="38"/>
        <v>2.9582001809849823</v>
      </c>
      <c r="D79" s="39">
        <f t="shared" si="37"/>
        <v>1.4952942971976357</v>
      </c>
      <c r="E79" s="39">
        <f t="shared" si="37"/>
        <v>0.71158053722522041</v>
      </c>
      <c r="F79" s="43">
        <f t="shared" si="18"/>
        <v>0.97214374101770584</v>
      </c>
      <c r="H79" s="39">
        <f>(B36/B$35)*100</f>
        <v>13.666213931714674</v>
      </c>
      <c r="I79" s="39">
        <f t="shared" ref="I79:L81" si="39">(C36/C$35)*100</f>
        <v>13.539898206197551</v>
      </c>
      <c r="J79" s="39">
        <f t="shared" si="39"/>
        <v>14.126380960054854</v>
      </c>
      <c r="K79" s="39">
        <f t="shared" si="39"/>
        <v>14.686440318211623</v>
      </c>
      <c r="L79" s="39">
        <f t="shared" si="39"/>
        <v>15.119328804996881</v>
      </c>
    </row>
    <row r="80" spans="1:12" x14ac:dyDescent="0.2">
      <c r="A80" t="str">
        <f>A37</f>
        <v>Education</v>
      </c>
      <c r="B80" s="39">
        <f t="shared" ref="B80:E81" si="40">IF(AND(C$5-B$5 &lt;&gt; 0,B37&lt;&gt;0,C37&lt;&gt;0),(EXP(LN(C37/B37)/(C$5-B$5))-1)*100,0)</f>
        <v>0.79666767794435156</v>
      </c>
      <c r="C80" s="43">
        <f t="shared" si="38"/>
        <v>-0.55553975720690207</v>
      </c>
      <c r="D80" s="39">
        <f t="shared" si="40"/>
        <v>-0.47398008102845779</v>
      </c>
      <c r="E80" s="39">
        <f t="shared" si="40"/>
        <v>7.0843532649877972E-2</v>
      </c>
      <c r="F80" s="43">
        <f t="shared" si="18"/>
        <v>-0.11109491977920882</v>
      </c>
      <c r="H80" s="39">
        <f>(B37/B$35)*100</f>
        <v>36.912648644215203</v>
      </c>
      <c r="I80" s="39">
        <f t="shared" si="39"/>
        <v>36.659327827501478</v>
      </c>
      <c r="J80" s="39">
        <f t="shared" si="39"/>
        <v>36.941937165112279</v>
      </c>
      <c r="K80" s="39">
        <f t="shared" si="39"/>
        <v>34.822419580151198</v>
      </c>
      <c r="L80" s="39">
        <f t="shared" si="39"/>
        <v>33.632286995680275</v>
      </c>
    </row>
    <row r="81" spans="1:12" x14ac:dyDescent="0.2">
      <c r="A81" t="str">
        <f>A38</f>
        <v>Health and social work</v>
      </c>
      <c r="B81" s="39">
        <f>IF(AND(C$5-B$5 &lt;&gt; 0,B38&lt;&gt;0,C38&lt;&gt;0),(EXP(LN(C38/B38)/(C$5-B$5))-1)*100,0)</f>
        <v>1.1636968298387451</v>
      </c>
      <c r="C81" s="43">
        <f t="shared" si="38"/>
        <v>-3.0384658328239667</v>
      </c>
      <c r="D81" s="39">
        <f t="shared" si="40"/>
        <v>1.3430073481638827</v>
      </c>
      <c r="E81" s="39">
        <f t="shared" si="40"/>
        <v>0.56904242524928872</v>
      </c>
      <c r="F81" s="43">
        <f t="shared" si="18"/>
        <v>0.8263717343517607</v>
      </c>
      <c r="H81" s="39">
        <f>(B38/B$35)*100</f>
        <v>49.421137424070125</v>
      </c>
      <c r="I81" s="39">
        <f t="shared" si="39"/>
        <v>49.800773966300966</v>
      </c>
      <c r="J81" s="39">
        <f t="shared" si="39"/>
        <v>48.931681874832854</v>
      </c>
      <c r="K81" s="39">
        <f t="shared" si="39"/>
        <v>50.491140101637185</v>
      </c>
      <c r="L81" s="39">
        <f t="shared" si="39"/>
        <v>51.248384199322835</v>
      </c>
    </row>
    <row r="82" spans="1:12" x14ac:dyDescent="0.2">
      <c r="B82" s="39"/>
      <c r="C82" s="43"/>
      <c r="D82" s="39"/>
      <c r="E82" s="39"/>
      <c r="F82" s="43"/>
      <c r="H82" s="39"/>
      <c r="I82" s="39"/>
      <c r="J82" s="39"/>
      <c r="K82" s="39"/>
      <c r="L82" s="39"/>
    </row>
    <row r="83" spans="1:12" x14ac:dyDescent="0.2">
      <c r="A83" s="23" t="str">
        <f>A40</f>
        <v>All industries</v>
      </c>
      <c r="B83" s="42">
        <f>IF(AND(C$5-B$5 &lt;&gt; 0,B40&lt;&gt;0,C40&lt;&gt;0),(EXP(LN(C40/B40)/(C$5-B$5))-1)*100,0)</f>
        <v>1.4086611058431231</v>
      </c>
      <c r="C83" s="206">
        <f t="shared" si="38"/>
        <v>-4.7643120618900969E-2</v>
      </c>
      <c r="D83" s="42">
        <f>IF(AND(E$5-D$5 &lt;&gt; 0,D40&lt;&gt;0,E40&lt;&gt;0),(EXP(LN(E40/D40)/(E$5-D$5))-1)*100,0)</f>
        <v>0.31874509394067552</v>
      </c>
      <c r="E83" s="42">
        <f>IF(AND(F$5-E$5 &lt;&gt; 0,E40&lt;&gt;0,F40&lt;&gt;0),(EXP(LN(F40/E40)/(F$5-E$5))-1)*100,0)</f>
        <v>0.27451898098458383</v>
      </c>
      <c r="F83" s="206">
        <f t="shared" si="18"/>
        <v>0.28925885184050149</v>
      </c>
      <c r="G83" s="23"/>
      <c r="H83" s="42">
        <f>(B40/B$40)*100</f>
        <v>100</v>
      </c>
      <c r="I83" s="42">
        <f>(C40/C$40)*100</f>
        <v>100</v>
      </c>
      <c r="J83" s="42">
        <f>(D40/D$40)*100</f>
        <v>100</v>
      </c>
      <c r="K83" s="42">
        <f>(E40/E$40)*100</f>
        <v>100</v>
      </c>
      <c r="L83" s="42">
        <f>(F40/F$40)*100</f>
        <v>100</v>
      </c>
    </row>
    <row r="86" spans="1:12" x14ac:dyDescent="0.2">
      <c r="A86" s="35"/>
      <c r="B86" s="27" t="s">
        <v>14</v>
      </c>
      <c r="C86" s="27"/>
    </row>
    <row r="87" spans="1:12" x14ac:dyDescent="0.2">
      <c r="A87" s="23"/>
      <c r="B87" s="36" t="str">
        <f>B5&amp;"-"&amp;D5</f>
        <v>2015-2020</v>
      </c>
      <c r="C87" s="36" t="str">
        <f>F48</f>
        <v>2020-2035</v>
      </c>
    </row>
    <row r="89" spans="1:12" x14ac:dyDescent="0.2">
      <c r="A89" s="29" t="str">
        <f>A7</f>
        <v>Primary sector and utilities</v>
      </c>
      <c r="B89" s="43">
        <f>IF(AND(D$5-B$5 &lt;&gt; 0,B7&lt;&gt;0,D7&lt;&gt;0),(EXP(LN(D7/B7)/(D$5-B$5))-1)*100,0)</f>
        <v>2.6495547554463039</v>
      </c>
      <c r="C89" s="43">
        <f>IF(AND(F$5-D$5 &lt;&gt; 0,D7&lt;&gt;0,F7&lt;&gt;0),(EXP(LN(F7/D7)/(F$5-D$5))-1)*100,0)</f>
        <v>-0.18427175294098985</v>
      </c>
    </row>
    <row r="90" spans="1:12" x14ac:dyDescent="0.2">
      <c r="A90" s="29" t="str">
        <f t="shared" ref="A90:A122" si="41">A8</f>
        <v>Agriculture</v>
      </c>
      <c r="B90" s="43">
        <f t="shared" ref="B90:B122" si="42">IF(AND(D$5-B$5 &lt;&gt; 0,B8&lt;&gt;0,D8&lt;&gt;0),(EXP(LN(D8/B8)/(D$5-B$5))-1)*100,0)</f>
        <v>7.992810632766445</v>
      </c>
      <c r="C90" s="43">
        <f t="shared" ref="C90:C122" si="43">IF(AND(F$5-D$5 &lt;&gt; 0,D8&lt;&gt;0,F8&lt;&gt;0),(EXP(LN(F8/D8)/(F$5-D$5))-1)*100,0)</f>
        <v>-0.29476338291910542</v>
      </c>
    </row>
    <row r="91" spans="1:12" x14ac:dyDescent="0.2">
      <c r="A91" s="29" t="str">
        <f t="shared" si="41"/>
        <v>Mining and quarrying</v>
      </c>
      <c r="B91" s="43">
        <f t="shared" si="42"/>
        <v>-6.1709074877681065</v>
      </c>
      <c r="C91" s="43">
        <f t="shared" si="43"/>
        <v>-3.1747729608764819</v>
      </c>
    </row>
    <row r="92" spans="1:12" x14ac:dyDescent="0.2">
      <c r="A92" s="29" t="str">
        <f t="shared" si="41"/>
        <v>Electricity and gas</v>
      </c>
      <c r="B92" s="43">
        <f t="shared" si="42"/>
        <v>-3.741159138526573</v>
      </c>
      <c r="C92" s="43">
        <f t="shared" si="43"/>
        <v>1.421565676347214E-2</v>
      </c>
    </row>
    <row r="93" spans="1:12" x14ac:dyDescent="0.2">
      <c r="A93" s="29" t="str">
        <f t="shared" si="41"/>
        <v>Water and sewerage</v>
      </c>
      <c r="B93" s="43">
        <f t="shared" si="42"/>
        <v>0.61341928385543198</v>
      </c>
      <c r="C93" s="43">
        <f t="shared" si="43"/>
        <v>0.58784219438701157</v>
      </c>
    </row>
    <row r="94" spans="1:12" x14ac:dyDescent="0.2">
      <c r="A94" s="29"/>
      <c r="B94" s="43"/>
      <c r="C94" s="43"/>
    </row>
    <row r="95" spans="1:12" x14ac:dyDescent="0.2">
      <c r="A95" s="29" t="str">
        <f t="shared" si="41"/>
        <v>Manufacturing</v>
      </c>
      <c r="B95" s="43">
        <f t="shared" si="42"/>
        <v>-0.15175520892835026</v>
      </c>
      <c r="C95" s="43">
        <f t="shared" si="43"/>
        <v>-0.51452860889750207</v>
      </c>
    </row>
    <row r="96" spans="1:12" x14ac:dyDescent="0.2">
      <c r="A96" s="29" t="str">
        <f t="shared" si="41"/>
        <v>Food drink and tobacco</v>
      </c>
      <c r="B96" s="43">
        <f t="shared" si="42"/>
        <v>-0.12237122343132789</v>
      </c>
      <c r="C96" s="43">
        <f t="shared" si="43"/>
        <v>1.2050439707365301</v>
      </c>
    </row>
    <row r="97" spans="1:3" x14ac:dyDescent="0.2">
      <c r="A97" s="29" t="str">
        <f t="shared" si="41"/>
        <v>Engineering</v>
      </c>
      <c r="B97" s="43">
        <f t="shared" si="42"/>
        <v>-5.0933316776867628</v>
      </c>
      <c r="C97" s="43">
        <f t="shared" si="43"/>
        <v>-1.3248626357906912</v>
      </c>
    </row>
    <row r="98" spans="1:3" x14ac:dyDescent="0.2">
      <c r="A98" s="29" t="str">
        <f t="shared" si="41"/>
        <v>Rest of manufacturing</v>
      </c>
      <c r="B98" s="43">
        <f t="shared" si="42"/>
        <v>0.72583665477417014</v>
      </c>
      <c r="C98" s="43">
        <f t="shared" si="43"/>
        <v>-0.99312209377682148</v>
      </c>
    </row>
    <row r="99" spans="1:3" x14ac:dyDescent="0.2">
      <c r="A99" s="29"/>
      <c r="B99" s="43"/>
      <c r="C99" s="43"/>
    </row>
    <row r="100" spans="1:3" x14ac:dyDescent="0.2">
      <c r="A100" s="29" t="str">
        <f t="shared" si="41"/>
        <v>Construction</v>
      </c>
      <c r="B100" s="43">
        <f t="shared" si="42"/>
        <v>0.24175926860092734</v>
      </c>
      <c r="C100" s="43">
        <f t="shared" si="43"/>
        <v>0.44718781921486705</v>
      </c>
    </row>
    <row r="101" spans="1:3" x14ac:dyDescent="0.2">
      <c r="A101" s="29"/>
      <c r="B101" s="43"/>
      <c r="C101" s="43"/>
    </row>
    <row r="102" spans="1:3" x14ac:dyDescent="0.2">
      <c r="A102" s="29" t="str">
        <f t="shared" si="41"/>
        <v>Trade, accomod. and transport</v>
      </c>
      <c r="B102" s="43">
        <f t="shared" si="42"/>
        <v>1.8096111539413373</v>
      </c>
      <c r="C102" s="43">
        <f t="shared" si="43"/>
        <v>0.31143495933443344</v>
      </c>
    </row>
    <row r="103" spans="1:3" x14ac:dyDescent="0.2">
      <c r="A103" s="29" t="str">
        <f t="shared" si="41"/>
        <v>Wholesale and retail trade</v>
      </c>
      <c r="B103" s="43">
        <f t="shared" si="42"/>
        <v>0.11474527843577942</v>
      </c>
      <c r="C103" s="43">
        <f t="shared" si="43"/>
        <v>0.27774238685975838</v>
      </c>
    </row>
    <row r="104" spans="1:3" x14ac:dyDescent="0.2">
      <c r="A104" s="29" t="str">
        <f t="shared" si="41"/>
        <v>Transport and storage</v>
      </c>
      <c r="B104" s="43">
        <f t="shared" si="42"/>
        <v>6.6080037528324809</v>
      </c>
      <c r="C104" s="43">
        <f t="shared" si="43"/>
        <v>0.30129395725082553</v>
      </c>
    </row>
    <row r="105" spans="1:3" x14ac:dyDescent="0.2">
      <c r="A105" s="29" t="str">
        <f t="shared" si="41"/>
        <v>Accommodation and food</v>
      </c>
      <c r="B105" s="43">
        <f t="shared" si="42"/>
        <v>1.6202931638874096</v>
      </c>
      <c r="C105" s="43">
        <f t="shared" si="43"/>
        <v>0.40781034387984416</v>
      </c>
    </row>
    <row r="106" spans="1:3" x14ac:dyDescent="0.2">
      <c r="A106" s="29"/>
      <c r="B106" s="43"/>
      <c r="C106" s="43"/>
    </row>
    <row r="107" spans="1:3" x14ac:dyDescent="0.2">
      <c r="A107" s="29" t="str">
        <f t="shared" si="41"/>
        <v>Business and other services</v>
      </c>
      <c r="B107" s="43">
        <f t="shared" si="42"/>
        <v>1.5519396564085186</v>
      </c>
      <c r="C107" s="43">
        <f t="shared" si="43"/>
        <v>0.40220956458576484</v>
      </c>
    </row>
    <row r="108" spans="1:3" x14ac:dyDescent="0.2">
      <c r="A108" s="29" t="str">
        <f t="shared" si="41"/>
        <v>Media</v>
      </c>
      <c r="B108" s="43">
        <f t="shared" si="42"/>
        <v>0.96480894327848343</v>
      </c>
      <c r="C108" s="43">
        <f t="shared" si="43"/>
        <v>-7.7202200693959888E-3</v>
      </c>
    </row>
    <row r="109" spans="1:3" x14ac:dyDescent="0.2">
      <c r="A109" s="29" t="str">
        <f t="shared" si="41"/>
        <v>Information technology</v>
      </c>
      <c r="B109" s="43">
        <f t="shared" si="42"/>
        <v>0.75394662076677665</v>
      </c>
      <c r="C109" s="43">
        <f t="shared" si="43"/>
        <v>0.95065227916140138</v>
      </c>
    </row>
    <row r="110" spans="1:3" x14ac:dyDescent="0.2">
      <c r="A110" s="29" t="str">
        <f t="shared" si="41"/>
        <v>Finance and insurance</v>
      </c>
      <c r="B110" s="43">
        <f t="shared" si="42"/>
        <v>1.3949871919499035</v>
      </c>
      <c r="C110" s="43">
        <f t="shared" si="43"/>
        <v>-0.50453932293708093</v>
      </c>
    </row>
    <row r="111" spans="1:3" x14ac:dyDescent="0.2">
      <c r="A111" s="29" t="str">
        <f t="shared" si="41"/>
        <v>Real estate</v>
      </c>
      <c r="B111" s="43">
        <f t="shared" si="42"/>
        <v>7.377720917097097</v>
      </c>
      <c r="C111" s="43">
        <f t="shared" si="43"/>
        <v>0.2574766139615825</v>
      </c>
    </row>
    <row r="112" spans="1:3" x14ac:dyDescent="0.2">
      <c r="A112" s="29" t="str">
        <f t="shared" si="41"/>
        <v>Professional services</v>
      </c>
      <c r="B112" s="43">
        <f t="shared" si="42"/>
        <v>5.6934614539879025</v>
      </c>
      <c r="C112" s="43">
        <f t="shared" si="43"/>
        <v>0.57338975232432698</v>
      </c>
    </row>
    <row r="113" spans="1:3" x14ac:dyDescent="0.2">
      <c r="A113" s="29" t="str">
        <f t="shared" si="41"/>
        <v>Support services</v>
      </c>
      <c r="B113" s="43">
        <f t="shared" si="42"/>
        <v>-2.6996722702106402</v>
      </c>
      <c r="C113" s="43">
        <f t="shared" si="43"/>
        <v>0.81749024184467611</v>
      </c>
    </row>
    <row r="114" spans="1:3" x14ac:dyDescent="0.2">
      <c r="A114" s="29" t="str">
        <f t="shared" si="41"/>
        <v>Arts and entertainment</v>
      </c>
      <c r="B114" s="43">
        <f t="shared" si="42"/>
        <v>-0.70008057555128733</v>
      </c>
      <c r="C114" s="43">
        <f t="shared" si="43"/>
        <v>-0.37611675117814602</v>
      </c>
    </row>
    <row r="115" spans="1:3" x14ac:dyDescent="0.2">
      <c r="A115" s="29" t="str">
        <f t="shared" si="41"/>
        <v>Other services</v>
      </c>
      <c r="B115" s="43">
        <f t="shared" si="42"/>
        <v>4.5067425362002034</v>
      </c>
      <c r="C115" s="43">
        <f t="shared" si="43"/>
        <v>-0.47367271170984937</v>
      </c>
    </row>
    <row r="116" spans="1:3" x14ac:dyDescent="0.2">
      <c r="A116" s="29"/>
      <c r="B116" s="43"/>
      <c r="C116" s="43"/>
    </row>
    <row r="117" spans="1:3" x14ac:dyDescent="0.2">
      <c r="A117" s="29" t="str">
        <f t="shared" si="41"/>
        <v>Non-marketed services</v>
      </c>
      <c r="B117" s="43">
        <f t="shared" si="42"/>
        <v>0.50881840595056183</v>
      </c>
      <c r="C117" s="43">
        <f t="shared" si="43"/>
        <v>0.51590881526228927</v>
      </c>
    </row>
    <row r="118" spans="1:3" x14ac:dyDescent="0.2">
      <c r="A118" s="29" t="str">
        <f t="shared" si="41"/>
        <v>Public admin. and defence</v>
      </c>
      <c r="B118" s="43">
        <f t="shared" si="42"/>
        <v>1.1767458888519711</v>
      </c>
      <c r="C118" s="43">
        <f t="shared" si="43"/>
        <v>0.97214374101770584</v>
      </c>
    </row>
    <row r="119" spans="1:3" x14ac:dyDescent="0.2">
      <c r="A119" s="29" t="str">
        <f t="shared" si="41"/>
        <v>Education</v>
      </c>
      <c r="B119" s="43">
        <f t="shared" si="42"/>
        <v>0.52476318849139503</v>
      </c>
      <c r="C119" s="43">
        <f t="shared" si="43"/>
        <v>-0.11109491977920882</v>
      </c>
    </row>
    <row r="120" spans="1:3" x14ac:dyDescent="0.2">
      <c r="A120" s="29" t="str">
        <f t="shared" si="41"/>
        <v>Health and social work</v>
      </c>
      <c r="B120" s="43">
        <f t="shared" si="42"/>
        <v>0.30894178464342392</v>
      </c>
      <c r="C120" s="43">
        <f t="shared" si="43"/>
        <v>0.8263717343517607</v>
      </c>
    </row>
    <row r="121" spans="1:3" x14ac:dyDescent="0.2">
      <c r="A121" s="29"/>
      <c r="B121" s="43"/>
      <c r="C121" s="43"/>
    </row>
    <row r="122" spans="1:3" x14ac:dyDescent="0.2">
      <c r="A122" s="344" t="str">
        <f t="shared" si="41"/>
        <v>All industries</v>
      </c>
      <c r="B122" s="206">
        <f t="shared" si="42"/>
        <v>1.1157126085032942</v>
      </c>
      <c r="C122" s="206">
        <f t="shared" si="43"/>
        <v>0.28925885184050149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8" t="str">
        <f>CONCATENATE("Industry Table 5  Employment status by Industry (SIC 2007) and Gender, ",A$8,"-",A$18,", ",Info!B5)</f>
        <v>Industry Table 5  Employment status by Industry (SIC 2007) and Gender, 2020-2035, East Midlands</v>
      </c>
    </row>
    <row r="2" spans="1:17" x14ac:dyDescent="0.2">
      <c r="A2" s="1" t="s">
        <v>532</v>
      </c>
    </row>
    <row r="5" spans="1:17" x14ac:dyDescent="0.2">
      <c r="A5" s="288"/>
      <c r="B5" s="289" t="s">
        <v>379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377</v>
      </c>
    </row>
    <row r="7" spans="1:17" x14ac:dyDescent="0.2">
      <c r="A7" s="296" t="s">
        <v>378</v>
      </c>
      <c r="B7" s="370" t="s">
        <v>376</v>
      </c>
      <c r="C7" s="370"/>
      <c r="D7" s="370" t="s">
        <v>375</v>
      </c>
      <c r="E7" s="370"/>
      <c r="F7" s="370" t="s">
        <v>374</v>
      </c>
      <c r="G7" s="370"/>
      <c r="H7" s="370" t="s">
        <v>32</v>
      </c>
      <c r="I7" s="370"/>
      <c r="J7" s="296"/>
      <c r="K7" s="297" t="s">
        <v>339</v>
      </c>
      <c r="L7" s="297" t="s">
        <v>341</v>
      </c>
      <c r="M7" s="297" t="s">
        <v>337</v>
      </c>
      <c r="N7" s="297" t="s">
        <v>32</v>
      </c>
    </row>
    <row r="8" spans="1:17" x14ac:dyDescent="0.2">
      <c r="A8" s="286">
        <f>'Ind T6'!L5</f>
        <v>2020</v>
      </c>
      <c r="B8" s="287" t="s">
        <v>60</v>
      </c>
      <c r="C8" s="19" t="s">
        <v>373</v>
      </c>
      <c r="D8" s="287" t="s">
        <v>60</v>
      </c>
      <c r="E8" s="19" t="s">
        <v>373</v>
      </c>
      <c r="F8" s="287" t="s">
        <v>60</v>
      </c>
      <c r="G8" s="19" t="s">
        <v>373</v>
      </c>
      <c r="H8" s="287" t="s">
        <v>60</v>
      </c>
      <c r="I8" s="19" t="s">
        <v>373</v>
      </c>
      <c r="J8" s="181"/>
      <c r="K8" s="286" t="str">
        <f>CONCATENATE(A8," - ",A13)</f>
        <v>2020 - 2025</v>
      </c>
      <c r="L8" s="285"/>
      <c r="M8" s="285"/>
    </row>
    <row r="9" spans="1:17" x14ac:dyDescent="0.2">
      <c r="A9" s="282" t="s">
        <v>355</v>
      </c>
      <c r="B9" s="249">
        <f>SUM(B30,B51,B72,B93,B114,B135,B156,B177,B198,B219,B240,B261,B282,B303,B324,B345,B366,B387,B408,B429,B450,B471)</f>
        <v>891.91499999835526</v>
      </c>
      <c r="C9" s="299" t="str">
        <f>CONCATENATE("(",ROUND((B9/$H11)*100,1),")")</f>
        <v>(37.1)</v>
      </c>
      <c r="D9" s="249">
        <f>SUM(D30,D51,D72,D93,D114,D135,D156,D177,D198,D219,D240,D261,D282,D303,D324,D345,D366,D387,D408,D429,D450,D471)</f>
        <v>195.66700000061445</v>
      </c>
      <c r="E9" s="299" t="str">
        <f>CONCATENATE("(",ROUND((D9/$H11)*100,1),")")</f>
        <v>(8.1)</v>
      </c>
      <c r="F9" s="249">
        <f>SUM(F30,F51,F72,F93,F114,F135,F156,F177,F198,F219,F240,F261,F282,F303,F324,F345,F366,F387,F408,F429,F450,F471)</f>
        <v>175.0100000001471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1262.591999999117</v>
      </c>
      <c r="I9" s="299" t="str">
        <f>CONCATENATE("(",ROUND((H9/$H11)*100,1),")")</f>
        <v>(52.5)</v>
      </c>
      <c r="K9" s="249">
        <f>B14-B9</f>
        <v>9.0210000011825286</v>
      </c>
      <c r="L9" s="249">
        <f>D14-D9</f>
        <v>3.5019999998204128</v>
      </c>
      <c r="M9" s="249">
        <f>F14-F9</f>
        <v>1.7449999998718511</v>
      </c>
      <c r="N9" s="249">
        <f>SUM(K9:M9)</f>
        <v>14.268000000874792</v>
      </c>
      <c r="O9" s="298"/>
      <c r="P9" s="298"/>
      <c r="Q9" s="298"/>
    </row>
    <row r="10" spans="1:17" x14ac:dyDescent="0.2">
      <c r="A10" s="282" t="s">
        <v>356</v>
      </c>
      <c r="B10" s="249">
        <f t="shared" ref="B10:B21" si="0">SUM(B31,B52,B73,B94,B115,B136,B157,B178,B199,B220,B241,B262,B283,B304,B325,B346,B367,B388,B409,B430,B451,B472)</f>
        <v>530.67499999729102</v>
      </c>
      <c r="C10" s="299" t="str">
        <f>CONCATENATE("(",ROUND((B10/$H11)*100,1),")")</f>
        <v>(22.1)</v>
      </c>
      <c r="D10" s="249">
        <f t="shared" ref="D10" si="1">SUM(D31,D52,D73,D94,D115,D136,D157,D178,D199,D220,D241,D262,D283,D304,D325,D346,D367,D388,D409,D430,D451,D472)</f>
        <v>490.86800000336456</v>
      </c>
      <c r="E10" s="299" t="str">
        <f>CONCATENATE("(",ROUND((D10/$H11)*100,1),")")</f>
        <v>(20.4)</v>
      </c>
      <c r="F10" s="249">
        <f t="shared" ref="F10" si="2">SUM(F31,F52,F73,F94,F115,F136,F157,F178,F199,F220,F241,F262,F283,F304,F325,F346,F367,F388,F409,F430,F451,F472)</f>
        <v>120.10299999856568</v>
      </c>
      <c r="G10" s="299" t="str">
        <f>CONCATENATE("(",ROUND((F10/$H11)*100,1),")")</f>
        <v>(5)</v>
      </c>
      <c r="H10" s="249">
        <f t="shared" ref="H10" si="3">SUM(H31,H52,H73,H94,H115,H136,H157,H178,H199,H220,H241,H262,H283,H304,H325,H346,H367,H388,H409,H430,H451,H472)</f>
        <v>1141.6459999992214</v>
      </c>
      <c r="I10" s="299" t="str">
        <f>CONCATENATE("(",ROUND((H10/$H11)*100,1),")")</f>
        <v>(47.5)</v>
      </c>
      <c r="K10" s="249">
        <f t="shared" ref="K10:K11" si="4">B15-B10</f>
        <v>21.514000006976516</v>
      </c>
      <c r="L10" s="249">
        <f t="shared" ref="L10:L11" si="5">D15-D10</f>
        <v>0.91899999641316299</v>
      </c>
      <c r="M10" s="249">
        <f t="shared" ref="M10:M11" si="6">F15-F10</f>
        <v>1.8610000020978674</v>
      </c>
      <c r="N10" s="249">
        <f t="shared" ref="N10:N11" si="7">SUM(K10:M10)</f>
        <v>24.294000005487547</v>
      </c>
      <c r="O10" s="298"/>
      <c r="P10" s="298"/>
      <c r="Q10" s="298"/>
    </row>
    <row r="11" spans="1:17" x14ac:dyDescent="0.2">
      <c r="A11" s="282" t="s">
        <v>354</v>
      </c>
      <c r="B11" s="249">
        <f t="shared" si="0"/>
        <v>1422.5899999956459</v>
      </c>
      <c r="C11" s="299" t="str">
        <f>CONCATENATE("(",ROUND((B11/$H11)*100,1),")")</f>
        <v>(59.2)</v>
      </c>
      <c r="D11" s="249">
        <f t="shared" ref="D11" si="8">SUM(D32,D53,D74,D95,D116,D137,D158,D179,D200,D221,D242,D263,D284,D305,D326,D347,D368,D389,D410,D431,D452,D473)</f>
        <v>686.53500000397889</v>
      </c>
      <c r="E11" s="299" t="str">
        <f>CONCATENATE("(",ROUND((D11/$H11)*100,1),")")</f>
        <v>(28.6)</v>
      </c>
      <c r="F11" s="249">
        <f t="shared" ref="F11" si="9">SUM(F32,F53,F74,F95,F116,F137,F158,F179,F200,F221,F242,F263,F284,F305,F326,F347,F368,F389,F410,F431,F452,F473)</f>
        <v>295.11299999871278</v>
      </c>
      <c r="G11" s="299" t="str">
        <f>CONCATENATE("(",ROUND((F11/$H11)*100,1),")")</f>
        <v>(12.3)</v>
      </c>
      <c r="H11" s="249">
        <f t="shared" ref="H11" si="10">SUM(H32,H53,H74,H95,H116,H137,H158,H179,H200,H221,H242,H263,H284,H305,H326,H347,H368,H389,H410,H431,H452,H473)</f>
        <v>2404.2379999983382</v>
      </c>
      <c r="I11" s="299" t="str">
        <f>CONCATENATE("(",ROUND((H11/$H11)*100,1),")")</f>
        <v>(100)</v>
      </c>
      <c r="K11" s="249">
        <f t="shared" si="4"/>
        <v>30.535000008159159</v>
      </c>
      <c r="L11" s="249">
        <f t="shared" si="5"/>
        <v>4.4209999962336042</v>
      </c>
      <c r="M11" s="249">
        <f t="shared" si="6"/>
        <v>3.6060000019697327</v>
      </c>
      <c r="N11" s="249">
        <f t="shared" si="7"/>
        <v>38.562000006362496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355</v>
      </c>
      <c r="B14" s="249">
        <f>SUM(B35,B56,B77,B98,B119,B140,B161,B182,B203,B224,B245,B266,B287,B308,B329,B350,B371,B392,B413,B434,B455,B476)</f>
        <v>900.93599999953778</v>
      </c>
      <c r="C14" s="299" t="str">
        <f>CONCATENATE("(",ROUND((B14/$H16)*100,1),")")</f>
        <v>(36.9)</v>
      </c>
      <c r="D14" s="249">
        <f t="shared" ref="D14" si="11">SUM(D35,D56,D77,D98,D119,D140,D161,D182,D203,D224,D245,D266,D287,D308,D329,D350,D371,D392,D413,D434,D455,D476)</f>
        <v>199.16900000043486</v>
      </c>
      <c r="E14" s="299" t="str">
        <f>CONCATENATE("(",ROUND((D14/$H16)*100,1),")")</f>
        <v>(8.2)</v>
      </c>
      <c r="F14" s="249">
        <f t="shared" ref="F14" si="12">SUM(F35,F56,F77,F98,F119,F140,F161,F182,F203,F224,F245,F266,F287,F308,F329,F350,F371,F392,F413,F434,F455,F476)</f>
        <v>176.75500000001895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1276.8599999999919</v>
      </c>
      <c r="I14" s="299" t="str">
        <f>CONCATENATE("(",ROUND((H14/$H16)*100,1),")")</f>
        <v>(52.3)</v>
      </c>
      <c r="K14" s="249">
        <f>B19-B14</f>
        <v>7.6719999996518027</v>
      </c>
      <c r="L14" s="249">
        <f>D19-D14</f>
        <v>8.9709999998678143</v>
      </c>
      <c r="M14" s="249">
        <f>F19-F14</f>
        <v>6.8980000003446946</v>
      </c>
      <c r="N14" s="249">
        <f>SUM(K14:M14)</f>
        <v>23.540999999864312</v>
      </c>
    </row>
    <row r="15" spans="1:17" x14ac:dyDescent="0.2">
      <c r="A15" s="282" t="s">
        <v>356</v>
      </c>
      <c r="B15" s="249">
        <f t="shared" si="0"/>
        <v>552.18900000426754</v>
      </c>
      <c r="C15" s="299" t="str">
        <f>CONCATENATE("(",ROUND((B15/$H16)*100,1),")")</f>
        <v>(22.6)</v>
      </c>
      <c r="D15" s="249">
        <f t="shared" ref="D15" si="14">SUM(D36,D57,D78,D99,D120,D141,D162,D183,D204,D225,D246,D267,D288,D309,D330,D351,D372,D393,D414,D435,D456,D477)</f>
        <v>491.78699999977772</v>
      </c>
      <c r="E15" s="299" t="str">
        <f>CONCATENATE("(",ROUND((D15/$H16)*100,1),")")</f>
        <v>(20.1)</v>
      </c>
      <c r="F15" s="249">
        <f t="shared" ref="F15" si="15">SUM(F36,F57,F78,F99,F120,F141,F162,F183,F204,F225,F246,F267,F288,F309,F330,F351,F372,F393,F414,F435,F456,F477)</f>
        <v>121.96400000066355</v>
      </c>
      <c r="G15" s="299" t="str">
        <f>CONCATENATE("(",ROUND((F15/$H16)*100,1),")")</f>
        <v>(5)</v>
      </c>
      <c r="H15" s="249">
        <f t="shared" ref="H15" si="16">SUM(H36,H57,H78,H99,H120,H141,H162,H183,H204,H225,H246,H267,H288,H309,H330,H351,H372,H393,H414,H435,H456,H477)</f>
        <v>1165.9400000047087</v>
      </c>
      <c r="I15" s="299" t="str">
        <f>CONCATENATE("(",ROUND((H15/$H16)*100,1),")")</f>
        <v>(47.7)</v>
      </c>
      <c r="K15" s="249">
        <f t="shared" ref="K15:K16" si="17">B20-B15</f>
        <v>37.804999996126639</v>
      </c>
      <c r="L15" s="249">
        <f t="shared" ref="L15:L16" si="18">D20-D15</f>
        <v>-0.16700000141617011</v>
      </c>
      <c r="M15" s="249">
        <f t="shared" ref="M15:M16" si="19">F20-F15</f>
        <v>6.7149999999940491</v>
      </c>
      <c r="N15" s="249">
        <f t="shared" ref="N15:N16" si="20">SUM(K15:M15)</f>
        <v>44.352999994704518</v>
      </c>
    </row>
    <row r="16" spans="1:17" x14ac:dyDescent="0.2">
      <c r="A16" s="282" t="s">
        <v>354</v>
      </c>
      <c r="B16" s="249">
        <f t="shared" si="0"/>
        <v>1453.1250000038051</v>
      </c>
      <c r="C16" s="299" t="str">
        <f>CONCATENATE("(",ROUND((B16/$H16)*100,1),")")</f>
        <v>(59.5)</v>
      </c>
      <c r="D16" s="249">
        <f t="shared" ref="D16" si="21">SUM(D37,D58,D79,D100,D121,D142,D163,D184,D205,D226,D247,D268,D289,D310,D331,D352,D373,D394,D415,D436,D457,D478)</f>
        <v>690.9560000002125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298.71900000068251</v>
      </c>
      <c r="G16" s="299" t="str">
        <f>CONCATENATE("(",ROUND((F16/$H16)*100,1),")")</f>
        <v>(12.2)</v>
      </c>
      <c r="H16" s="249">
        <f t="shared" ref="H16" si="23">SUM(H37,H58,H79,H100,H121,H142,H163,H184,H205,H226,H247,H268,H289,H310,H331,H352,H373,H394,H415,H436,H457,H478)</f>
        <v>2442.8000000047005</v>
      </c>
      <c r="I16" s="299" t="str">
        <f>CONCATENATE("(",ROUND((H16/$H16)*100,1),")")</f>
        <v>(100)</v>
      </c>
      <c r="K16" s="249">
        <f t="shared" si="17"/>
        <v>45.476999995778442</v>
      </c>
      <c r="L16" s="249">
        <f t="shared" si="18"/>
        <v>8.8039999984516726</v>
      </c>
      <c r="M16" s="249">
        <f t="shared" si="19"/>
        <v>13.613000000338729</v>
      </c>
      <c r="N16" s="249">
        <f t="shared" si="20"/>
        <v>67.893999994568844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355</v>
      </c>
      <c r="B19" s="249">
        <f t="shared" si="0"/>
        <v>908.60799999918959</v>
      </c>
      <c r="C19" s="299" t="str">
        <f>CONCATENATE("(",ROUND((B19/$H21)*100,1),")")</f>
        <v>(36.2)</v>
      </c>
      <c r="D19" s="249">
        <f t="shared" ref="D19" si="24">SUM(D40,D61,D82,D103,D124,D145,D166,D187,D208,D229,D250,D271,D292,D313,D334,D355,D376,D397,D418,D439,D460,D481)</f>
        <v>208.14000000030268</v>
      </c>
      <c r="E19" s="299" t="str">
        <f>CONCATENATE("(",ROUND((D19/$H21)*100,1),")")</f>
        <v>(8.3)</v>
      </c>
      <c r="F19" s="249">
        <f t="shared" ref="F19" si="25">SUM(F40,F61,F82,F103,F124,F145,F166,F187,F208,F229,F250,F271,F292,F313,F334,F355,F376,F397,F418,F439,F460,F481)</f>
        <v>183.65300000036365</v>
      </c>
      <c r="G19" s="299" t="str">
        <f>CONCATENATE("(",ROUND((F19/$H21)*100,1),")")</f>
        <v>(7.3)</v>
      </c>
      <c r="H19" s="249">
        <f t="shared" ref="H19" si="26">SUM(H40,H61,H82,H103,H124,H145,H166,H187,H208,H229,H250,H271,H292,H313,H334,H355,H376,H397,H418,H439,H460,H481)</f>
        <v>1300.4009999998557</v>
      </c>
      <c r="I19" s="299" t="str">
        <f>CONCATENATE("(",ROUND((H19/$H21)*100,1),")")</f>
        <v>(51.8)</v>
      </c>
      <c r="K19" s="249">
        <f>B19-B9</f>
        <v>16.693000000834331</v>
      </c>
      <c r="L19" s="249">
        <f>D19-D9</f>
        <v>12.472999999688227</v>
      </c>
      <c r="M19" s="249">
        <f>F19-F9</f>
        <v>8.6430000002165457</v>
      </c>
      <c r="N19" s="249">
        <f>SUM(K19:M19)</f>
        <v>37.809000000739104</v>
      </c>
    </row>
    <row r="20" spans="1:14" x14ac:dyDescent="0.2">
      <c r="A20" s="282" t="s">
        <v>356</v>
      </c>
      <c r="B20" s="249">
        <f t="shared" si="0"/>
        <v>589.99400000039418</v>
      </c>
      <c r="C20" s="299" t="str">
        <f>CONCATENATE("(",ROUND((B20/$H21)*100,1),")")</f>
        <v>(23.5)</v>
      </c>
      <c r="D20" s="249">
        <f t="shared" ref="D20" si="27">SUM(D41,D62,D83,D104,D125,D146,D167,D188,D209,D230,D251,D272,D293,D314,D335,D356,D377,D398,D419,D440,D461,D482)</f>
        <v>491.61999999836155</v>
      </c>
      <c r="E20" s="299" t="str">
        <f>CONCATENATE("(",ROUND((D20/$H21)*100,1),")")</f>
        <v>(19.6)</v>
      </c>
      <c r="F20" s="249">
        <f t="shared" ref="F20" si="28">SUM(F41,F62,F83,F104,F125,F146,F167,F188,F209,F230,F251,F272,F293,F314,F335,F356,F377,F398,F419,F440,F461,F482)</f>
        <v>128.6790000006576</v>
      </c>
      <c r="G20" s="299" t="str">
        <f>CONCATENATE("(",ROUND((F20/$H21)*100,1),")")</f>
        <v>(5.1)</v>
      </c>
      <c r="H20" s="249">
        <f t="shared" ref="H20" si="29">SUM(H41,H62,H83,H104,H125,H146,H167,H188,H209,H230,H251,H272,H293,H314,H335,H356,H377,H398,H419,H440,H461,H482)</f>
        <v>1210.2929999994133</v>
      </c>
      <c r="I20" s="299" t="str">
        <f>CONCATENATE("(",ROUND((H20/$H21)*100,1),")")</f>
        <v>(48.2)</v>
      </c>
      <c r="K20" s="249">
        <f t="shared" ref="K20:K21" si="30">B20-B10</f>
        <v>59.319000003103156</v>
      </c>
      <c r="L20" s="249">
        <f t="shared" ref="L20:L21" si="31">D20-D10</f>
        <v>0.75199999499699288</v>
      </c>
      <c r="M20" s="249">
        <f t="shared" ref="M20:M21" si="32">F20-F10</f>
        <v>8.5760000020919165</v>
      </c>
      <c r="N20" s="249">
        <f t="shared" ref="N20:N21" si="33">SUM(K20:M20)</f>
        <v>68.647000000192065</v>
      </c>
    </row>
    <row r="21" spans="1:14" x14ac:dyDescent="0.2">
      <c r="A21" s="282" t="s">
        <v>354</v>
      </c>
      <c r="B21" s="249">
        <f t="shared" si="0"/>
        <v>1498.6019999995835</v>
      </c>
      <c r="C21" s="299" t="str">
        <f>CONCATENATE("(",ROUND((B21/$H21)*100,1),")")</f>
        <v>(59.7)</v>
      </c>
      <c r="D21" s="249">
        <f t="shared" ref="D21" si="34">SUM(D42,D63,D84,D105,D126,D147,D168,D189,D210,D231,D252,D273,D294,D315,D336,D357,D378,D399,D420,D441,D462,D483)</f>
        <v>699.75999999866417</v>
      </c>
      <c r="E21" s="299" t="str">
        <f>CONCATENATE("(",ROUND((D21/$H21)*100,1),")")</f>
        <v>(27.9)</v>
      </c>
      <c r="F21" s="249">
        <f>SUM(F42,F63,F84,F105,F126,F147,F168,F189,F210,F231,F252,F273,F294,F315,F336,F357,F378,F399,F420,F441,F462,F483)</f>
        <v>312.33200000102124</v>
      </c>
      <c r="G21" s="299" t="str">
        <f>CONCATENATE("(",ROUND((F21/$H21)*100,1),")")</f>
        <v>(12.4)</v>
      </c>
      <c r="H21" s="249">
        <f t="shared" ref="H21" si="35">SUM(H42,H63,H84,H105,H126,H147,H168,H189,H210,H231,H252,H273,H294,H315,H336,H357,H378,H399,H420,H441,H462,H483)</f>
        <v>2510.6939999992696</v>
      </c>
      <c r="I21" s="299" t="str">
        <f>CONCATENATE("(",ROUND((H21/$H21)*100,1),")")</f>
        <v>(100)</v>
      </c>
      <c r="K21" s="249">
        <f t="shared" si="30"/>
        <v>76.012000003937601</v>
      </c>
      <c r="L21" s="249">
        <f t="shared" si="31"/>
        <v>13.224999994685277</v>
      </c>
      <c r="M21" s="249">
        <f t="shared" si="32"/>
        <v>17.219000002308462</v>
      </c>
      <c r="N21" s="249">
        <f t="shared" si="33"/>
        <v>106.45600000093134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379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377</v>
      </c>
    </row>
    <row r="28" spans="1:14" x14ac:dyDescent="0.2">
      <c r="A28" s="296" t="s">
        <v>378</v>
      </c>
      <c r="B28" s="370" t="s">
        <v>376</v>
      </c>
      <c r="C28" s="370"/>
      <c r="D28" s="370" t="s">
        <v>375</v>
      </c>
      <c r="E28" s="370"/>
      <c r="F28" s="370" t="s">
        <v>374</v>
      </c>
      <c r="G28" s="370"/>
      <c r="H28" s="370" t="s">
        <v>32</v>
      </c>
      <c r="I28" s="370"/>
      <c r="J28" s="296"/>
      <c r="K28" s="297" t="s">
        <v>339</v>
      </c>
      <c r="L28" s="297" t="s">
        <v>341</v>
      </c>
      <c r="M28" s="297" t="s">
        <v>337</v>
      </c>
      <c r="N28" s="297" t="s">
        <v>32</v>
      </c>
    </row>
    <row r="29" spans="1:14" x14ac:dyDescent="0.2">
      <c r="A29" s="292">
        <f>$A$8</f>
        <v>2020</v>
      </c>
      <c r="B29" s="287" t="s">
        <v>60</v>
      </c>
      <c r="C29" s="19" t="s">
        <v>373</v>
      </c>
      <c r="D29" s="287" t="s">
        <v>60</v>
      </c>
      <c r="E29" s="19" t="s">
        <v>373</v>
      </c>
      <c r="F29" s="287" t="s">
        <v>60</v>
      </c>
      <c r="G29" s="19" t="s">
        <v>373</v>
      </c>
      <c r="H29" s="287" t="s">
        <v>60</v>
      </c>
      <c r="I29" s="19" t="s">
        <v>373</v>
      </c>
      <c r="J29" s="181"/>
      <c r="K29" s="286" t="str">
        <f>CONCATENATE(A29," - ",A34)</f>
        <v>2020 - 2025</v>
      </c>
      <c r="L29" s="285"/>
      <c r="M29" s="285"/>
    </row>
    <row r="30" spans="1:14" x14ac:dyDescent="0.2">
      <c r="A30" s="282" t="s">
        <v>355</v>
      </c>
      <c r="B30" s="302">
        <f>'Ind T6'!L10</f>
        <v>18.186000000068248</v>
      </c>
      <c r="C30" s="299" t="str">
        <f>CONCATENATE("(",ROUND((B30/$H32)*100,1),")")</f>
        <v>(44.7)</v>
      </c>
      <c r="D30" s="302">
        <f>'Ind T6'!M10</f>
        <v>2.2400000000095135</v>
      </c>
      <c r="E30" s="299" t="str">
        <f>CONCATENATE("(",ROUND((D30/$H32)*100,1),")")</f>
        <v>(5.5)</v>
      </c>
      <c r="F30" s="302">
        <f>'Ind T6'!N10</f>
        <v>8.8319999998350038</v>
      </c>
      <c r="G30" s="299" t="str">
        <f>CONCATENATE("(",ROUND((F30/$H32)*100,1),")")</f>
        <v>(21.7)</v>
      </c>
      <c r="H30" s="302">
        <f>SUM(B30,D30,F30)</f>
        <v>29.257999999912762</v>
      </c>
      <c r="I30" s="299" t="str">
        <f>CONCATENATE("(",ROUND((H30/$H32)*100,1),")")</f>
        <v>(71.9)</v>
      </c>
      <c r="K30" s="302">
        <f>B35-B30</f>
        <v>0.23900000003574462</v>
      </c>
      <c r="L30" s="302">
        <f>D35-D30</f>
        <v>-2.9000000003216897E-2</v>
      </c>
      <c r="M30" s="302">
        <f>F35-F30</f>
        <v>-0.43400000022207408</v>
      </c>
      <c r="N30" s="302">
        <f>SUM(K30:M30)</f>
        <v>-0.22400000018954636</v>
      </c>
    </row>
    <row r="31" spans="1:14" x14ac:dyDescent="0.2">
      <c r="A31" s="282" t="s">
        <v>356</v>
      </c>
      <c r="B31" s="302">
        <f>'Ind T6'!L9</f>
        <v>6.6249999999698268</v>
      </c>
      <c r="C31" s="299" t="str">
        <f>CONCATENATE("(",ROUND((B31/$H32)*100,1),")")</f>
        <v>(16.3)</v>
      </c>
      <c r="D31" s="302">
        <f>'Ind T6'!M9</f>
        <v>1.4010000000148548</v>
      </c>
      <c r="E31" s="299" t="str">
        <f>CONCATENATE("(",ROUND((D31/$H32)*100,1),")")</f>
        <v>(3.4)</v>
      </c>
      <c r="F31" s="302">
        <f>'Ind T6'!N9</f>
        <v>3.4189999999219314</v>
      </c>
      <c r="G31" s="299" t="str">
        <f>CONCATENATE("(",ROUND((F31/$H32)*100,1),")")</f>
        <v>(8.4)</v>
      </c>
      <c r="H31" s="302">
        <f t="shared" ref="H31" si="36">SUM(B31,D31,F31)</f>
        <v>11.444999999906614</v>
      </c>
      <c r="I31" s="299" t="str">
        <f>CONCATENATE("(",ROUND((H31/$H32)*100,1),")")</f>
        <v>(28.1)</v>
      </c>
      <c r="K31" s="302">
        <f t="shared" ref="K31:K32" si="37">B36-B31</f>
        <v>-0.13099999987976041</v>
      </c>
      <c r="L31" s="302">
        <f t="shared" ref="L31:L32" si="38">D36-D31</f>
        <v>-7.0000000006751328E-2</v>
      </c>
      <c r="M31" s="302">
        <f t="shared" ref="M31:M32" si="39">F36-F31</f>
        <v>-1.9999999952139635E-2</v>
      </c>
      <c r="N31" s="302">
        <f t="shared" ref="N31:N32" si="40">SUM(K31:M31)</f>
        <v>-0.22099999983865137</v>
      </c>
    </row>
    <row r="32" spans="1:14" x14ac:dyDescent="0.2">
      <c r="A32" s="282" t="s">
        <v>354</v>
      </c>
      <c r="B32" s="302">
        <f>SUM(B30:B31)</f>
        <v>24.811000000038074</v>
      </c>
      <c r="C32" s="299" t="str">
        <f>CONCATENATE("(",ROUND((B32/$H32)*100,1),")")</f>
        <v>(61)</v>
      </c>
      <c r="D32" s="302">
        <f>SUM(D30:D31)</f>
        <v>3.6410000000243681</v>
      </c>
      <c r="E32" s="299" t="str">
        <f>CONCATENATE("(",ROUND((D32/$H32)*100,1),")")</f>
        <v>(8.9)</v>
      </c>
      <c r="F32" s="302">
        <f>SUM(F30:F31)</f>
        <v>12.250999999756935</v>
      </c>
      <c r="G32" s="299" t="str">
        <f>CONCATENATE("(",ROUND((F32/$H32)*100,1),")")</f>
        <v>(30.1)</v>
      </c>
      <c r="H32" s="302">
        <f>SUM(H30:H31)</f>
        <v>40.702999999819376</v>
      </c>
      <c r="I32" s="299" t="str">
        <f>CONCATENATE("(",ROUND((H32/$H32)*100,1),")")</f>
        <v>(100)</v>
      </c>
      <c r="K32" s="302">
        <f t="shared" si="37"/>
        <v>0.10800000015598599</v>
      </c>
      <c r="L32" s="302">
        <f t="shared" si="38"/>
        <v>-9.9000000009968225E-2</v>
      </c>
      <c r="M32" s="302">
        <f t="shared" si="39"/>
        <v>-0.45400000017421327</v>
      </c>
      <c r="N32" s="302">
        <f t="shared" si="40"/>
        <v>-0.44500000002819551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355</v>
      </c>
      <c r="B35" s="302">
        <f>'Ind T6'!Q10</f>
        <v>18.425000000103992</v>
      </c>
      <c r="C35" s="299" t="str">
        <f>CONCATENATE("(",ROUND((B35/$H37)*100,1),")")</f>
        <v>(45.8)</v>
      </c>
      <c r="D35" s="302">
        <f>'Ind T6'!R10</f>
        <v>2.2110000000062966</v>
      </c>
      <c r="E35" s="299" t="str">
        <f>CONCATENATE("(",ROUND((D35/$H37)*100,1),")")</f>
        <v>(5.5)</v>
      </c>
      <c r="F35" s="302">
        <f>'Ind T6'!S10</f>
        <v>8.3979999996129298</v>
      </c>
      <c r="G35" s="299" t="str">
        <f>CONCATENATE("(",ROUND((F35/$H37)*100,1),")")</f>
        <v>(20.9)</v>
      </c>
      <c r="H35" s="302">
        <f>SUM(B35,D35,F35)</f>
        <v>29.033999999723221</v>
      </c>
      <c r="I35" s="299" t="str">
        <f>CONCATENATE("(",ROUND((H35/$H37)*100,1),")")</f>
        <v>(72.1)</v>
      </c>
      <c r="K35" s="302">
        <f>B40-B35</f>
        <v>0.45599999997574869</v>
      </c>
      <c r="L35" s="302">
        <f>D40-D35</f>
        <v>-0.10899999999581844</v>
      </c>
      <c r="M35" s="302">
        <f>F40-F35</f>
        <v>-1.0509999999198518</v>
      </c>
      <c r="N35" s="302">
        <f>SUM(K35:M35)</f>
        <v>-0.70399999993992157</v>
      </c>
    </row>
    <row r="36" spans="1:14" x14ac:dyDescent="0.2">
      <c r="A36" s="282" t="s">
        <v>356</v>
      </c>
      <c r="B36" s="302">
        <f>'Ind T6'!Q9</f>
        <v>6.4940000000900664</v>
      </c>
      <c r="C36" s="299" t="str">
        <f>CONCATENATE("(",ROUND((B36/$H37)*100,1),")")</f>
        <v>(16.1)</v>
      </c>
      <c r="D36" s="302">
        <f>'Ind T6'!R9</f>
        <v>1.3310000000081035</v>
      </c>
      <c r="E36" s="299" t="str">
        <f>CONCATENATE("(",ROUND((D36/$H37)*100,1),")")</f>
        <v>(3.3)</v>
      </c>
      <c r="F36" s="302">
        <f>'Ind T6'!S9</f>
        <v>3.3989999999697917</v>
      </c>
      <c r="G36" s="299" t="str">
        <f>CONCATENATE("(",ROUND((F36/$H37)*100,1),")")</f>
        <v>(8.4)</v>
      </c>
      <c r="H36" s="302">
        <f t="shared" ref="H36" si="41">SUM(B36,D36,F36)</f>
        <v>11.224000000067962</v>
      </c>
      <c r="I36" s="299" t="str">
        <f>CONCATENATE("(",ROUND((H36/$H37)*100,1),")")</f>
        <v>(27.9)</v>
      </c>
      <c r="K36" s="302">
        <f t="shared" ref="K36:K37" si="42">B41-B36</f>
        <v>-0.3620000000878365</v>
      </c>
      <c r="L36" s="302">
        <f t="shared" ref="L36:L37" si="43">D41-D36</f>
        <v>-0.16200000001168413</v>
      </c>
      <c r="M36" s="302">
        <f t="shared" ref="M36:M37" si="44">F41-F36</f>
        <v>-9.000000000467967E-2</v>
      </c>
      <c r="N36" s="302">
        <f t="shared" ref="N36:N37" si="45">SUM(K36:M36)</f>
        <v>-0.61400000010420031</v>
      </c>
    </row>
    <row r="37" spans="1:14" x14ac:dyDescent="0.2">
      <c r="A37" s="282" t="s">
        <v>354</v>
      </c>
      <c r="B37" s="302">
        <f>SUM(B35:B36)</f>
        <v>24.91900000019406</v>
      </c>
      <c r="C37" s="299" t="str">
        <f>CONCATENATE("(",ROUND((B37/$H37)*100,1),")")</f>
        <v>(61.9)</v>
      </c>
      <c r="D37" s="302">
        <f>SUM(D35:D36)</f>
        <v>3.5420000000143999</v>
      </c>
      <c r="E37" s="299" t="str">
        <f>CONCATENATE("(",ROUND((D37/$H37)*100,1),")")</f>
        <v>(8.8)</v>
      </c>
      <c r="F37" s="302">
        <f>SUM(F35:F36)</f>
        <v>11.796999999582722</v>
      </c>
      <c r="G37" s="299" t="str">
        <f>CONCATENATE("(",ROUND((F37/$H37)*100,1),")")</f>
        <v>(29.3)</v>
      </c>
      <c r="H37" s="302">
        <f>SUM(H35:H36)</f>
        <v>40.257999999791181</v>
      </c>
      <c r="I37" s="299" t="str">
        <f>CONCATENATE("(",ROUND((H37/$H37)*100,1),")")</f>
        <v>(100)</v>
      </c>
      <c r="K37" s="302">
        <f t="shared" si="42"/>
        <v>9.3999999887909524E-2</v>
      </c>
      <c r="L37" s="302">
        <f t="shared" si="43"/>
        <v>-0.27100000000750235</v>
      </c>
      <c r="M37" s="302">
        <f t="shared" si="44"/>
        <v>-1.1409999999245315</v>
      </c>
      <c r="N37" s="302">
        <f t="shared" si="45"/>
        <v>-1.3180000000441243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355</v>
      </c>
      <c r="B40" s="302">
        <f>'Ind T6'!V10</f>
        <v>18.881000000079741</v>
      </c>
      <c r="C40" s="299" t="str">
        <f>CONCATENATE("(",ROUND((B40/$H42)*100,1),")")</f>
        <v>(48.5)</v>
      </c>
      <c r="D40" s="302">
        <f>'Ind T6'!W10</f>
        <v>2.1020000000104782</v>
      </c>
      <c r="E40" s="299" t="str">
        <f>CONCATENATE("(",ROUND((D40/$H42)*100,1),")")</f>
        <v>(5.4)</v>
      </c>
      <c r="F40" s="302">
        <f>'Ind T6'!X10</f>
        <v>7.3469999996930779</v>
      </c>
      <c r="G40" s="299" t="str">
        <f>CONCATENATE("(",ROUND((F40/$H42)*100,1),")")</f>
        <v>(18.9)</v>
      </c>
      <c r="H40" s="302">
        <f>SUM(B40,D40,F40)</f>
        <v>28.329999999783297</v>
      </c>
      <c r="I40" s="299" t="str">
        <f>CONCATENATE("(",ROUND((H40/$H42)*100,1),")")</f>
        <v>(72.8)</v>
      </c>
      <c r="K40" s="302">
        <f>B40-B30</f>
        <v>0.69500000001149331</v>
      </c>
      <c r="L40" s="302">
        <f>D40-D30</f>
        <v>-0.13799999999903534</v>
      </c>
      <c r="M40" s="302">
        <f>F40-F30</f>
        <v>-1.4850000001419259</v>
      </c>
      <c r="N40" s="302">
        <f>SUM(K40:M40)</f>
        <v>-0.92800000012946793</v>
      </c>
    </row>
    <row r="41" spans="1:14" x14ac:dyDescent="0.2">
      <c r="A41" s="282" t="s">
        <v>356</v>
      </c>
      <c r="B41" s="302">
        <f>'Ind T6'!V9</f>
        <v>6.1320000000022299</v>
      </c>
      <c r="C41" s="299" t="str">
        <f>CONCATENATE("(",ROUND((B41/$H42)*100,1),")")</f>
        <v>(15.7)</v>
      </c>
      <c r="D41" s="302">
        <f>'Ind T6'!W9</f>
        <v>1.1689999999964193</v>
      </c>
      <c r="E41" s="299" t="str">
        <f>CONCATENATE("(",ROUND((D41/$H42)*100,1),")")</f>
        <v>(3)</v>
      </c>
      <c r="F41" s="302">
        <f>'Ind T6'!X9</f>
        <v>3.3089999999651121</v>
      </c>
      <c r="G41" s="299" t="str">
        <f>CONCATENATE("(",ROUND((F41/$H42)*100,1),")")</f>
        <v>(8.5)</v>
      </c>
      <c r="H41" s="302">
        <f t="shared" ref="H41" si="46">SUM(B41,D41,F41)</f>
        <v>10.609999999963762</v>
      </c>
      <c r="I41" s="299" t="str">
        <f>CONCATENATE("(",ROUND((H41/$H42)*100,1),")")</f>
        <v>(27.2)</v>
      </c>
      <c r="K41" s="302">
        <f t="shared" ref="K41:K42" si="47">B41-B31</f>
        <v>-0.49299999996759691</v>
      </c>
      <c r="L41" s="302">
        <f t="shared" ref="L41:L42" si="48">D41-D31</f>
        <v>-0.23200000001843546</v>
      </c>
      <c r="M41" s="302">
        <f t="shared" ref="M41:M42" si="49">F41-F31</f>
        <v>-0.10999999995681931</v>
      </c>
      <c r="N41" s="302">
        <f t="shared" ref="N41:N42" si="50">SUM(K41:M41)</f>
        <v>-0.83499999994285168</v>
      </c>
    </row>
    <row r="42" spans="1:14" x14ac:dyDescent="0.2">
      <c r="A42" s="282" t="s">
        <v>354</v>
      </c>
      <c r="B42" s="302">
        <f>SUM(B40:B41)</f>
        <v>25.01300000008197</v>
      </c>
      <c r="C42" s="299" t="str">
        <f>CONCATENATE("(",ROUND((B42/$H42)*100,1),")")</f>
        <v>(64.2)</v>
      </c>
      <c r="D42" s="302">
        <f>SUM(D40:D41)</f>
        <v>3.2710000000068975</v>
      </c>
      <c r="E42" s="299" t="str">
        <f>CONCATENATE("(",ROUND((D42/$H42)*100,1),")")</f>
        <v>(8.4)</v>
      </c>
      <c r="F42" s="302">
        <f>SUM(F40:F41)</f>
        <v>10.65599999965819</v>
      </c>
      <c r="G42" s="299" t="str">
        <f>CONCATENATE("(",ROUND((F42/$H42)*100,1),")")</f>
        <v>(27.4)</v>
      </c>
      <c r="H42" s="302">
        <f>SUM(H40:H41)</f>
        <v>38.939999999747059</v>
      </c>
      <c r="I42" s="299" t="str">
        <f>CONCATENATE("(",ROUND((H42/$H42)*100,1),")")</f>
        <v>(100)</v>
      </c>
      <c r="K42" s="302">
        <f t="shared" si="47"/>
        <v>0.20200000004389551</v>
      </c>
      <c r="L42" s="302">
        <f t="shared" si="48"/>
        <v>-0.37000000001747058</v>
      </c>
      <c r="M42" s="302">
        <f t="shared" si="49"/>
        <v>-1.5950000000987448</v>
      </c>
      <c r="N42" s="302">
        <f t="shared" si="50"/>
        <v>-1.7630000000723198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1"/>
      <c r="E46" s="181"/>
      <c r="G46" s="181"/>
      <c r="I46" s="181"/>
    </row>
    <row r="47" spans="1:14" x14ac:dyDescent="0.2">
      <c r="A47" s="288"/>
      <c r="B47" s="289" t="s">
        <v>379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377</v>
      </c>
    </row>
    <row r="49" spans="1:14" x14ac:dyDescent="0.2">
      <c r="A49" s="181" t="s">
        <v>378</v>
      </c>
      <c r="B49" s="369" t="s">
        <v>376</v>
      </c>
      <c r="C49" s="369"/>
      <c r="D49" s="369" t="s">
        <v>375</v>
      </c>
      <c r="E49" s="369"/>
      <c r="F49" s="369" t="s">
        <v>374</v>
      </c>
      <c r="G49" s="369"/>
      <c r="H49" s="369" t="s">
        <v>32</v>
      </c>
      <c r="I49" s="369"/>
      <c r="J49" s="181"/>
      <c r="K49" s="297" t="s">
        <v>339</v>
      </c>
      <c r="L49" s="297" t="s">
        <v>341</v>
      </c>
      <c r="M49" s="297" t="s">
        <v>337</v>
      </c>
      <c r="N49" s="297" t="s">
        <v>32</v>
      </c>
    </row>
    <row r="50" spans="1:14" x14ac:dyDescent="0.2">
      <c r="A50" s="292">
        <f>$A$8</f>
        <v>2020</v>
      </c>
      <c r="B50" s="287" t="s">
        <v>60</v>
      </c>
      <c r="C50" s="19" t="s">
        <v>373</v>
      </c>
      <c r="D50" s="287" t="s">
        <v>60</v>
      </c>
      <c r="E50" s="19" t="s">
        <v>373</v>
      </c>
      <c r="F50" s="287" t="s">
        <v>60</v>
      </c>
      <c r="G50" s="19" t="s">
        <v>373</v>
      </c>
      <c r="H50" s="287" t="s">
        <v>60</v>
      </c>
      <c r="I50" s="19" t="s">
        <v>373</v>
      </c>
      <c r="J50" s="181"/>
      <c r="K50" s="286" t="str">
        <f>CONCATENATE(A50," - ",A55)</f>
        <v>2020 - 2025</v>
      </c>
      <c r="L50" s="285"/>
      <c r="M50" s="285"/>
    </row>
    <row r="51" spans="1:14" x14ac:dyDescent="0.2">
      <c r="A51" s="282" t="s">
        <v>355</v>
      </c>
      <c r="B51" s="302">
        <f>'Ind T6'!L20</f>
        <v>3.2870000000072022</v>
      </c>
      <c r="C51" s="299" t="str">
        <f>CONCATENATE("(",ROUND((B51/$H53)*100,1),")")</f>
        <v>(80.9)</v>
      </c>
      <c r="D51" s="302">
        <f>'Ind T6'!M20</f>
        <v>0.23099999999904142</v>
      </c>
      <c r="E51" s="299" t="str">
        <f>CONCATENATE("(",ROUND((D51/$H53)*100,1),")")</f>
        <v>(5.7)</v>
      </c>
      <c r="F51" s="302">
        <f>'Ind T6'!N20</f>
        <v>0</v>
      </c>
      <c r="G51" s="299" t="str">
        <f>CONCATENATE("(",ROUND((F51/$H53)*100,1),")")</f>
        <v>(0)</v>
      </c>
      <c r="H51" s="302">
        <f>SUM(B51,D51,F51)</f>
        <v>3.5180000000062437</v>
      </c>
      <c r="I51" s="299" t="str">
        <f>CONCATENATE("(",ROUND((H51/$H53)*100,1),")")</f>
        <v>(86.6)</v>
      </c>
      <c r="K51" s="302">
        <f>B56-B51</f>
        <v>-0.60999999999097776</v>
      </c>
      <c r="L51" s="302">
        <f>D56-D51</f>
        <v>-3.4999999999415971E-2</v>
      </c>
      <c r="M51" s="302">
        <f>F56-F51</f>
        <v>0</v>
      </c>
      <c r="N51" s="302">
        <f>SUM(K51:M51)</f>
        <v>-0.6449999999903937</v>
      </c>
    </row>
    <row r="52" spans="1:14" x14ac:dyDescent="0.2">
      <c r="A52" s="282" t="s">
        <v>356</v>
      </c>
      <c r="B52" s="302">
        <f>'Ind T6'!L19</f>
        <v>0.4209999999985769</v>
      </c>
      <c r="C52" s="299" t="str">
        <f>CONCATENATE("(",ROUND((B52/$H53)*100,1),")")</f>
        <v>(10.4)</v>
      </c>
      <c r="D52" s="302">
        <f>'Ind T6'!M19</f>
        <v>0.12199999999956494</v>
      </c>
      <c r="E52" s="299" t="str">
        <f>CONCATENATE("(",ROUND((D52/$H53)*100,1),")")</f>
        <v>(3)</v>
      </c>
      <c r="F52" s="302">
        <f>'Ind T6'!N19</f>
        <v>0</v>
      </c>
      <c r="G52" s="299" t="str">
        <f>CONCATENATE("(",ROUND((F52/$H53)*100,1),")")</f>
        <v>(0)</v>
      </c>
      <c r="H52" s="302">
        <f t="shared" ref="H52" si="51">SUM(B52,D52,F52)</f>
        <v>0.54299999999814186</v>
      </c>
      <c r="I52" s="299" t="str">
        <f>CONCATENATE("(",ROUND((H52/$H53)*100,1),")")</f>
        <v>(13.4)</v>
      </c>
      <c r="K52" s="302">
        <f t="shared" ref="K52:K53" si="52">B57-B52</f>
        <v>-7.9999999997176607E-2</v>
      </c>
      <c r="L52" s="302">
        <f t="shared" ref="L52:L53" si="53">D57-D52</f>
        <v>-2.1000000000531274E-2</v>
      </c>
      <c r="M52" s="302">
        <f t="shared" ref="M52:M53" si="54">F57-F52</f>
        <v>0</v>
      </c>
      <c r="N52" s="302">
        <f t="shared" ref="N52:N53" si="55">SUM(K52:M52)</f>
        <v>-0.10099999999770788</v>
      </c>
    </row>
    <row r="53" spans="1:14" x14ac:dyDescent="0.2">
      <c r="A53" s="282" t="s">
        <v>354</v>
      </c>
      <c r="B53" s="302">
        <f>SUM(B51:B52)</f>
        <v>3.7080000000057791</v>
      </c>
      <c r="C53" s="299" t="str">
        <f>CONCATENATE("(",ROUND((B53/$H53)*100,1),")")</f>
        <v>(91.3)</v>
      </c>
      <c r="D53" s="302">
        <f>SUM(D51:D52)</f>
        <v>0.35299999999860637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4.0610000000043858</v>
      </c>
      <c r="I53" s="299" t="str">
        <f>CONCATENATE("(",ROUND((H53/$H53)*100,1),")")</f>
        <v>(100)</v>
      </c>
      <c r="K53" s="302">
        <f t="shared" si="52"/>
        <v>-0.68999999998815431</v>
      </c>
      <c r="L53" s="302">
        <f t="shared" si="53"/>
        <v>-5.5999999999947259E-2</v>
      </c>
      <c r="M53" s="302">
        <f t="shared" si="54"/>
        <v>0</v>
      </c>
      <c r="N53" s="302">
        <f t="shared" si="55"/>
        <v>-0.74599999998810151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355</v>
      </c>
      <c r="B56" s="302">
        <f>'Ind T6'!Q20</f>
        <v>2.6770000000162244</v>
      </c>
      <c r="C56" s="299" t="str">
        <f>CONCATENATE("(",ROUND((B56/$H58)*100,1),")")</f>
        <v>(80.8)</v>
      </c>
      <c r="D56" s="302">
        <f>'Ind T6'!R20</f>
        <v>0.19599999999962545</v>
      </c>
      <c r="E56" s="299" t="str">
        <f>CONCATENATE("(",ROUND((D56/$H58)*100,1),")")</f>
        <v>(5.9)</v>
      </c>
      <c r="F56" s="302">
        <f>'Ind T6'!S20</f>
        <v>0</v>
      </c>
      <c r="G56" s="299" t="str">
        <f>CONCATENATE("(",ROUND((F56/$H58)*100,1),")")</f>
        <v>(0)</v>
      </c>
      <c r="H56" s="302">
        <f>SUM(B56,D56,F56)</f>
        <v>2.8730000000158498</v>
      </c>
      <c r="I56" s="299" t="str">
        <f>CONCATENATE("(",ROUND((H56/$H58)*100,1),")")</f>
        <v>(86.7)</v>
      </c>
      <c r="K56" s="302">
        <f>B61-B56</f>
        <v>-0.65900000000280556</v>
      </c>
      <c r="L56" s="302">
        <f>D61-D56</f>
        <v>-3.8999999999898199E-2</v>
      </c>
      <c r="M56" s="302">
        <f>F61-F56</f>
        <v>0</v>
      </c>
      <c r="N56" s="302">
        <f>SUM(K56:M56)</f>
        <v>-0.69800000000270379</v>
      </c>
    </row>
    <row r="57" spans="1:14" x14ac:dyDescent="0.2">
      <c r="A57" s="282" t="s">
        <v>356</v>
      </c>
      <c r="B57" s="302">
        <f>'Ind T6'!Q19</f>
        <v>0.34100000000140029</v>
      </c>
      <c r="C57" s="299" t="str">
        <f>CONCATENATE("(",ROUND((B57/$H58)*100,1),")")</f>
        <v>(10.3)</v>
      </c>
      <c r="D57" s="302">
        <f>'Ind T6'!R19</f>
        <v>0.10099999999903367</v>
      </c>
      <c r="E57" s="299" t="str">
        <f>CONCATENATE("(",ROUND((D57/$H58)*100,1),")")</f>
        <v>(3)</v>
      </c>
      <c r="F57" s="302">
        <f>'Ind T6'!S19</f>
        <v>0</v>
      </c>
      <c r="G57" s="299" t="str">
        <f>CONCATENATE("(",ROUND((F57/$H58)*100,1),")")</f>
        <v>(0)</v>
      </c>
      <c r="H57" s="302">
        <f t="shared" ref="H57" si="56">SUM(B57,D57,F57)</f>
        <v>0.44200000000043393</v>
      </c>
      <c r="I57" s="299" t="str">
        <f>CONCATENATE("(",ROUND((H57/$H58)*100,1),")")</f>
        <v>(13.3)</v>
      </c>
      <c r="K57" s="302">
        <f t="shared" ref="K57:K58" si="57">B62-B57</f>
        <v>-9.2000000004506838E-2</v>
      </c>
      <c r="L57" s="302">
        <f t="shared" ref="L57:L58" si="58">D62-D57</f>
        <v>-2.1999999999643111E-2</v>
      </c>
      <c r="M57" s="302">
        <f t="shared" ref="M57:M58" si="59">F62-F57</f>
        <v>0</v>
      </c>
      <c r="N57" s="302">
        <f t="shared" ref="N57:N58" si="60">SUM(K57:M57)</f>
        <v>-0.11400000000414995</v>
      </c>
    </row>
    <row r="58" spans="1:14" x14ac:dyDescent="0.2">
      <c r="A58" s="282" t="s">
        <v>354</v>
      </c>
      <c r="B58" s="302">
        <f>SUM(B56:B57)</f>
        <v>3.0180000000176248</v>
      </c>
      <c r="C58" s="299" t="str">
        <f>CONCATENATE("(",ROUND((B58/$H58)*100,1),")")</f>
        <v>(91)</v>
      </c>
      <c r="D58" s="302">
        <f>SUM(D56:D57)</f>
        <v>0.29699999999865911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3.3150000000162838</v>
      </c>
      <c r="I58" s="299" t="str">
        <f>CONCATENATE("(",ROUND((H58/$H58)*100,1),")")</f>
        <v>(100)</v>
      </c>
      <c r="K58" s="302">
        <f t="shared" si="57"/>
        <v>-0.75100000000731271</v>
      </c>
      <c r="L58" s="302">
        <f t="shared" si="58"/>
        <v>-6.099999999954131E-2</v>
      </c>
      <c r="M58" s="302">
        <f t="shared" si="59"/>
        <v>0</v>
      </c>
      <c r="N58" s="302">
        <f t="shared" si="60"/>
        <v>-0.81200000000685402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355</v>
      </c>
      <c r="B61" s="302">
        <f>'Ind T6'!V20</f>
        <v>2.0180000000134188</v>
      </c>
      <c r="C61" s="299" t="str">
        <f>CONCATENATE("(",ROUND((B61/$H63)*100,1),")")</f>
        <v>(80.6)</v>
      </c>
      <c r="D61" s="302">
        <f>'Ind T6'!W20</f>
        <v>0.15699999999972725</v>
      </c>
      <c r="E61" s="299" t="str">
        <f>CONCATENATE("(",ROUND((D61/$H63)*100,1),")")</f>
        <v>(6.3)</v>
      </c>
      <c r="F61" s="302">
        <f>'Ind T6'!X20</f>
        <v>0</v>
      </c>
      <c r="G61" s="299" t="str">
        <f>CONCATENATE("(",ROUND((F61/$H63)*100,1),")")</f>
        <v>(0)</v>
      </c>
      <c r="H61" s="302">
        <f>SUM(B61,D61,F61)</f>
        <v>2.1750000000131462</v>
      </c>
      <c r="I61" s="299" t="str">
        <f>CONCATENATE("(",ROUND((H61/$H63)*100,1),")")</f>
        <v>(86.9)</v>
      </c>
      <c r="K61" s="302">
        <f>B61-B51</f>
        <v>-1.2689999999937833</v>
      </c>
      <c r="L61" s="302">
        <f>D61-D51</f>
        <v>-7.399999999931417E-2</v>
      </c>
      <c r="M61" s="302">
        <f>F61-F51</f>
        <v>0</v>
      </c>
      <c r="N61" s="302">
        <f>SUM(K61:M61)</f>
        <v>-1.3429999999930975</v>
      </c>
    </row>
    <row r="62" spans="1:14" x14ac:dyDescent="0.2">
      <c r="A62" s="282" t="s">
        <v>356</v>
      </c>
      <c r="B62" s="302">
        <f>'Ind T6'!V19</f>
        <v>0.24899999999689346</v>
      </c>
      <c r="C62" s="299" t="str">
        <f>CONCATENATE("(",ROUND((B62/$H63)*100,1),")")</f>
        <v>(9.9)</v>
      </c>
      <c r="D62" s="302">
        <f>'Ind T6'!W19</f>
        <v>7.8999999999390558E-2</v>
      </c>
      <c r="E62" s="299" t="str">
        <f>CONCATENATE("(",ROUND((D62/$H63)*100,1),")")</f>
        <v>(3.2)</v>
      </c>
      <c r="F62" s="302">
        <f>'Ind T6'!X19</f>
        <v>0</v>
      </c>
      <c r="G62" s="299" t="str">
        <f>CONCATENATE("(",ROUND((F62/$H63)*100,1),")")</f>
        <v>(0)</v>
      </c>
      <c r="H62" s="302">
        <f t="shared" ref="H62" si="61">SUM(B62,D62,F62)</f>
        <v>0.32799999999628404</v>
      </c>
      <c r="I62" s="299" t="str">
        <f>CONCATENATE("(",ROUND((H62/$H63)*100,1),")")</f>
        <v>(13.1)</v>
      </c>
      <c r="K62" s="302">
        <f t="shared" ref="K62:K63" si="62">B62-B52</f>
        <v>-0.17200000000168345</v>
      </c>
      <c r="L62" s="302">
        <f t="shared" ref="L62:L63" si="63">D62-D52</f>
        <v>-4.3000000000174385E-2</v>
      </c>
      <c r="M62" s="302">
        <f t="shared" ref="M62:M63" si="64">F62-F52</f>
        <v>0</v>
      </c>
      <c r="N62" s="302">
        <f t="shared" ref="N62:N63" si="65">SUM(K62:M62)</f>
        <v>-0.21500000000185782</v>
      </c>
    </row>
    <row r="63" spans="1:14" x14ac:dyDescent="0.2">
      <c r="A63" s="282" t="s">
        <v>354</v>
      </c>
      <c r="B63" s="302">
        <f>SUM(B61:B62)</f>
        <v>2.2670000000103121</v>
      </c>
      <c r="C63" s="299" t="str">
        <f>CONCATENATE("(",ROUND((B63/$H63)*100,1),")")</f>
        <v>(90.6)</v>
      </c>
      <c r="D63" s="302">
        <f>SUM(D61:D62)</f>
        <v>0.2359999999991178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2.5030000000094303</v>
      </c>
      <c r="I63" s="299" t="str">
        <f>CONCATENATE("(",ROUND((H63/$H63)*100,1),")")</f>
        <v>(100)</v>
      </c>
      <c r="K63" s="302">
        <f t="shared" si="62"/>
        <v>-1.440999999995467</v>
      </c>
      <c r="L63" s="302">
        <f t="shared" si="63"/>
        <v>-0.11699999999948857</v>
      </c>
      <c r="M63" s="302">
        <f t="shared" si="64"/>
        <v>0</v>
      </c>
      <c r="N63" s="302">
        <f t="shared" si="65"/>
        <v>-1.5579999999949556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379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377</v>
      </c>
    </row>
    <row r="70" spans="1:14" x14ac:dyDescent="0.2">
      <c r="A70" s="181" t="s">
        <v>378</v>
      </c>
      <c r="B70" s="369" t="s">
        <v>376</v>
      </c>
      <c r="C70" s="369"/>
      <c r="D70" s="369" t="s">
        <v>375</v>
      </c>
      <c r="E70" s="369"/>
      <c r="F70" s="369" t="s">
        <v>374</v>
      </c>
      <c r="G70" s="369"/>
      <c r="H70" s="369" t="s">
        <v>32</v>
      </c>
      <c r="I70" s="369"/>
      <c r="J70" s="181"/>
      <c r="K70" s="297" t="s">
        <v>339</v>
      </c>
      <c r="L70" s="297" t="s">
        <v>341</v>
      </c>
      <c r="M70" s="297" t="s">
        <v>337</v>
      </c>
      <c r="N70" s="297" t="s">
        <v>32</v>
      </c>
    </row>
    <row r="71" spans="1:14" x14ac:dyDescent="0.2">
      <c r="A71" s="292">
        <f>$A$8</f>
        <v>2020</v>
      </c>
      <c r="B71" s="287" t="s">
        <v>60</v>
      </c>
      <c r="C71" s="19" t="s">
        <v>373</v>
      </c>
      <c r="D71" s="287" t="s">
        <v>60</v>
      </c>
      <c r="E71" s="19" t="s">
        <v>373</v>
      </c>
      <c r="F71" s="287" t="s">
        <v>60</v>
      </c>
      <c r="G71" s="19" t="s">
        <v>373</v>
      </c>
      <c r="H71" s="287" t="s">
        <v>60</v>
      </c>
      <c r="I71" s="19" t="s">
        <v>373</v>
      </c>
      <c r="J71" s="181"/>
      <c r="K71" s="286" t="str">
        <f>CONCATENATE(A71," - ",A76)</f>
        <v>2020 - 2025</v>
      </c>
      <c r="L71" s="285"/>
      <c r="M71" s="285"/>
    </row>
    <row r="72" spans="1:14" x14ac:dyDescent="0.2">
      <c r="A72" s="282" t="s">
        <v>355</v>
      </c>
      <c r="B72" s="302">
        <f>'Ind T6'!L40</f>
        <v>34.196000000238655</v>
      </c>
      <c r="C72" s="299" t="str">
        <f>CONCATENATE("(",ROUND((B72/$H74)*100,1),")")</f>
        <v>(59.8)</v>
      </c>
      <c r="D72" s="302">
        <f>'Ind T6'!M40</f>
        <v>3.1700000000079358</v>
      </c>
      <c r="E72" s="299" t="str">
        <f>CONCATENATE("(",ROUND((D72/$H74)*100,1),")")</f>
        <v>(5.5)</v>
      </c>
      <c r="F72" s="302">
        <f>'Ind T6'!N40</f>
        <v>0.44499999999604911</v>
      </c>
      <c r="G72" s="299" t="str">
        <f>CONCATENATE("(",ROUND((F72/$H74)*100,1),")")</f>
        <v>(0.8)</v>
      </c>
      <c r="H72" s="302">
        <f>SUM(B72,D72,F72)</f>
        <v>37.811000000242643</v>
      </c>
      <c r="I72" s="299" t="str">
        <f>CONCATENATE("(",ROUND((H72/$H74)*100,1),")")</f>
        <v>(66.2)</v>
      </c>
      <c r="K72" s="302">
        <f>B77-B72</f>
        <v>2.5450000000704947</v>
      </c>
      <c r="L72" s="302">
        <f>D77-D72</f>
        <v>0.27300000000687641</v>
      </c>
      <c r="M72" s="302">
        <f>F77-F72</f>
        <v>4.3000000000215644E-2</v>
      </c>
      <c r="N72" s="302">
        <f>SUM(K72:M72)</f>
        <v>2.8610000000775866</v>
      </c>
    </row>
    <row r="73" spans="1:14" x14ac:dyDescent="0.2">
      <c r="A73" s="282" t="s">
        <v>356</v>
      </c>
      <c r="B73" s="302">
        <f>'Ind T6'!L39</f>
        <v>14.817999999985904</v>
      </c>
      <c r="C73" s="299" t="str">
        <f>CONCATENATE("(",ROUND((B73/$H74)*100,1),")")</f>
        <v>(25.9)</v>
      </c>
      <c r="D73" s="302">
        <f>'Ind T6'!M39</f>
        <v>4.26700000011662</v>
      </c>
      <c r="E73" s="299" t="str">
        <f>CONCATENATE("(",ROUND((D73/$H74)*100,1),")")</f>
        <v>(7.5)</v>
      </c>
      <c r="F73" s="302">
        <f>'Ind T6'!N39</f>
        <v>0.25999999999530576</v>
      </c>
      <c r="G73" s="299" t="str">
        <f>CONCATENATE("(",ROUND((F73/$H74)*100,1),")")</f>
        <v>(0.5)</v>
      </c>
      <c r="H73" s="302">
        <f t="shared" ref="H73" si="66">SUM(B73,D73,F73)</f>
        <v>19.34500000009783</v>
      </c>
      <c r="I73" s="299" t="str">
        <f>CONCATENATE("(",ROUND((H73/$H74)*100,1),")")</f>
        <v>(33.8)</v>
      </c>
      <c r="K73" s="302">
        <f t="shared" ref="K73:K74" si="67">B78-B73</f>
        <v>1.8780000003695001</v>
      </c>
      <c r="L73" s="302">
        <f t="shared" ref="L73:L74" si="68">D78-D73</f>
        <v>0.35799999999231957</v>
      </c>
      <c r="M73" s="302">
        <f t="shared" ref="M73:M74" si="69">F78-F73</f>
        <v>3.0000000004325567E-2</v>
      </c>
      <c r="N73" s="302">
        <f t="shared" ref="N73:N74" si="70">SUM(K73:M73)</f>
        <v>2.2660000003661454</v>
      </c>
    </row>
    <row r="74" spans="1:14" x14ac:dyDescent="0.2">
      <c r="A74" s="282" t="s">
        <v>354</v>
      </c>
      <c r="B74" s="302">
        <f>SUM(B72:B73)</f>
        <v>49.014000000224556</v>
      </c>
      <c r="C74" s="299" t="str">
        <f>CONCATENATE("(",ROUND((B74/$H74)*100,1),")")</f>
        <v>(85.8)</v>
      </c>
      <c r="D74" s="302">
        <f>SUM(D72:D73)</f>
        <v>7.4370000001245558</v>
      </c>
      <c r="E74" s="299" t="str">
        <f>CONCATENATE("(",ROUND((D74/$H74)*100,1),")")</f>
        <v>(13)</v>
      </c>
      <c r="F74" s="302">
        <f>SUM(F72:F73)</f>
        <v>0.70499999999135488</v>
      </c>
      <c r="G74" s="299" t="str">
        <f>CONCATENATE("(",ROUND((F74/$H74)*100,1),")")</f>
        <v>(1.2)</v>
      </c>
      <c r="H74" s="302">
        <f>SUM(H72:H73)</f>
        <v>57.15600000034047</v>
      </c>
      <c r="I74" s="299" t="str">
        <f>CONCATENATE("(",ROUND((H74/$H74)*100,1),")")</f>
        <v>(100)</v>
      </c>
      <c r="K74" s="302">
        <f t="shared" si="67"/>
        <v>4.4230000004399983</v>
      </c>
      <c r="L74" s="302">
        <f t="shared" si="68"/>
        <v>0.63099999999919554</v>
      </c>
      <c r="M74" s="302">
        <f t="shared" si="69"/>
        <v>7.300000000454121E-2</v>
      </c>
      <c r="N74" s="302">
        <f t="shared" si="70"/>
        <v>5.1270000004437346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355</v>
      </c>
      <c r="B77" s="302">
        <f>'Ind T6'!Q40</f>
        <v>36.74100000030915</v>
      </c>
      <c r="C77" s="299" t="str">
        <f>CONCATENATE("(",ROUND((B77/$H79)*100,1),")")</f>
        <v>(59)</v>
      </c>
      <c r="D77" s="302">
        <f>'Ind T6'!R40</f>
        <v>3.4430000000148122</v>
      </c>
      <c r="E77" s="299" t="str">
        <f>CONCATENATE("(",ROUND((D77/$H79)*100,1),")")</f>
        <v>(5.5)</v>
      </c>
      <c r="F77" s="302">
        <f>'Ind T6'!S40</f>
        <v>0.48799999999626475</v>
      </c>
      <c r="G77" s="299" t="str">
        <f>CONCATENATE("(",ROUND((F77/$H79)*100,1),")")</f>
        <v>(0.8)</v>
      </c>
      <c r="H77" s="302">
        <f>SUM(B77,D77,F77)</f>
        <v>40.672000000320224</v>
      </c>
      <c r="I77" s="299" t="str">
        <f>CONCATENATE("(",ROUND((H77/$H79)*100,1),")")</f>
        <v>(65.3)</v>
      </c>
      <c r="K77" s="302">
        <f>B82-B77</f>
        <v>2.5240000000205001</v>
      </c>
      <c r="L77" s="302">
        <f>D82-D77</f>
        <v>0.3190000000026636</v>
      </c>
      <c r="M77" s="302">
        <f>F82-F77</f>
        <v>6.1999999999013622E-2</v>
      </c>
      <c r="N77" s="302">
        <f>SUM(K77:M77)</f>
        <v>2.9050000000221772</v>
      </c>
    </row>
    <row r="78" spans="1:14" x14ac:dyDescent="0.2">
      <c r="A78" s="282" t="s">
        <v>356</v>
      </c>
      <c r="B78" s="302">
        <f>'Ind T6'!Q39</f>
        <v>16.696000000355404</v>
      </c>
      <c r="C78" s="299" t="str">
        <f>CONCATENATE("(",ROUND((B78/$H79)*100,1),")")</f>
        <v>(26.8)</v>
      </c>
      <c r="D78" s="302">
        <f>'Ind T6'!R39</f>
        <v>4.6250000001089395</v>
      </c>
      <c r="E78" s="299" t="str">
        <f>CONCATENATE("(",ROUND((D78/$H79)*100,1),")")</f>
        <v>(7.4)</v>
      </c>
      <c r="F78" s="302">
        <f>'Ind T6'!S39</f>
        <v>0.28999999999963133</v>
      </c>
      <c r="G78" s="299" t="str">
        <f>CONCATENATE("(",ROUND((F78/$H79)*100,1),")")</f>
        <v>(0.5)</v>
      </c>
      <c r="H78" s="302">
        <f t="shared" ref="H78" si="71">SUM(B78,D78,F78)</f>
        <v>21.611000000463974</v>
      </c>
      <c r="I78" s="299" t="str">
        <f>CONCATENATE("(",ROUND((H78/$H79)*100,1),")")</f>
        <v>(34.7)</v>
      </c>
      <c r="K78" s="302">
        <f t="shared" ref="K78:K79" si="72">B83-B78</f>
        <v>2.7869999995239674</v>
      </c>
      <c r="L78" s="302">
        <f t="shared" ref="L78:L79" si="73">D83-D78</f>
        <v>0.39099999983446221</v>
      </c>
      <c r="M78" s="302">
        <f t="shared" ref="M78:M79" si="74">F83-F78</f>
        <v>3.9999999999412506E-2</v>
      </c>
      <c r="N78" s="302">
        <f t="shared" ref="N78:N79" si="75">SUM(K78:M78)</f>
        <v>3.2179999993578421</v>
      </c>
    </row>
    <row r="79" spans="1:14" x14ac:dyDescent="0.2">
      <c r="A79" s="282" t="s">
        <v>354</v>
      </c>
      <c r="B79" s="302">
        <f>SUM(B77:B78)</f>
        <v>53.437000000664554</v>
      </c>
      <c r="C79" s="299" t="str">
        <f>CONCATENATE("(",ROUND((B79/$H79)*100,1),")")</f>
        <v>(85.8)</v>
      </c>
      <c r="D79" s="302">
        <f>SUM(D77:D78)</f>
        <v>8.0680000001237513</v>
      </c>
      <c r="E79" s="299" t="str">
        <f>CONCATENATE("(",ROUND((D79/$H79)*100,1),")")</f>
        <v>(13)</v>
      </c>
      <c r="F79" s="302">
        <f>SUM(F77:F78)</f>
        <v>0.77799999999589609</v>
      </c>
      <c r="G79" s="299" t="str">
        <f>CONCATENATE("(",ROUND((F79/$H79)*100,1),")")</f>
        <v>(1.2)</v>
      </c>
      <c r="H79" s="302">
        <f>SUM(H77:H78)</f>
        <v>62.283000000784199</v>
      </c>
      <c r="I79" s="299" t="str">
        <f>CONCATENATE("(",ROUND((H79/$H79)*100,1),")")</f>
        <v>(100)</v>
      </c>
      <c r="K79" s="302">
        <f t="shared" si="72"/>
        <v>5.3109999995444639</v>
      </c>
      <c r="L79" s="302">
        <f t="shared" si="73"/>
        <v>0.70999999983712669</v>
      </c>
      <c r="M79" s="302">
        <f t="shared" si="74"/>
        <v>0.10199999999842613</v>
      </c>
      <c r="N79" s="302">
        <f t="shared" si="75"/>
        <v>6.122999999380017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355</v>
      </c>
      <c r="B82" s="302">
        <f>'Ind T6'!V40</f>
        <v>39.26500000032965</v>
      </c>
      <c r="C82" s="299" t="str">
        <f>CONCATENATE("(",ROUND((B82/$H84)*100,1),")")</f>
        <v>(57.4)</v>
      </c>
      <c r="D82" s="302">
        <f>'Ind T6'!W40</f>
        <v>3.7620000000174758</v>
      </c>
      <c r="E82" s="299" t="str">
        <f>CONCATENATE("(",ROUND((D82/$H84)*100,1),")")</f>
        <v>(5.5)</v>
      </c>
      <c r="F82" s="302">
        <f>'Ind T6'!X40</f>
        <v>0.54999999999527838</v>
      </c>
      <c r="G82" s="299" t="str">
        <f>CONCATENATE("(",ROUND((F82/$H84)*100,1),")")</f>
        <v>(0.8)</v>
      </c>
      <c r="H82" s="302">
        <f>SUM(B82,D82,F82)</f>
        <v>43.577000000342402</v>
      </c>
      <c r="I82" s="299" t="str">
        <f>CONCATENATE("(",ROUND((H82/$H84)*100,1),")")</f>
        <v>(63.7)</v>
      </c>
      <c r="K82" s="302">
        <f>B82-B72</f>
        <v>5.0690000000909947</v>
      </c>
      <c r="L82" s="302">
        <f>D82-D72</f>
        <v>0.59200000000954001</v>
      </c>
      <c r="M82" s="302">
        <f>F82-F72</f>
        <v>0.10499999999922927</v>
      </c>
      <c r="N82" s="302">
        <f>SUM(K82:M82)</f>
        <v>5.7660000000997638</v>
      </c>
    </row>
    <row r="83" spans="1:14" x14ac:dyDescent="0.2">
      <c r="A83" s="282" t="s">
        <v>356</v>
      </c>
      <c r="B83" s="302">
        <f>'Ind T6'!V39</f>
        <v>19.482999999879372</v>
      </c>
      <c r="C83" s="299" t="str">
        <f>CONCATENATE("(",ROUND((B83/$H84)*100,1),")")</f>
        <v>(28.5)</v>
      </c>
      <c r="D83" s="302">
        <f>'Ind T6'!W39</f>
        <v>5.0159999999434017</v>
      </c>
      <c r="E83" s="299" t="str">
        <f>CONCATENATE("(",ROUND((D83/$H84)*100,1),")")</f>
        <v>(7.3)</v>
      </c>
      <c r="F83" s="302">
        <f>'Ind T6'!X39</f>
        <v>0.32999999999904384</v>
      </c>
      <c r="G83" s="299" t="str">
        <f>CONCATENATE("(",ROUND((F83/$H84)*100,1),")")</f>
        <v>(0.5)</v>
      </c>
      <c r="H83" s="302">
        <f t="shared" ref="H83" si="76">SUM(B83,D83,F83)</f>
        <v>24.828999999821814</v>
      </c>
      <c r="I83" s="299" t="str">
        <f>CONCATENATE("(",ROUND((H83/$H84)*100,1),")")</f>
        <v>(36.3)</v>
      </c>
      <c r="K83" s="302">
        <f t="shared" ref="K83:K84" si="77">B83-B73</f>
        <v>4.6649999998934675</v>
      </c>
      <c r="L83" s="302">
        <f t="shared" ref="L83:L84" si="78">D83-D73</f>
        <v>0.74899999982678178</v>
      </c>
      <c r="M83" s="302">
        <f t="shared" ref="M83:M84" si="79">F83-F73</f>
        <v>7.0000000003738072E-2</v>
      </c>
      <c r="N83" s="302">
        <f t="shared" ref="N83:N84" si="80">SUM(K83:M83)</f>
        <v>5.483999999723987</v>
      </c>
    </row>
    <row r="84" spans="1:14" x14ac:dyDescent="0.2">
      <c r="A84" s="282" t="s">
        <v>354</v>
      </c>
      <c r="B84" s="302">
        <f>SUM(B82:B83)</f>
        <v>58.748000000209018</v>
      </c>
      <c r="C84" s="299" t="str">
        <f>CONCATENATE("(",ROUND((B84/$H84)*100,1),")")</f>
        <v>(85.9)</v>
      </c>
      <c r="D84" s="302">
        <f>SUM(D82:D83)</f>
        <v>8.777999999960878</v>
      </c>
      <c r="E84" s="299" t="str">
        <f>CONCATENATE("(",ROUND((D84/$H84)*100,1),")")</f>
        <v>(12.8)</v>
      </c>
      <c r="F84" s="302">
        <f>SUM(F82:F83)</f>
        <v>0.87999999999432221</v>
      </c>
      <c r="G84" s="299" t="str">
        <f>CONCATENATE("(",ROUND((F84/$H84)*100,1),")")</f>
        <v>(1.3)</v>
      </c>
      <c r="H84" s="302">
        <f>SUM(H82:H83)</f>
        <v>68.406000000164212</v>
      </c>
      <c r="I84" s="299" t="str">
        <f>CONCATENATE("(",ROUND((H84/$H84)*100,1),")")</f>
        <v>(100)</v>
      </c>
      <c r="K84" s="302">
        <f t="shared" si="77"/>
        <v>9.7339999999844622</v>
      </c>
      <c r="L84" s="302">
        <f t="shared" si="78"/>
        <v>1.3409999998363222</v>
      </c>
      <c r="M84" s="302">
        <f t="shared" si="79"/>
        <v>0.17500000000296734</v>
      </c>
      <c r="N84" s="302">
        <f t="shared" si="80"/>
        <v>11.249999999823752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379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377</v>
      </c>
    </row>
    <row r="91" spans="1:14" x14ac:dyDescent="0.2">
      <c r="A91" s="181" t="s">
        <v>378</v>
      </c>
      <c r="B91" s="369" t="s">
        <v>376</v>
      </c>
      <c r="C91" s="369"/>
      <c r="D91" s="369" t="s">
        <v>375</v>
      </c>
      <c r="E91" s="369"/>
      <c r="F91" s="369" t="s">
        <v>374</v>
      </c>
      <c r="G91" s="369"/>
      <c r="H91" s="369" t="s">
        <v>32</v>
      </c>
      <c r="I91" s="369"/>
      <c r="J91" s="181"/>
      <c r="K91" s="297" t="s">
        <v>339</v>
      </c>
      <c r="L91" s="297" t="s">
        <v>341</v>
      </c>
      <c r="M91" s="297" t="s">
        <v>337</v>
      </c>
      <c r="N91" s="297" t="s">
        <v>32</v>
      </c>
    </row>
    <row r="92" spans="1:14" x14ac:dyDescent="0.2">
      <c r="A92" s="292">
        <f>$A$8</f>
        <v>2020</v>
      </c>
      <c r="B92" s="287" t="s">
        <v>60</v>
      </c>
      <c r="C92" s="19" t="s">
        <v>373</v>
      </c>
      <c r="D92" s="287" t="s">
        <v>60</v>
      </c>
      <c r="E92" s="19" t="s">
        <v>373</v>
      </c>
      <c r="F92" s="287" t="s">
        <v>60</v>
      </c>
      <c r="G92" s="19" t="s">
        <v>373</v>
      </c>
      <c r="H92" s="287" t="s">
        <v>60</v>
      </c>
      <c r="I92" s="19" t="s">
        <v>373</v>
      </c>
      <c r="J92" s="181"/>
      <c r="K92" s="286" t="str">
        <f>CONCATENATE(A92," - ",A97)</f>
        <v>2020 - 2025</v>
      </c>
      <c r="L92" s="285"/>
      <c r="M92" s="285"/>
    </row>
    <row r="93" spans="1:14" x14ac:dyDescent="0.2">
      <c r="A93" s="282" t="s">
        <v>355</v>
      </c>
      <c r="B93" s="302">
        <f>'Ind T6'!L65</f>
        <v>20.929999999953864</v>
      </c>
      <c r="C93" s="299" t="str">
        <f>CONCATENATE("(",ROUND((B93/$H95)*100,1),")")</f>
        <v>(72.7)</v>
      </c>
      <c r="D93" s="302">
        <f>'Ind T6'!M65</f>
        <v>1.5119999999970861</v>
      </c>
      <c r="E93" s="299" t="str">
        <f>CONCATENATE("(",ROUND((D93/$H95)*100,1),")")</f>
        <v>(5.2)</v>
      </c>
      <c r="F93" s="302">
        <f>'Ind T6'!N65</f>
        <v>0.77899999999824576</v>
      </c>
      <c r="G93" s="299" t="str">
        <f>CONCATENATE("(",ROUND((F93/$H95)*100,1),")")</f>
        <v>(2.7)</v>
      </c>
      <c r="H93" s="302">
        <f>SUM(B93,D93,F93)</f>
        <v>23.220999999949196</v>
      </c>
      <c r="I93" s="299" t="str">
        <f>CONCATENATE("(",ROUND((H93/$H95)*100,1),")")</f>
        <v>(80.6)</v>
      </c>
      <c r="K93" s="302">
        <f>B98-B93</f>
        <v>-0.35899999989981524</v>
      </c>
      <c r="L93" s="302">
        <f>D98-D93</f>
        <v>-1.9999999998564943E-2</v>
      </c>
      <c r="M93" s="302">
        <f>F98-F93</f>
        <v>1.1999999992306498E-2</v>
      </c>
      <c r="N93" s="302">
        <f>SUM(K93:M93)</f>
        <v>-0.36699999990607368</v>
      </c>
    </row>
    <row r="94" spans="1:14" x14ac:dyDescent="0.2">
      <c r="A94" s="282" t="s">
        <v>356</v>
      </c>
      <c r="B94" s="302">
        <f>'Ind T6'!L64</f>
        <v>3.9709999999699281</v>
      </c>
      <c r="C94" s="299" t="str">
        <f>CONCATENATE("(",ROUND((B94/$H95)*100,1),")")</f>
        <v>(13.8)</v>
      </c>
      <c r="D94" s="302">
        <f>'Ind T6'!M64</f>
        <v>1.4590000000280825</v>
      </c>
      <c r="E94" s="299" t="str">
        <f>CONCATENATE("(",ROUND((D94/$H95)*100,1),")")</f>
        <v>(5.1)</v>
      </c>
      <c r="F94" s="302">
        <f>'Ind T6'!N64</f>
        <v>0.15499999999827174</v>
      </c>
      <c r="G94" s="299" t="str">
        <f>CONCATENATE("(",ROUND((F94/$H95)*100,1),")")</f>
        <v>(0.5)</v>
      </c>
      <c r="H94" s="302">
        <f t="shared" ref="H94" si="81">SUM(B94,D94,F94)</f>
        <v>5.584999999996282</v>
      </c>
      <c r="I94" s="299" t="str">
        <f>CONCATENATE("(",ROUND((H94/$H95)*100,1),")")</f>
        <v>(19.4)</v>
      </c>
      <c r="K94" s="302">
        <f t="shared" ref="K94:K95" si="82">B99-B94</f>
        <v>-0.16399999986527591</v>
      </c>
      <c r="L94" s="302">
        <f t="shared" ref="L94:L95" si="83">D99-D94</f>
        <v>-4.2000000019597916E-2</v>
      </c>
      <c r="M94" s="302">
        <f t="shared" ref="M94:M95" si="84">F99-F94</f>
        <v>1.512512337598082E-12</v>
      </c>
      <c r="N94" s="302">
        <f t="shared" ref="N94:N95" si="85">SUM(K94:M94)</f>
        <v>-0.20599999988336132</v>
      </c>
    </row>
    <row r="95" spans="1:14" x14ac:dyDescent="0.2">
      <c r="A95" s="282" t="s">
        <v>354</v>
      </c>
      <c r="B95" s="302">
        <f>SUM(B93:B94)</f>
        <v>24.900999999923791</v>
      </c>
      <c r="C95" s="299" t="str">
        <f>CONCATENATE("(",ROUND((B95/$H95)*100,1),")")</f>
        <v>(86.4)</v>
      </c>
      <c r="D95" s="302">
        <f>SUM(D93:D94)</f>
        <v>2.9710000000251684</v>
      </c>
      <c r="E95" s="299" t="str">
        <f>CONCATENATE("(",ROUND((D95/$H95)*100,1),")")</f>
        <v>(10.3)</v>
      </c>
      <c r="F95" s="302">
        <f>SUM(F93:F94)</f>
        <v>0.9339999999965175</v>
      </c>
      <c r="G95" s="299" t="str">
        <f>CONCATENATE("(",ROUND((F95/$H95)*100,1),")")</f>
        <v>(3.2)</v>
      </c>
      <c r="H95" s="302">
        <f>SUM(H93:H94)</f>
        <v>28.805999999945477</v>
      </c>
      <c r="I95" s="299" t="str">
        <f>CONCATENATE("(",ROUND((H95/$H95)*100,1),")")</f>
        <v>(100)</v>
      </c>
      <c r="K95" s="302">
        <f t="shared" si="82"/>
        <v>-0.52299999976509071</v>
      </c>
      <c r="L95" s="302">
        <f t="shared" si="83"/>
        <v>-6.2000000018162638E-2</v>
      </c>
      <c r="M95" s="302">
        <f t="shared" si="84"/>
        <v>1.1999999993819066E-2</v>
      </c>
      <c r="N95" s="302">
        <f t="shared" si="85"/>
        <v>-0.57299999978943428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355</v>
      </c>
      <c r="B98" s="302">
        <f>'Ind T6'!Q65</f>
        <v>20.571000000054049</v>
      </c>
      <c r="C98" s="299" t="str">
        <f>CONCATENATE("(",ROUND((B98/$H100)*100,1),")")</f>
        <v>(72.9)</v>
      </c>
      <c r="D98" s="302">
        <f>'Ind T6'!R65</f>
        <v>1.4919999999985212</v>
      </c>
      <c r="E98" s="299" t="str">
        <f>CONCATENATE("(",ROUND((D98/$H100)*100,1),")")</f>
        <v>(5.3)</v>
      </c>
      <c r="F98" s="302">
        <f>'Ind T6'!S65</f>
        <v>0.79099999999055226</v>
      </c>
      <c r="G98" s="299" t="str">
        <f>CONCATENATE("(",ROUND((F98/$H100)*100,1),")")</f>
        <v>(2.8)</v>
      </c>
      <c r="H98" s="302">
        <f>SUM(B98,D98,F98)</f>
        <v>22.854000000043122</v>
      </c>
      <c r="I98" s="299" t="str">
        <f>CONCATENATE("(",ROUND((H98/$H100)*100,1),")")</f>
        <v>(80.9)</v>
      </c>
      <c r="K98" s="302">
        <f>B103-B98</f>
        <v>-3.3919999999898707</v>
      </c>
      <c r="L98" s="302">
        <f>D103-D98</f>
        <v>-0.19400000000264384</v>
      </c>
      <c r="M98" s="302">
        <f>F103-F98</f>
        <v>-9.299999999535935E-2</v>
      </c>
      <c r="N98" s="302">
        <f>SUM(K98:M98)</f>
        <v>-3.678999999987874</v>
      </c>
    </row>
    <row r="99" spans="1:14" x14ac:dyDescent="0.2">
      <c r="A99" s="282" t="s">
        <v>356</v>
      </c>
      <c r="B99" s="302">
        <f>'Ind T6'!Q64</f>
        <v>3.8070000001046522</v>
      </c>
      <c r="C99" s="299" t="str">
        <f>CONCATENATE("(",ROUND((B99/$H100)*100,1),")")</f>
        <v>(13.5)</v>
      </c>
      <c r="D99" s="302">
        <f>'Ind T6'!R64</f>
        <v>1.4170000000084846</v>
      </c>
      <c r="E99" s="299" t="str">
        <f>CONCATENATE("(",ROUND((D99/$H100)*100,1),")")</f>
        <v>(5)</v>
      </c>
      <c r="F99" s="302">
        <f>'Ind T6'!S64</f>
        <v>0.15499999999978425</v>
      </c>
      <c r="G99" s="299" t="str">
        <f>CONCATENATE("(",ROUND((F99/$H100)*100,1),")")</f>
        <v>(0.5)</v>
      </c>
      <c r="H99" s="302">
        <f t="shared" ref="H99" si="86">SUM(B99,D99,F99)</f>
        <v>5.3790000001129208</v>
      </c>
      <c r="I99" s="299" t="str">
        <f>CONCATENATE("(",ROUND((H99/$H100)*100,1),")")</f>
        <v>(19.1)</v>
      </c>
      <c r="K99" s="302">
        <f t="shared" ref="K99:K100" si="87">B104-B99</f>
        <v>-0.73500000010413524</v>
      </c>
      <c r="L99" s="302">
        <f t="shared" ref="L99:L100" si="88">D104-D99</f>
        <v>-0.21700000002293152</v>
      </c>
      <c r="M99" s="302">
        <f t="shared" ref="M99:M100" si="89">F104-F99</f>
        <v>-1.9000000000314626E-2</v>
      </c>
      <c r="N99" s="302">
        <f t="shared" ref="N99:N100" si="90">SUM(K99:M99)</f>
        <v>-0.97100000012738141</v>
      </c>
    </row>
    <row r="100" spans="1:14" x14ac:dyDescent="0.2">
      <c r="A100" s="282" t="s">
        <v>354</v>
      </c>
      <c r="B100" s="302">
        <f>SUM(B98:B99)</f>
        <v>24.3780000001587</v>
      </c>
      <c r="C100" s="299" t="str">
        <f>CONCATENATE("(",ROUND((B100/$H100)*100,1),")")</f>
        <v>(86.3)</v>
      </c>
      <c r="D100" s="302">
        <f>SUM(D98:D99)</f>
        <v>2.9090000000070058</v>
      </c>
      <c r="E100" s="299" t="str">
        <f>CONCATENATE("(",ROUND((D100/$H100)*100,1),")")</f>
        <v>(10.3)</v>
      </c>
      <c r="F100" s="302">
        <f>SUM(F98:F99)</f>
        <v>0.94599999999033657</v>
      </c>
      <c r="G100" s="299" t="str">
        <f>CONCATENATE("(",ROUND((F100/$H100)*100,1),")")</f>
        <v>(3.4)</v>
      </c>
      <c r="H100" s="302">
        <f>SUM(H98:H99)</f>
        <v>28.233000000156043</v>
      </c>
      <c r="I100" s="299" t="str">
        <f>CONCATENATE("(",ROUND((H100/$H100)*100,1),")")</f>
        <v>(100)</v>
      </c>
      <c r="K100" s="302">
        <f t="shared" si="87"/>
        <v>-4.1270000000940037</v>
      </c>
      <c r="L100" s="302">
        <f t="shared" si="88"/>
        <v>-0.41100000002557557</v>
      </c>
      <c r="M100" s="302">
        <f t="shared" si="89"/>
        <v>-0.111999999995674</v>
      </c>
      <c r="N100" s="302">
        <f t="shared" si="90"/>
        <v>-4.6500000001152531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355</v>
      </c>
      <c r="B103" s="302">
        <f>'Ind T6'!V65</f>
        <v>17.179000000064178</v>
      </c>
      <c r="C103" s="299" t="str">
        <f>CONCATENATE("(",ROUND((B103/$H105)*100,1),")")</f>
        <v>(72.8)</v>
      </c>
      <c r="D103" s="302">
        <f>'Ind T6'!W65</f>
        <v>1.2979999999958773</v>
      </c>
      <c r="E103" s="299" t="str">
        <f>CONCATENATE("(",ROUND((D103/$H105)*100,1),")")</f>
        <v>(5.5)</v>
      </c>
      <c r="F103" s="302">
        <f>'Ind T6'!X65</f>
        <v>0.69799999999519291</v>
      </c>
      <c r="G103" s="299" t="str">
        <f>CONCATENATE("(",ROUND((F103/$H105)*100,1),")")</f>
        <v>(3)</v>
      </c>
      <c r="H103" s="302">
        <f>SUM(B103,D103,F103)</f>
        <v>19.175000000055249</v>
      </c>
      <c r="I103" s="299" t="str">
        <f>CONCATENATE("(",ROUND((H103/$H105)*100,1),")")</f>
        <v>(81.3)</v>
      </c>
      <c r="K103" s="302">
        <f>B103-B93</f>
        <v>-3.7509999998896859</v>
      </c>
      <c r="L103" s="302">
        <f>D103-D93</f>
        <v>-0.21400000000120878</v>
      </c>
      <c r="M103" s="302">
        <f>F103-F93</f>
        <v>-8.1000000003052852E-2</v>
      </c>
      <c r="N103" s="302">
        <f>SUM(K103:M103)</f>
        <v>-4.0459999998939473</v>
      </c>
    </row>
    <row r="104" spans="1:14" x14ac:dyDescent="0.2">
      <c r="A104" s="282" t="s">
        <v>356</v>
      </c>
      <c r="B104" s="302">
        <f>'Ind T6'!V64</f>
        <v>3.072000000000517</v>
      </c>
      <c r="C104" s="299" t="str">
        <f>CONCATENATE("(",ROUND((B104/$H105)*100,1),")")</f>
        <v>(13)</v>
      </c>
      <c r="D104" s="302">
        <f>'Ind T6'!W64</f>
        <v>1.1999999999855531</v>
      </c>
      <c r="E104" s="299" t="str">
        <f>CONCATENATE("(",ROUND((D104/$H105)*100,1),")")</f>
        <v>(5.1)</v>
      </c>
      <c r="F104" s="302">
        <f>'Ind T6'!X64</f>
        <v>0.13599999999946963</v>
      </c>
      <c r="G104" s="299" t="str">
        <f>CONCATENATE("(",ROUND((F104/$H105)*100,1),")")</f>
        <v>(0.6)</v>
      </c>
      <c r="H104" s="302">
        <f t="shared" ref="H104" si="91">SUM(B104,D104,F104)</f>
        <v>4.4079999999855399</v>
      </c>
      <c r="I104" s="299" t="str">
        <f>CONCATENATE("(",ROUND((H104/$H105)*100,1),")")</f>
        <v>(18.7)</v>
      </c>
      <c r="K104" s="302">
        <f t="shared" ref="K104:K105" si="92">B104-B94</f>
        <v>-0.89899999996941116</v>
      </c>
      <c r="L104" s="302">
        <f t="shared" ref="L104:L105" si="93">D104-D94</f>
        <v>-0.25900000004252943</v>
      </c>
      <c r="M104" s="302">
        <f t="shared" ref="M104:M105" si="94">F104-F94</f>
        <v>-1.8999999998802114E-2</v>
      </c>
      <c r="N104" s="302">
        <f t="shared" ref="N104:N105" si="95">SUM(K104:M104)</f>
        <v>-1.1770000000107428</v>
      </c>
    </row>
    <row r="105" spans="1:14" x14ac:dyDescent="0.2">
      <c r="A105" s="282" t="s">
        <v>354</v>
      </c>
      <c r="B105" s="302">
        <f>SUM(B103:B104)</f>
        <v>20.251000000064696</v>
      </c>
      <c r="C105" s="299" t="str">
        <f>CONCATENATE("(",ROUND((B105/$H105)*100,1),")")</f>
        <v>(85.9)</v>
      </c>
      <c r="D105" s="302">
        <f>SUM(D103:D104)</f>
        <v>2.4979999999814302</v>
      </c>
      <c r="E105" s="299" t="str">
        <f>CONCATENATE("(",ROUND((D105/$H105)*100,1),")")</f>
        <v>(10.6)</v>
      </c>
      <c r="F105" s="302">
        <f>SUM(F103:F104)</f>
        <v>0.83399999999466257</v>
      </c>
      <c r="G105" s="299" t="str">
        <f>CONCATENATE("(",ROUND((F105/$H105)*100,1),")")</f>
        <v>(3.5)</v>
      </c>
      <c r="H105" s="302">
        <f>SUM(H103:H104)</f>
        <v>23.583000000040791</v>
      </c>
      <c r="I105" s="299" t="str">
        <f>CONCATENATE("(",ROUND((H105/$H105)*100,1),")")</f>
        <v>(100)</v>
      </c>
      <c r="K105" s="302">
        <f t="shared" si="92"/>
        <v>-4.6499999998590944</v>
      </c>
      <c r="L105" s="302">
        <f t="shared" si="93"/>
        <v>-0.47300000004373821</v>
      </c>
      <c r="M105" s="302">
        <f t="shared" si="94"/>
        <v>-0.10000000000185494</v>
      </c>
      <c r="N105" s="302">
        <f t="shared" si="95"/>
        <v>-5.2229999999046877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1"/>
      <c r="E109" s="181"/>
      <c r="G109" s="181"/>
      <c r="I109" s="181"/>
    </row>
    <row r="110" spans="1:14" x14ac:dyDescent="0.2">
      <c r="A110" s="288"/>
      <c r="B110" s="289" t="s">
        <v>379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377</v>
      </c>
    </row>
    <row r="112" spans="1:14" x14ac:dyDescent="0.2">
      <c r="A112" s="181" t="s">
        <v>378</v>
      </c>
      <c r="B112" s="369" t="s">
        <v>376</v>
      </c>
      <c r="C112" s="369"/>
      <c r="D112" s="369" t="s">
        <v>375</v>
      </c>
      <c r="E112" s="369"/>
      <c r="F112" s="369" t="s">
        <v>374</v>
      </c>
      <c r="G112" s="369"/>
      <c r="H112" s="369" t="s">
        <v>32</v>
      </c>
      <c r="I112" s="369"/>
      <c r="J112" s="181"/>
      <c r="K112" s="297" t="s">
        <v>339</v>
      </c>
      <c r="L112" s="297" t="s">
        <v>341</v>
      </c>
      <c r="M112" s="297" t="s">
        <v>337</v>
      </c>
      <c r="N112" s="297" t="s">
        <v>32</v>
      </c>
    </row>
    <row r="113" spans="1:14" x14ac:dyDescent="0.2">
      <c r="A113" s="292">
        <f>$A$8</f>
        <v>2020</v>
      </c>
      <c r="B113" s="287" t="s">
        <v>60</v>
      </c>
      <c r="C113" s="19" t="s">
        <v>373</v>
      </c>
      <c r="D113" s="287" t="s">
        <v>60</v>
      </c>
      <c r="E113" s="19" t="s">
        <v>373</v>
      </c>
      <c r="F113" s="287" t="s">
        <v>60</v>
      </c>
      <c r="G113" s="19" t="s">
        <v>373</v>
      </c>
      <c r="H113" s="287" t="s">
        <v>60</v>
      </c>
      <c r="I113" s="19" t="s">
        <v>373</v>
      </c>
      <c r="J113" s="181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355</v>
      </c>
      <c r="B114" s="302">
        <f>'Ind T6'!L155</f>
        <v>129.09000000021504</v>
      </c>
      <c r="C114" s="299" t="str">
        <f>CONCATENATE("(",ROUND((B114/$H116)*100,1),")")</f>
        <v>(67.1)</v>
      </c>
      <c r="D114" s="302">
        <f>'Ind T6'!M155</f>
        <v>9.561000000050127</v>
      </c>
      <c r="E114" s="299" t="str">
        <f>CONCATENATE("(",ROUND((D114/$H116)*100,1),")")</f>
        <v>(5)</v>
      </c>
      <c r="F114" s="302">
        <f>'Ind T6'!N155</f>
        <v>11.509999999951697</v>
      </c>
      <c r="G114" s="299" t="str">
        <f>CONCATENATE("(",ROUND((F114/$H116)*100,1),")")</f>
        <v>(6)</v>
      </c>
      <c r="H114" s="302">
        <f>SUM(B114,D114,F114)</f>
        <v>150.16100000021686</v>
      </c>
      <c r="I114" s="299" t="str">
        <f>CONCATENATE("(",ROUND((H114/$H116)*100,1),")")</f>
        <v>(78)</v>
      </c>
      <c r="K114" s="302">
        <f>B119-B114</f>
        <v>-8.2239999996245956</v>
      </c>
      <c r="L114" s="302">
        <f>D119-D114</f>
        <v>-0.74400000001770827</v>
      </c>
      <c r="M114" s="302">
        <f>F119-F114</f>
        <v>-0.82800000010053054</v>
      </c>
      <c r="N114" s="302">
        <f>SUM(K114:M114)</f>
        <v>-9.7959999997428344</v>
      </c>
    </row>
    <row r="115" spans="1:14" x14ac:dyDescent="0.2">
      <c r="A115" s="282" t="s">
        <v>356</v>
      </c>
      <c r="B115" s="302">
        <f>'Ind T6'!L154</f>
        <v>29.155999999767158</v>
      </c>
      <c r="C115" s="299" t="str">
        <f>CONCATENATE("(",ROUND((B115/$H116)*100,1),")")</f>
        <v>(15.2)</v>
      </c>
      <c r="D115" s="302">
        <f>'Ind T6'!M154</f>
        <v>10.883000000266222</v>
      </c>
      <c r="E115" s="299" t="str">
        <f>CONCATENATE("(",ROUND((D115/$H116)*100,1),")")</f>
        <v>(5.7)</v>
      </c>
      <c r="F115" s="302">
        <f>'Ind T6'!N154</f>
        <v>2.2269999999441836</v>
      </c>
      <c r="G115" s="299" t="str">
        <f>CONCATENATE("(",ROUND((F115/$H116)*100,1),")")</f>
        <v>(1.2)</v>
      </c>
      <c r="H115" s="302">
        <f t="shared" ref="H115" si="96">SUM(B115,D115,F115)</f>
        <v>42.265999999977566</v>
      </c>
      <c r="I115" s="299" t="str">
        <f>CONCATENATE("(",ROUND((H115/$H116)*100,1),")")</f>
        <v>(22)</v>
      </c>
      <c r="K115" s="302">
        <f t="shared" ref="K115:K116" si="97">B120-B115</f>
        <v>-1.8349999991560928</v>
      </c>
      <c r="L115" s="302">
        <f t="shared" ref="L115:L116" si="98">D120-D115</f>
        <v>-0.82800000013701514</v>
      </c>
      <c r="M115" s="302">
        <f t="shared" ref="M115:M116" si="99">F120-F115</f>
        <v>-0.24499999994077704</v>
      </c>
      <c r="N115" s="302">
        <f t="shared" ref="N115:N116" si="100">SUM(K115:M115)</f>
        <v>-2.9079999992338852</v>
      </c>
    </row>
    <row r="116" spans="1:14" x14ac:dyDescent="0.2">
      <c r="A116" s="282" t="s">
        <v>354</v>
      </c>
      <c r="B116" s="302">
        <f>SUM(B114:B115)</f>
        <v>158.24599999998219</v>
      </c>
      <c r="C116" s="299" t="str">
        <f>CONCATENATE("(",ROUND((B116/$H116)*100,1),")")</f>
        <v>(82.2)</v>
      </c>
      <c r="D116" s="302">
        <f>SUM(D114:D115)</f>
        <v>20.44400000031635</v>
      </c>
      <c r="E116" s="299" t="str">
        <f>CONCATENATE("(",ROUND((D116/$H116)*100,1),")")</f>
        <v>(10.6)</v>
      </c>
      <c r="F116" s="302">
        <f>SUM(F114:F115)</f>
        <v>13.736999999895881</v>
      </c>
      <c r="G116" s="299" t="str">
        <f>CONCATENATE("(",ROUND((F116/$H116)*100,1),")")</f>
        <v>(7.1)</v>
      </c>
      <c r="H116" s="302">
        <f>SUM(H114:H115)</f>
        <v>192.42700000019443</v>
      </c>
      <c r="I116" s="299" t="str">
        <f>CONCATENATE("(",ROUND((H116/$H116)*100,1),")")</f>
        <v>(100)</v>
      </c>
      <c r="K116" s="302">
        <f t="shared" si="97"/>
        <v>-10.058999998780678</v>
      </c>
      <c r="L116" s="302">
        <f t="shared" si="98"/>
        <v>-1.5720000001547234</v>
      </c>
      <c r="M116" s="302">
        <f t="shared" si="99"/>
        <v>-1.0730000000413078</v>
      </c>
      <c r="N116" s="302">
        <f t="shared" si="100"/>
        <v>-12.703999998976709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355</v>
      </c>
      <c r="B119" s="302">
        <f>'Ind T6'!Q155</f>
        <v>120.86600000059045</v>
      </c>
      <c r="C119" s="299" t="str">
        <f>CONCATENATE("(",ROUND((B119/$H121)*100,1),")")</f>
        <v>(67.3)</v>
      </c>
      <c r="D119" s="302">
        <f>'Ind T6'!R155</f>
        <v>8.8170000000324187</v>
      </c>
      <c r="E119" s="299" t="str">
        <f>CONCATENATE("(",ROUND((D119/$H121)*100,1),")")</f>
        <v>(4.9)</v>
      </c>
      <c r="F119" s="302">
        <f>'Ind T6'!S155</f>
        <v>10.681999999851167</v>
      </c>
      <c r="G119" s="299" t="str">
        <f>CONCATENATE("(",ROUND((F119/$H121)*100,1),")")</f>
        <v>(5.9)</v>
      </c>
      <c r="H119" s="302">
        <f>SUM(B119,D119,F119)</f>
        <v>140.36500000047403</v>
      </c>
      <c r="I119" s="299" t="str">
        <f>CONCATENATE("(",ROUND((H119/$H121)*100,1),")")</f>
        <v>(78.1)</v>
      </c>
      <c r="K119" s="302">
        <f>B124-B119</f>
        <v>-9.8560000000521057</v>
      </c>
      <c r="L119" s="302">
        <f>D124-D119</f>
        <v>-0.83799999999983399</v>
      </c>
      <c r="M119" s="302">
        <f>F124-F119</f>
        <v>-0.59199999994359587</v>
      </c>
      <c r="N119" s="302">
        <f>SUM(K119:M119)</f>
        <v>-11.285999999995536</v>
      </c>
    </row>
    <row r="120" spans="1:14" x14ac:dyDescent="0.2">
      <c r="A120" s="282" t="s">
        <v>356</v>
      </c>
      <c r="B120" s="302">
        <f>'Ind T6'!Q154</f>
        <v>27.321000000611065</v>
      </c>
      <c r="C120" s="299" t="str">
        <f>CONCATENATE("(",ROUND((B120/$H121)*100,1),")")</f>
        <v>(15.2)</v>
      </c>
      <c r="D120" s="302">
        <f>'Ind T6'!R154</f>
        <v>10.055000000129207</v>
      </c>
      <c r="E120" s="299" t="str">
        <f>CONCATENATE("(",ROUND((D120/$H121)*100,1),")")</f>
        <v>(5.6)</v>
      </c>
      <c r="F120" s="302">
        <f>'Ind T6'!S154</f>
        <v>1.9820000000034066</v>
      </c>
      <c r="G120" s="299" t="str">
        <f>CONCATENATE("(",ROUND((F120/$H121)*100,1),")")</f>
        <v>(1.1)</v>
      </c>
      <c r="H120" s="302">
        <f t="shared" ref="H120" si="101">SUM(B120,D120,F120)</f>
        <v>39.358000000743679</v>
      </c>
      <c r="I120" s="299" t="str">
        <f>CONCATENATE("(",ROUND((H120/$H121)*100,1),")")</f>
        <v>(21.9)</v>
      </c>
      <c r="K120" s="302">
        <f t="shared" ref="K120:K121" si="102">B125-B120</f>
        <v>-1.6380000005899333</v>
      </c>
      <c r="L120" s="302">
        <f t="shared" ref="L120:L121" si="103">D125-D120</f>
        <v>-0.86300000025631363</v>
      </c>
      <c r="M120" s="302">
        <f t="shared" ref="M120:M121" si="104">F125-F120</f>
        <v>-0.26500000000101065</v>
      </c>
      <c r="N120" s="302">
        <f t="shared" ref="N120:N121" si="105">SUM(K120:M120)</f>
        <v>-2.7660000008472574</v>
      </c>
    </row>
    <row r="121" spans="1:14" x14ac:dyDescent="0.2">
      <c r="A121" s="282" t="s">
        <v>354</v>
      </c>
      <c r="B121" s="302">
        <f>SUM(B119:B120)</f>
        <v>148.18700000120151</v>
      </c>
      <c r="C121" s="299" t="str">
        <f>CONCATENATE("(",ROUND((B121/$H121)*100,1),")")</f>
        <v>(82.5)</v>
      </c>
      <c r="D121" s="302">
        <f>SUM(D119:D120)</f>
        <v>18.872000000161627</v>
      </c>
      <c r="E121" s="299" t="str">
        <f>CONCATENATE("(",ROUND((D121/$H121)*100,1),")")</f>
        <v>(10.5)</v>
      </c>
      <c r="F121" s="302">
        <f>SUM(F119:F120)</f>
        <v>12.663999999854573</v>
      </c>
      <c r="G121" s="299" t="str">
        <f>CONCATENATE("(",ROUND((F121/$H121)*100,1),")")</f>
        <v>(7)</v>
      </c>
      <c r="H121" s="302">
        <f>SUM(H119:H120)</f>
        <v>179.72300000121771</v>
      </c>
      <c r="I121" s="299" t="str">
        <f>CONCATENATE("(",ROUND((H121/$H121)*100,1),")")</f>
        <v>(100)</v>
      </c>
      <c r="K121" s="302">
        <f t="shared" si="102"/>
        <v>-11.494000000642046</v>
      </c>
      <c r="L121" s="302">
        <f t="shared" si="103"/>
        <v>-1.7010000002561512</v>
      </c>
      <c r="M121" s="302">
        <f t="shared" si="104"/>
        <v>-0.85699999994460718</v>
      </c>
      <c r="N121" s="302">
        <f t="shared" si="105"/>
        <v>-14.052000000842805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355</v>
      </c>
      <c r="B124" s="302">
        <f>'Ind T6'!V155</f>
        <v>111.01000000053834</v>
      </c>
      <c r="C124" s="299" t="str">
        <f>CONCATENATE("(",ROUND((B124/$H126)*100,1),")")</f>
        <v>(67)</v>
      </c>
      <c r="D124" s="302">
        <f>'Ind T6'!W155</f>
        <v>7.9790000000325847</v>
      </c>
      <c r="E124" s="299" t="str">
        <f>CONCATENATE("(",ROUND((D124/$H126)*100,1),")")</f>
        <v>(4.8)</v>
      </c>
      <c r="F124" s="302">
        <f>'Ind T6'!X155</f>
        <v>10.089999999907571</v>
      </c>
      <c r="G124" s="299" t="str">
        <f>CONCATENATE("(",ROUND((F124/$H126)*100,1),")")</f>
        <v>(6.1)</v>
      </c>
      <c r="H124" s="302">
        <f>SUM(B124,D124,F124)</f>
        <v>129.07900000047849</v>
      </c>
      <c r="I124" s="299" t="str">
        <f>CONCATENATE("(",ROUND((H124/$H126)*100,1),")")</f>
        <v>(77.9)</v>
      </c>
      <c r="K124" s="302">
        <f>B124-B114</f>
        <v>-18.079999999676701</v>
      </c>
      <c r="L124" s="302">
        <f>D124-D114</f>
        <v>-1.5820000000175423</v>
      </c>
      <c r="M124" s="302">
        <f>F124-F114</f>
        <v>-1.4200000000441264</v>
      </c>
      <c r="N124" s="302">
        <f>SUM(K124:M124)</f>
        <v>-21.081999999738372</v>
      </c>
    </row>
    <row r="125" spans="1:14" x14ac:dyDescent="0.2">
      <c r="A125" s="282" t="s">
        <v>356</v>
      </c>
      <c r="B125" s="302">
        <f>'Ind T6'!V154</f>
        <v>25.683000000021131</v>
      </c>
      <c r="C125" s="299" t="str">
        <f>CONCATENATE("(",ROUND((B125/$H126)*100,1),")")</f>
        <v>(15.5)</v>
      </c>
      <c r="D125" s="302">
        <f>'Ind T6'!W154</f>
        <v>9.191999999872893</v>
      </c>
      <c r="E125" s="299" t="str">
        <f>CONCATENATE("(",ROUND((D125/$H126)*100,1),")")</f>
        <v>(5.5)</v>
      </c>
      <c r="F125" s="302">
        <f>'Ind T6'!X154</f>
        <v>1.7170000000023959</v>
      </c>
      <c r="G125" s="299" t="str">
        <f>CONCATENATE("(",ROUND((F125/$H126)*100,1),")")</f>
        <v>(1)</v>
      </c>
      <c r="H125" s="302">
        <f t="shared" ref="H125" si="106">SUM(B125,D125,F125)</f>
        <v>36.591999999896416</v>
      </c>
      <c r="I125" s="299" t="str">
        <f>CONCATENATE("(",ROUND((H125/$H126)*100,1),")")</f>
        <v>(22.1)</v>
      </c>
      <c r="K125" s="302">
        <f t="shared" ref="K125:K126" si="107">B125-B115</f>
        <v>-3.4729999997460261</v>
      </c>
      <c r="L125" s="302">
        <f t="shared" ref="L125:L126" si="108">D125-D115</f>
        <v>-1.6910000003933288</v>
      </c>
      <c r="M125" s="302">
        <f t="shared" ref="M125:M126" si="109">F125-F115</f>
        <v>-0.50999999994178769</v>
      </c>
      <c r="N125" s="302">
        <f t="shared" ref="N125:N126" si="110">SUM(K125:M125)</f>
        <v>-5.6740000000811426</v>
      </c>
    </row>
    <row r="126" spans="1:14" x14ac:dyDescent="0.2">
      <c r="A126" s="282" t="s">
        <v>354</v>
      </c>
      <c r="B126" s="302">
        <f>SUM(B124:B125)</f>
        <v>136.69300000055946</v>
      </c>
      <c r="C126" s="299" t="str">
        <f>CONCATENATE("(",ROUND((B126/$H126)*100,1),")")</f>
        <v>(82.5)</v>
      </c>
      <c r="D126" s="302">
        <f>SUM(D124:D125)</f>
        <v>17.170999999905476</v>
      </c>
      <c r="E126" s="299" t="str">
        <f>CONCATENATE("(",ROUND((D126/$H126)*100,1),")")</f>
        <v>(10.4)</v>
      </c>
      <c r="F126" s="302">
        <f>SUM(F124:F125)</f>
        <v>11.806999999909966</v>
      </c>
      <c r="G126" s="299" t="str">
        <f>CONCATENATE("(",ROUND((F126/$H126)*100,1),")")</f>
        <v>(7.1)</v>
      </c>
      <c r="H126" s="302">
        <f>SUM(H124:H125)</f>
        <v>165.6710000003749</v>
      </c>
      <c r="I126" s="299" t="str">
        <f>CONCATENATE("(",ROUND((H126/$H126)*100,1),")")</f>
        <v>(100)</v>
      </c>
      <c r="K126" s="302">
        <f t="shared" si="107"/>
        <v>-21.552999999422724</v>
      </c>
      <c r="L126" s="302">
        <f t="shared" si="108"/>
        <v>-3.2730000004108746</v>
      </c>
      <c r="M126" s="302">
        <f t="shared" si="109"/>
        <v>-1.929999999985915</v>
      </c>
      <c r="N126" s="302">
        <f t="shared" si="110"/>
        <v>-26.755999999819515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379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377</v>
      </c>
    </row>
    <row r="133" spans="1:14" x14ac:dyDescent="0.2">
      <c r="A133" s="181" t="s">
        <v>378</v>
      </c>
      <c r="B133" s="369" t="s">
        <v>376</v>
      </c>
      <c r="C133" s="369"/>
      <c r="D133" s="369" t="s">
        <v>375</v>
      </c>
      <c r="E133" s="369"/>
      <c r="F133" s="369" t="s">
        <v>374</v>
      </c>
      <c r="G133" s="369"/>
      <c r="H133" s="369" t="s">
        <v>32</v>
      </c>
      <c r="I133" s="369"/>
      <c r="J133" s="181"/>
      <c r="K133" s="297" t="s">
        <v>339</v>
      </c>
      <c r="L133" s="297" t="s">
        <v>341</v>
      </c>
      <c r="M133" s="297" t="s">
        <v>337</v>
      </c>
      <c r="N133" s="297" t="s">
        <v>32</v>
      </c>
    </row>
    <row r="134" spans="1:14" x14ac:dyDescent="0.2">
      <c r="A134" s="292">
        <f>$A$8</f>
        <v>2020</v>
      </c>
      <c r="B134" s="287" t="s">
        <v>60</v>
      </c>
      <c r="C134" s="19" t="s">
        <v>373</v>
      </c>
      <c r="D134" s="287" t="s">
        <v>60</v>
      </c>
      <c r="E134" s="19" t="s">
        <v>373</v>
      </c>
      <c r="F134" s="287" t="s">
        <v>60</v>
      </c>
      <c r="G134" s="19" t="s">
        <v>373</v>
      </c>
      <c r="H134" s="287" t="s">
        <v>60</v>
      </c>
      <c r="I134" s="19" t="s">
        <v>373</v>
      </c>
      <c r="J134" s="181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355</v>
      </c>
      <c r="B135" s="302">
        <f>'Ind T6'!L165</f>
        <v>9.4569999998789989</v>
      </c>
      <c r="C135" s="299" t="str">
        <f>CONCATENATE("(",ROUND((B135/$H137)*100,1),")")</f>
        <v>(67.3)</v>
      </c>
      <c r="D135" s="302">
        <f>'Ind T6'!M165</f>
        <v>0.1319999999995673</v>
      </c>
      <c r="E135" s="299" t="str">
        <f>CONCATENATE("(",ROUND((D135/$H137)*100,1),")")</f>
        <v>(0.9)</v>
      </c>
      <c r="F135" s="302">
        <f>'Ind T6'!N165</f>
        <v>0</v>
      </c>
      <c r="G135" s="299" t="str">
        <f>CONCATENATE("(",ROUND((F135/$H137)*100,1),")")</f>
        <v>(0)</v>
      </c>
      <c r="H135" s="302">
        <f>SUM(B135,D135,F135)</f>
        <v>9.5889999998785669</v>
      </c>
      <c r="I135" s="299" t="str">
        <f>CONCATENATE("(",ROUND((H135/$H137)*100,1),")")</f>
        <v>(68.2)</v>
      </c>
      <c r="K135" s="302">
        <f>B140-B135</f>
        <v>-0.19799999993550976</v>
      </c>
      <c r="L135" s="302">
        <f>D140-D135</f>
        <v>3.0800362260663405E-13</v>
      </c>
      <c r="M135" s="302">
        <f>F140-F135</f>
        <v>0</v>
      </c>
      <c r="N135" s="302">
        <f>SUM(K135:M135)</f>
        <v>-0.19799999993520176</v>
      </c>
    </row>
    <row r="136" spans="1:14" x14ac:dyDescent="0.2">
      <c r="A136" s="282" t="s">
        <v>356</v>
      </c>
      <c r="B136" s="302">
        <f>'Ind T6'!L164</f>
        <v>3.6179999999972901</v>
      </c>
      <c r="C136" s="299" t="str">
        <f>CONCATENATE("(",ROUND((B136/$H137)*100,1),")")</f>
        <v>(25.7)</v>
      </c>
      <c r="D136" s="302">
        <f>'Ind T6'!M164</f>
        <v>0.84800000001822184</v>
      </c>
      <c r="E136" s="299" t="str">
        <f>CONCATENATE("(",ROUND((D136/$H137)*100,1),")")</f>
        <v>(6)</v>
      </c>
      <c r="F136" s="302">
        <f>'Ind T6'!N164</f>
        <v>0</v>
      </c>
      <c r="G136" s="299" t="str">
        <f>CONCATENATE("(",ROUND((F136/$H137)*100,1),")")</f>
        <v>(0)</v>
      </c>
      <c r="H136" s="302">
        <f t="shared" ref="H136" si="111">SUM(B136,D136,F136)</f>
        <v>4.4660000000155122</v>
      </c>
      <c r="I136" s="299" t="str">
        <f>CONCATENATE("(",ROUND((H136/$H137)*100,1),")")</f>
        <v>(31.8)</v>
      </c>
      <c r="K136" s="302">
        <f t="shared" ref="K136:K137" si="112">B141-B136</f>
        <v>-1.999999994404611E-2</v>
      </c>
      <c r="L136" s="302">
        <f t="shared" ref="L136:L137" si="113">D141-D136</f>
        <v>-1.2000000005427225E-2</v>
      </c>
      <c r="M136" s="302">
        <f t="shared" ref="M136:M137" si="114">F141-F136</f>
        <v>0</v>
      </c>
      <c r="N136" s="302">
        <f t="shared" ref="N136:N137" si="115">SUM(K136:M136)</f>
        <v>-3.1999999949473334E-2</v>
      </c>
    </row>
    <row r="137" spans="1:14" x14ac:dyDescent="0.2">
      <c r="A137" s="282" t="s">
        <v>354</v>
      </c>
      <c r="B137" s="302">
        <f>SUM(B135:B136)</f>
        <v>13.074999999876288</v>
      </c>
      <c r="C137" s="299" t="str">
        <f>CONCATENATE("(",ROUND((B137/$H137)*100,1),")")</f>
        <v>(93)</v>
      </c>
      <c r="D137" s="302">
        <f>SUM(D135:D136)</f>
        <v>0.98000000001778909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14.054999999894079</v>
      </c>
      <c r="I137" s="299" t="str">
        <f>CONCATENATE("(",ROUND((H137/$H137)*100,1),")")</f>
        <v>(100)</v>
      </c>
      <c r="K137" s="302">
        <f t="shared" si="112"/>
        <v>-0.21799999987955587</v>
      </c>
      <c r="L137" s="302">
        <f t="shared" si="113"/>
        <v>-1.2000000005119138E-2</v>
      </c>
      <c r="M137" s="302">
        <f t="shared" si="114"/>
        <v>0</v>
      </c>
      <c r="N137" s="302">
        <f t="shared" si="115"/>
        <v>-0.22999999988467501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355</v>
      </c>
      <c r="B140" s="302">
        <f>'Ind T6'!Q165</f>
        <v>9.2589999999434891</v>
      </c>
      <c r="C140" s="299" t="str">
        <f>CONCATENATE("(",ROUND((B140/$H142)*100,1),")")</f>
        <v>(67)</v>
      </c>
      <c r="D140" s="302">
        <f>'Ind T6'!R165</f>
        <v>0.1319999999998753</v>
      </c>
      <c r="E140" s="299" t="str">
        <f>CONCATENATE("(",ROUND((D140/$H142)*100,1),")")</f>
        <v>(1)</v>
      </c>
      <c r="F140" s="302">
        <f>'Ind T6'!S165</f>
        <v>0</v>
      </c>
      <c r="G140" s="299" t="str">
        <f>CONCATENATE("(",ROUND((F140/$H142)*100,1),")")</f>
        <v>(0)</v>
      </c>
      <c r="H140" s="302">
        <f>SUM(B140,D140,F140)</f>
        <v>9.3909999999433644</v>
      </c>
      <c r="I140" s="299" t="str">
        <f>CONCATENATE("(",ROUND((H140/$H142)*100,1),")")</f>
        <v>(67.9)</v>
      </c>
      <c r="K140" s="302">
        <f>B145-B140</f>
        <v>8.4999999955789107E-2</v>
      </c>
      <c r="L140" s="302">
        <f>D145-D140</f>
        <v>6.9999999997842899E-3</v>
      </c>
      <c r="M140" s="302">
        <f>F145-F140</f>
        <v>0</v>
      </c>
      <c r="N140" s="302">
        <f>SUM(K140:M140)</f>
        <v>9.1999999955573397E-2</v>
      </c>
    </row>
    <row r="141" spans="1:14" x14ac:dyDescent="0.2">
      <c r="A141" s="282" t="s">
        <v>356</v>
      </c>
      <c r="B141" s="302">
        <f>'Ind T6'!Q164</f>
        <v>3.5980000000532439</v>
      </c>
      <c r="C141" s="299" t="str">
        <f>CONCATENATE("(",ROUND((B141/$H142)*100,1),")")</f>
        <v>(26)</v>
      </c>
      <c r="D141" s="302">
        <f>'Ind T6'!R164</f>
        <v>0.83600000001279462</v>
      </c>
      <c r="E141" s="299" t="str">
        <f>CONCATENATE("(",ROUND((D141/$H142)*100,1),")")</f>
        <v>(6)</v>
      </c>
      <c r="F141" s="302">
        <f>'Ind T6'!S164</f>
        <v>0</v>
      </c>
      <c r="G141" s="299" t="str">
        <f>CONCATENATE("(",ROUND((F141/$H142)*100,1),")")</f>
        <v>(0)</v>
      </c>
      <c r="H141" s="302">
        <f t="shared" ref="H141" si="116">SUM(B141,D141,F141)</f>
        <v>4.4340000000660389</v>
      </c>
      <c r="I141" s="299" t="str">
        <f>CONCATENATE("(",ROUND((H141/$H142)*100,1),")")</f>
        <v>(32.1)</v>
      </c>
      <c r="K141" s="302">
        <f t="shared" ref="K141:K142" si="117">B146-B141</f>
        <v>0.14999999988677715</v>
      </c>
      <c r="L141" s="302">
        <f t="shared" ref="L141:L142" si="118">D146-D141</f>
        <v>1.799999997686097E-2</v>
      </c>
      <c r="M141" s="302">
        <f t="shared" ref="M141:M142" si="119">F146-F141</f>
        <v>0</v>
      </c>
      <c r="N141" s="302">
        <f t="shared" ref="N141:N142" si="120">SUM(K141:M141)</f>
        <v>0.16799999986363812</v>
      </c>
    </row>
    <row r="142" spans="1:14" x14ac:dyDescent="0.2">
      <c r="A142" s="282" t="s">
        <v>354</v>
      </c>
      <c r="B142" s="302">
        <f>SUM(B140:B141)</f>
        <v>12.856999999996733</v>
      </c>
      <c r="C142" s="299" t="str">
        <f>CONCATENATE("(",ROUND((B142/$H142)*100,1),")")</f>
        <v>(93)</v>
      </c>
      <c r="D142" s="302">
        <f>SUM(D140:D141)</f>
        <v>0.96800000001266995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13.825000000009403</v>
      </c>
      <c r="I142" s="299" t="str">
        <f>CONCATENATE("(",ROUND((H142/$H142)*100,1),")")</f>
        <v>(100)</v>
      </c>
      <c r="K142" s="302">
        <f t="shared" si="117"/>
        <v>0.23499999984256625</v>
      </c>
      <c r="L142" s="302">
        <f t="shared" si="118"/>
        <v>2.499999997664526E-2</v>
      </c>
      <c r="M142" s="302">
        <f t="shared" si="119"/>
        <v>0</v>
      </c>
      <c r="N142" s="302">
        <f t="shared" si="120"/>
        <v>0.25999999981921151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355</v>
      </c>
      <c r="B145" s="302">
        <f>'Ind T6'!V165</f>
        <v>9.3439999998992782</v>
      </c>
      <c r="C145" s="299" t="str">
        <f>CONCATENATE("(",ROUND((B145/$H147)*100,1),")")</f>
        <v>(66.3)</v>
      </c>
      <c r="D145" s="302">
        <f>'Ind T6'!W165</f>
        <v>0.13899999999965959</v>
      </c>
      <c r="E145" s="299" t="str">
        <f>CONCATENATE("(",ROUND((D145/$H147)*100,1),")")</f>
        <v>(1)</v>
      </c>
      <c r="F145" s="302">
        <f>'Ind T6'!X165</f>
        <v>0</v>
      </c>
      <c r="G145" s="299" t="str">
        <f>CONCATENATE("(",ROUND((F145/$H147)*100,1),")")</f>
        <v>(0)</v>
      </c>
      <c r="H145" s="302">
        <f>SUM(B145,D145,F145)</f>
        <v>9.4829999998989383</v>
      </c>
      <c r="I145" s="299" t="str">
        <f>CONCATENATE("(",ROUND((H145/$H147)*100,1),")")</f>
        <v>(67.3)</v>
      </c>
      <c r="K145" s="302">
        <f>B145-B135</f>
        <v>-0.11299999997972066</v>
      </c>
      <c r="L145" s="302">
        <f>D145-D135</f>
        <v>7.0000000000922935E-3</v>
      </c>
      <c r="M145" s="302">
        <f>F145-F135</f>
        <v>0</v>
      </c>
      <c r="N145" s="302">
        <f>SUM(K145:M145)</f>
        <v>-0.10599999997962836</v>
      </c>
    </row>
    <row r="146" spans="1:14" x14ac:dyDescent="0.2">
      <c r="A146" s="282" t="s">
        <v>356</v>
      </c>
      <c r="B146" s="302">
        <f>'Ind T6'!V164</f>
        <v>3.7479999999400211</v>
      </c>
      <c r="C146" s="299" t="str">
        <f>CONCATENATE("(",ROUND((B146/$H147)*100,1),")")</f>
        <v>(26.6)</v>
      </c>
      <c r="D146" s="302">
        <f>'Ind T6'!W164</f>
        <v>0.85399999998965559</v>
      </c>
      <c r="E146" s="299" t="str">
        <f>CONCATENATE("(",ROUND((D146/$H147)*100,1),")")</f>
        <v>(6.1)</v>
      </c>
      <c r="F146" s="302">
        <f>'Ind T6'!X164</f>
        <v>0</v>
      </c>
      <c r="G146" s="299" t="str">
        <f>CONCATENATE("(",ROUND((F146/$H147)*100,1),")")</f>
        <v>(0)</v>
      </c>
      <c r="H146" s="302">
        <f t="shared" ref="H146" si="121">SUM(B146,D146,F146)</f>
        <v>4.601999999929677</v>
      </c>
      <c r="I146" s="299" t="str">
        <f>CONCATENATE("(",ROUND((H146/$H147)*100,1),")")</f>
        <v>(32.7)</v>
      </c>
      <c r="K146" s="302">
        <f t="shared" ref="K146:K147" si="122">B146-B136</f>
        <v>0.12999999994273104</v>
      </c>
      <c r="L146" s="302">
        <f t="shared" ref="L146:L147" si="123">D146-D136</f>
        <v>5.9999999714337449E-3</v>
      </c>
      <c r="M146" s="302">
        <f t="shared" ref="M146:M147" si="124">F146-F136</f>
        <v>0</v>
      </c>
      <c r="N146" s="302">
        <f t="shared" ref="N146:N147" si="125">SUM(K146:M146)</f>
        <v>0.13599999991416478</v>
      </c>
    </row>
    <row r="147" spans="1:14" x14ac:dyDescent="0.2">
      <c r="A147" s="282" t="s">
        <v>354</v>
      </c>
      <c r="B147" s="302">
        <f>SUM(B145:B146)</f>
        <v>13.091999999839299</v>
      </c>
      <c r="C147" s="299" t="str">
        <f>CONCATENATE("(",ROUND((B147/$H147)*100,1),")")</f>
        <v>(92.9)</v>
      </c>
      <c r="D147" s="302">
        <f>SUM(D145:D146)</f>
        <v>0.99299999998931521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14.084999999828614</v>
      </c>
      <c r="I147" s="299" t="str">
        <f>CONCATENATE("(",ROUND((H147/$H147)*100,1),")")</f>
        <v>(100)</v>
      </c>
      <c r="K147" s="302">
        <f t="shared" si="122"/>
        <v>1.6999999963010382E-2</v>
      </c>
      <c r="L147" s="302">
        <f t="shared" si="123"/>
        <v>1.2999999971526122E-2</v>
      </c>
      <c r="M147" s="302">
        <f t="shared" si="124"/>
        <v>0</v>
      </c>
      <c r="N147" s="302">
        <f t="shared" si="125"/>
        <v>2.9999999934536503E-2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1"/>
      <c r="E151" s="181"/>
      <c r="G151" s="181"/>
      <c r="I151" s="181"/>
    </row>
    <row r="152" spans="1:14" x14ac:dyDescent="0.2">
      <c r="A152" s="288"/>
      <c r="B152" s="289" t="s">
        <v>379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377</v>
      </c>
    </row>
    <row r="154" spans="1:14" x14ac:dyDescent="0.2">
      <c r="A154" s="181" t="s">
        <v>378</v>
      </c>
      <c r="B154" s="369" t="s">
        <v>376</v>
      </c>
      <c r="C154" s="369"/>
      <c r="D154" s="369" t="s">
        <v>375</v>
      </c>
      <c r="E154" s="369"/>
      <c r="F154" s="369" t="s">
        <v>374</v>
      </c>
      <c r="G154" s="369"/>
      <c r="H154" s="369" t="s">
        <v>32</v>
      </c>
      <c r="I154" s="369"/>
      <c r="J154" s="181"/>
      <c r="K154" s="297" t="s">
        <v>339</v>
      </c>
      <c r="L154" s="297" t="s">
        <v>341</v>
      </c>
      <c r="M154" s="297" t="s">
        <v>337</v>
      </c>
      <c r="N154" s="297" t="s">
        <v>32</v>
      </c>
    </row>
    <row r="155" spans="1:14" x14ac:dyDescent="0.2">
      <c r="A155" s="292">
        <f>$A$8</f>
        <v>2020</v>
      </c>
      <c r="B155" s="287" t="s">
        <v>60</v>
      </c>
      <c r="C155" s="19" t="s">
        <v>373</v>
      </c>
      <c r="D155" s="287" t="s">
        <v>60</v>
      </c>
      <c r="E155" s="19" t="s">
        <v>373</v>
      </c>
      <c r="F155" s="287" t="s">
        <v>60</v>
      </c>
      <c r="G155" s="19" t="s">
        <v>373</v>
      </c>
      <c r="H155" s="287" t="s">
        <v>60</v>
      </c>
      <c r="I155" s="19" t="s">
        <v>373</v>
      </c>
      <c r="J155" s="181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355</v>
      </c>
      <c r="B156" s="302">
        <f>'Ind T6'!L190</f>
        <v>10.583000000035035</v>
      </c>
      <c r="C156" s="299" t="str">
        <f>CONCATENATE("(",ROUND((B156/$H158)*100,1),")")</f>
        <v>(74.8)</v>
      </c>
      <c r="D156" s="302">
        <f>'Ind T6'!M190</f>
        <v>0.26100000000054174</v>
      </c>
      <c r="E156" s="299" t="str">
        <f>CONCATENATE("(",ROUND((D156/$H158)*100,1),")")</f>
        <v>(1.8)</v>
      </c>
      <c r="F156" s="302">
        <f>'Ind T6'!N190</f>
        <v>0</v>
      </c>
      <c r="G156" s="299" t="str">
        <f>CONCATENATE("(",ROUND((F156/$H158)*100,1),")")</f>
        <v>(0)</v>
      </c>
      <c r="H156" s="302">
        <f>SUM(B156,D156,F156)</f>
        <v>10.844000000035576</v>
      </c>
      <c r="I156" s="299" t="str">
        <f>CONCATENATE("(",ROUND((H156/$H158)*100,1),")")</f>
        <v>(76.7)</v>
      </c>
      <c r="K156" s="302">
        <f>B161-B156</f>
        <v>0.29700000003293248</v>
      </c>
      <c r="L156" s="302">
        <f>D161-D156</f>
        <v>1.0999999999264598E-2</v>
      </c>
      <c r="M156" s="302">
        <f>F161-F156</f>
        <v>0</v>
      </c>
      <c r="N156" s="302">
        <f>SUM(K156:M156)</f>
        <v>0.30800000003219707</v>
      </c>
    </row>
    <row r="157" spans="1:14" x14ac:dyDescent="0.2">
      <c r="A157" s="282" t="s">
        <v>356</v>
      </c>
      <c r="B157" s="302">
        <f>'Ind T6'!L189</f>
        <v>2.4999999999724229</v>
      </c>
      <c r="C157" s="299" t="str">
        <f>CONCATENATE("(",ROUND((B157/$H158)*100,1),")")</f>
        <v>(17.7)</v>
      </c>
      <c r="D157" s="302">
        <f>'Ind T6'!M189</f>
        <v>0.72200000000719855</v>
      </c>
      <c r="E157" s="299" t="str">
        <f>CONCATENATE("(",ROUND((D157/$H158)*100,1),")")</f>
        <v>(5.1)</v>
      </c>
      <c r="F157" s="302">
        <f>'Ind T6'!N189</f>
        <v>7.9999999998810939E-2</v>
      </c>
      <c r="G157" s="299" t="str">
        <f>CONCATENATE("(",ROUND((F157/$H158)*100,1),")")</f>
        <v>(0.6)</v>
      </c>
      <c r="H157" s="302">
        <f t="shared" ref="H157" si="126">SUM(B157,D157,F157)</f>
        <v>3.3019999999784324</v>
      </c>
      <c r="I157" s="299" t="str">
        <f>CONCATENATE("(",ROUND((H157/$H158)*100,1),")")</f>
        <v>(23.3)</v>
      </c>
      <c r="K157" s="302">
        <f t="shared" ref="K157:K158" si="127">B162-B157</f>
        <v>0.18800000007852802</v>
      </c>
      <c r="L157" s="302">
        <f t="shared" ref="L157:L158" si="128">D162-D157</f>
        <v>3.5000000002673226E-2</v>
      </c>
      <c r="M157" s="302">
        <f t="shared" ref="M157:M158" si="129">F162-F157</f>
        <v>2.0000000013890296E-3</v>
      </c>
      <c r="N157" s="302">
        <f t="shared" ref="N157:N158" si="130">SUM(K157:M157)</f>
        <v>0.22500000008259027</v>
      </c>
    </row>
    <row r="158" spans="1:14" x14ac:dyDescent="0.2">
      <c r="A158" s="282" t="s">
        <v>354</v>
      </c>
      <c r="B158" s="302">
        <f>SUM(B156:B157)</f>
        <v>13.083000000007459</v>
      </c>
      <c r="C158" s="299" t="str">
        <f>CONCATENATE("(",ROUND((B158/$H158)*100,1),")")</f>
        <v>(92.5)</v>
      </c>
      <c r="D158" s="302">
        <f>SUM(D156:D157)</f>
        <v>0.98300000000774035</v>
      </c>
      <c r="E158" s="299" t="str">
        <f>CONCATENATE("(",ROUND((D158/$H158)*100,1),")")</f>
        <v>(6.9)</v>
      </c>
      <c r="F158" s="302">
        <f>SUM(F156:F157)</f>
        <v>7.9999999998810939E-2</v>
      </c>
      <c r="G158" s="299" t="str">
        <f>CONCATENATE("(",ROUND((F158/$H158)*100,1),")")</f>
        <v>(0.6)</v>
      </c>
      <c r="H158" s="302">
        <f>SUM(H156:H157)</f>
        <v>14.146000000014009</v>
      </c>
      <c r="I158" s="299" t="str">
        <f>CONCATENATE("(",ROUND((H158/$H158)*100,1),")")</f>
        <v>(100)</v>
      </c>
      <c r="K158" s="302">
        <f t="shared" si="127"/>
        <v>0.48500000011145872</v>
      </c>
      <c r="L158" s="302">
        <f t="shared" si="128"/>
        <v>4.6000000001937824E-2</v>
      </c>
      <c r="M158" s="302">
        <f t="shared" si="129"/>
        <v>2.0000000013890296E-3</v>
      </c>
      <c r="N158" s="302">
        <f t="shared" si="130"/>
        <v>0.53300000011478554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355</v>
      </c>
      <c r="B161" s="302">
        <f>'Ind T6'!Q190</f>
        <v>10.880000000067968</v>
      </c>
      <c r="C161" s="299" t="str">
        <f>CONCATENATE("(",ROUND((B161/$H163)*100,1),")")</f>
        <v>(74.1)</v>
      </c>
      <c r="D161" s="302">
        <f>'Ind T6'!R190</f>
        <v>0.27199999999980634</v>
      </c>
      <c r="E161" s="299" t="str">
        <f>CONCATENATE("(",ROUND((D161/$H163)*100,1),")")</f>
        <v>(1.9)</v>
      </c>
      <c r="F161" s="302">
        <f>'Ind T6'!S190</f>
        <v>0</v>
      </c>
      <c r="G161" s="299" t="str">
        <f>CONCATENATE("(",ROUND((F161/$H163)*100,1),")")</f>
        <v>(0)</v>
      </c>
      <c r="H161" s="302">
        <f>SUM(B161,D161,F161)</f>
        <v>11.152000000067774</v>
      </c>
      <c r="I161" s="299" t="str">
        <f>CONCATENATE("(",ROUND((H161/$H163)*100,1),")")</f>
        <v>(76)</v>
      </c>
      <c r="K161" s="302">
        <f>B166-B161</f>
        <v>0.35599999998945542</v>
      </c>
      <c r="L161" s="302">
        <f>D166-D161</f>
        <v>1.1999999999855293E-2</v>
      </c>
      <c r="M161" s="302">
        <f>F166-F161</f>
        <v>0</v>
      </c>
      <c r="N161" s="302">
        <f>SUM(K161:M161)</f>
        <v>0.36799999998931071</v>
      </c>
    </row>
    <row r="162" spans="1:14" x14ac:dyDescent="0.2">
      <c r="A162" s="282" t="s">
        <v>356</v>
      </c>
      <c r="B162" s="302">
        <f>'Ind T6'!Q189</f>
        <v>2.688000000050951</v>
      </c>
      <c r="C162" s="299" t="str">
        <f>CONCATENATE("(",ROUND((B162/$H163)*100,1),")")</f>
        <v>(18.3)</v>
      </c>
      <c r="D162" s="302">
        <f>'Ind T6'!R189</f>
        <v>0.75700000000987178</v>
      </c>
      <c r="E162" s="299" t="str">
        <f>CONCATENATE("(",ROUND((D162/$H163)*100,1),")")</f>
        <v>(5.2)</v>
      </c>
      <c r="F162" s="302">
        <f>'Ind T6'!S189</f>
        <v>8.2000000000199968E-2</v>
      </c>
      <c r="G162" s="299" t="str">
        <f>CONCATENATE("(",ROUND((F162/$H163)*100,1),")")</f>
        <v>(0.6)</v>
      </c>
      <c r="H162" s="302">
        <f t="shared" ref="H162" si="131">SUM(B162,D162,F162)</f>
        <v>3.5270000000610229</v>
      </c>
      <c r="I162" s="299" t="str">
        <f>CONCATENATE("(",ROUND((H162/$H163)*100,1),")")</f>
        <v>(24)</v>
      </c>
      <c r="K162" s="302">
        <f t="shared" ref="K162:K163" si="132">B167-B162</f>
        <v>0.34299999995792252</v>
      </c>
      <c r="L162" s="302">
        <f t="shared" ref="L162:L163" si="133">D167-D162</f>
        <v>5.3999999983228131E-2</v>
      </c>
      <c r="M162" s="302">
        <f t="shared" ref="M162:M163" si="134">F167-F162</f>
        <v>2.0000000005486462E-3</v>
      </c>
      <c r="N162" s="302">
        <f t="shared" ref="N162:N163" si="135">SUM(K162:M162)</f>
        <v>0.39899999994169932</v>
      </c>
    </row>
    <row r="163" spans="1:14" x14ac:dyDescent="0.2">
      <c r="A163" s="282" t="s">
        <v>354</v>
      </c>
      <c r="B163" s="302">
        <f>SUM(B161:B162)</f>
        <v>13.568000000118918</v>
      </c>
      <c r="C163" s="299" t="str">
        <f>CONCATENATE("(",ROUND((B163/$H163)*100,1),")")</f>
        <v>(92.4)</v>
      </c>
      <c r="D163" s="302">
        <f>SUM(D161:D162)</f>
        <v>1.0290000000096782</v>
      </c>
      <c r="E163" s="299" t="str">
        <f>CONCATENATE("(",ROUND((D163/$H163)*100,1),")")</f>
        <v>(7)</v>
      </c>
      <c r="F163" s="302">
        <f>SUM(F161:F162)</f>
        <v>8.2000000000199968E-2</v>
      </c>
      <c r="G163" s="299" t="str">
        <f>CONCATENATE("(",ROUND((F163/$H163)*100,1),")")</f>
        <v>(0.6)</v>
      </c>
      <c r="H163" s="302">
        <f>SUM(H161:H162)</f>
        <v>14.679000000128797</v>
      </c>
      <c r="I163" s="299" t="str">
        <f>CONCATENATE("(",ROUND((H163/$H163)*100,1),")")</f>
        <v>(100)</v>
      </c>
      <c r="K163" s="302">
        <f t="shared" si="132"/>
        <v>0.69899999994737883</v>
      </c>
      <c r="L163" s="302">
        <f t="shared" si="133"/>
        <v>6.5999999983083368E-2</v>
      </c>
      <c r="M163" s="302">
        <f t="shared" si="134"/>
        <v>2.0000000005486462E-3</v>
      </c>
      <c r="N163" s="302">
        <f t="shared" si="135"/>
        <v>0.76699999993101087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355</v>
      </c>
      <c r="B166" s="302">
        <f>'Ind T6'!V190</f>
        <v>11.236000000057423</v>
      </c>
      <c r="C166" s="299" t="str">
        <f>CONCATENATE("(",ROUND((B166/$H168)*100,1),")")</f>
        <v>(72.7)</v>
      </c>
      <c r="D166" s="302">
        <f>'Ind T6'!W190</f>
        <v>0.28399999999966163</v>
      </c>
      <c r="E166" s="299" t="str">
        <f>CONCATENATE("(",ROUND((D166/$H168)*100,1),")")</f>
        <v>(1.8)</v>
      </c>
      <c r="F166" s="302">
        <f>'Ind T6'!X190</f>
        <v>0</v>
      </c>
      <c r="G166" s="299" t="str">
        <f>CONCATENATE("(",ROUND((F166/$H168)*100,1),")")</f>
        <v>(0)</v>
      </c>
      <c r="H166" s="302">
        <f>SUM(B166,D166,F166)</f>
        <v>11.520000000057085</v>
      </c>
      <c r="I166" s="299" t="str">
        <f>CONCATENATE("(",ROUND((H166/$H168)*100,1),")")</f>
        <v>(74.6)</v>
      </c>
      <c r="K166" s="302">
        <f>B166-B156</f>
        <v>0.65300000002238789</v>
      </c>
      <c r="L166" s="302">
        <f>D166-D156</f>
        <v>2.2999999999119891E-2</v>
      </c>
      <c r="M166" s="302">
        <f>F166-F156</f>
        <v>0</v>
      </c>
      <c r="N166" s="302">
        <f>SUM(K166:M166)</f>
        <v>0.67600000002150784</v>
      </c>
    </row>
    <row r="167" spans="1:14" x14ac:dyDescent="0.2">
      <c r="A167" s="282" t="s">
        <v>356</v>
      </c>
      <c r="B167" s="302">
        <f>'Ind T6'!V189</f>
        <v>3.0310000000088735</v>
      </c>
      <c r="C167" s="299" t="str">
        <f>CONCATENATE("(",ROUND((B167/$H168)*100,1),")")</f>
        <v>(19.6)</v>
      </c>
      <c r="D167" s="302">
        <f>'Ind T6'!W189</f>
        <v>0.81099999999309991</v>
      </c>
      <c r="E167" s="299" t="str">
        <f>CONCATENATE("(",ROUND((D167/$H168)*100,1),")")</f>
        <v>(5.3)</v>
      </c>
      <c r="F167" s="302">
        <f>'Ind T6'!X189</f>
        <v>8.4000000000748615E-2</v>
      </c>
      <c r="G167" s="299" t="str">
        <f>CONCATENATE("(",ROUND((F167/$H168)*100,1),")")</f>
        <v>(0.5)</v>
      </c>
      <c r="H167" s="302">
        <f t="shared" ref="H167" si="136">SUM(B167,D167,F167)</f>
        <v>3.926000000002722</v>
      </c>
      <c r="I167" s="299" t="str">
        <f>CONCATENATE("(",ROUND((H167/$H168)*100,1),")")</f>
        <v>(25.4)</v>
      </c>
      <c r="K167" s="302">
        <f t="shared" ref="K167:K168" si="137">B167-B157</f>
        <v>0.53100000003645054</v>
      </c>
      <c r="L167" s="302">
        <f t="shared" ref="L167:L168" si="138">D167-D157</f>
        <v>8.8999999985901357E-2</v>
      </c>
      <c r="M167" s="302">
        <f t="shared" ref="M167:M168" si="139">F167-F157</f>
        <v>4.0000000019376758E-3</v>
      </c>
      <c r="N167" s="302">
        <f t="shared" ref="N167:N168" si="140">SUM(K167:M167)</f>
        <v>0.62400000002428957</v>
      </c>
    </row>
    <row r="168" spans="1:14" x14ac:dyDescent="0.2">
      <c r="A168" s="282" t="s">
        <v>354</v>
      </c>
      <c r="B168" s="302">
        <f>SUM(B166:B167)</f>
        <v>14.267000000066297</v>
      </c>
      <c r="C168" s="299" t="str">
        <f>CONCATENATE("(",ROUND((B168/$H168)*100,1),")")</f>
        <v>(92.4)</v>
      </c>
      <c r="D168" s="302">
        <f>SUM(D166:D167)</f>
        <v>1.0949999999927615</v>
      </c>
      <c r="E168" s="299" t="str">
        <f>CONCATENATE("(",ROUND((D168/$H168)*100,1),")")</f>
        <v>(7.1)</v>
      </c>
      <c r="F168" s="302">
        <f>SUM(F166:F167)</f>
        <v>8.4000000000748615E-2</v>
      </c>
      <c r="G168" s="299" t="str">
        <f>CONCATENATE("(",ROUND((F168/$H168)*100,1),")")</f>
        <v>(0.5)</v>
      </c>
      <c r="H168" s="302">
        <f>SUM(H166:H167)</f>
        <v>15.446000000059806</v>
      </c>
      <c r="I168" s="299" t="str">
        <f>CONCATENATE("(",ROUND((H168/$H168)*100,1),")")</f>
        <v>(100)</v>
      </c>
      <c r="K168" s="302">
        <f t="shared" si="137"/>
        <v>1.1840000000588375</v>
      </c>
      <c r="L168" s="302">
        <f t="shared" si="138"/>
        <v>0.11199999998502119</v>
      </c>
      <c r="M168" s="302">
        <f t="shared" si="139"/>
        <v>4.0000000019376758E-3</v>
      </c>
      <c r="N168" s="302">
        <f t="shared" si="140"/>
        <v>1.3000000000457965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379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377</v>
      </c>
    </row>
    <row r="175" spans="1:14" x14ac:dyDescent="0.2">
      <c r="A175" s="181" t="s">
        <v>378</v>
      </c>
      <c r="B175" s="369" t="s">
        <v>376</v>
      </c>
      <c r="C175" s="369"/>
      <c r="D175" s="369" t="s">
        <v>375</v>
      </c>
      <c r="E175" s="369"/>
      <c r="F175" s="369" t="s">
        <v>374</v>
      </c>
      <c r="G175" s="369"/>
      <c r="H175" s="369" t="s">
        <v>32</v>
      </c>
      <c r="I175" s="369"/>
      <c r="J175" s="181"/>
      <c r="K175" s="297" t="s">
        <v>339</v>
      </c>
      <c r="L175" s="297" t="s">
        <v>341</v>
      </c>
      <c r="M175" s="297" t="s">
        <v>337</v>
      </c>
      <c r="N175" s="297" t="s">
        <v>32</v>
      </c>
    </row>
    <row r="176" spans="1:14" x14ac:dyDescent="0.2">
      <c r="A176" s="292">
        <f>$A$8</f>
        <v>2020</v>
      </c>
      <c r="B176" s="287" t="s">
        <v>60</v>
      </c>
      <c r="C176" s="19" t="s">
        <v>373</v>
      </c>
      <c r="D176" s="287" t="s">
        <v>60</v>
      </c>
      <c r="E176" s="19" t="s">
        <v>373</v>
      </c>
      <c r="F176" s="287" t="s">
        <v>60</v>
      </c>
      <c r="G176" s="19" t="s">
        <v>373</v>
      </c>
      <c r="H176" s="287" t="s">
        <v>60</v>
      </c>
      <c r="I176" s="19" t="s">
        <v>373</v>
      </c>
      <c r="J176" s="181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355</v>
      </c>
      <c r="B177" s="302">
        <f>'Ind T6'!L215</f>
        <v>73.80600000024134</v>
      </c>
      <c r="C177" s="299" t="str">
        <f>CONCATENATE("(",ROUND((B177/$H179)*100,1),")")</f>
        <v>(49.9)</v>
      </c>
      <c r="D177" s="302">
        <f>'Ind T6'!M215</f>
        <v>4.9219999999981585</v>
      </c>
      <c r="E177" s="299" t="str">
        <f>CONCATENATE("(",ROUND((D177/$H179)*100,1),")")</f>
        <v>(3.3)</v>
      </c>
      <c r="F177" s="302">
        <f>'Ind T6'!N215</f>
        <v>46.760999998991338</v>
      </c>
      <c r="G177" s="299" t="str">
        <f>CONCATENATE("(",ROUND((F177/$H179)*100,1),")")</f>
        <v>(31.6)</v>
      </c>
      <c r="H177" s="302">
        <f>SUM(B177,D177,F177)</f>
        <v>125.48899999923084</v>
      </c>
      <c r="I177" s="299" t="str">
        <f>CONCATENATE("(",ROUND((H177/$H179)*100,1),")")</f>
        <v>(84.8)</v>
      </c>
      <c r="K177" s="302">
        <f>B182-B177</f>
        <v>0.82900000019182585</v>
      </c>
      <c r="L177" s="302">
        <f>D182-D177</f>
        <v>0.21200000000403918</v>
      </c>
      <c r="M177" s="302">
        <f>F182-F177</f>
        <v>1.6099999969133805</v>
      </c>
      <c r="N177" s="302">
        <f>SUM(K177:M177)</f>
        <v>2.6509999971092455</v>
      </c>
    </row>
    <row r="178" spans="1:14" x14ac:dyDescent="0.2">
      <c r="A178" s="282" t="s">
        <v>356</v>
      </c>
      <c r="B178" s="302">
        <f>'Ind T6'!L214</f>
        <v>11.037999999795108</v>
      </c>
      <c r="C178" s="299" t="str">
        <f>CONCATENATE("(",ROUND((B178/$H179)*100,1),")")</f>
        <v>(7.5)</v>
      </c>
      <c r="D178" s="302">
        <f>'Ind T6'!M214</f>
        <v>9.1250000001158433</v>
      </c>
      <c r="E178" s="299" t="str">
        <f>CONCATENATE("(",ROUND((D178/$H179)*100,1),")")</f>
        <v>(6.2)</v>
      </c>
      <c r="F178" s="302">
        <f>'Ind T6'!N214</f>
        <v>2.2549999999920884</v>
      </c>
      <c r="G178" s="299" t="str">
        <f>CONCATENATE("(",ROUND((F178/$H179)*100,1),")")</f>
        <v>(1.5)</v>
      </c>
      <c r="H178" s="302">
        <f t="shared" ref="H178" si="141">SUM(B178,D178,F178)</f>
        <v>22.417999999903039</v>
      </c>
      <c r="I178" s="299" t="str">
        <f>CONCATENATE("(",ROUND((H178/$H179)*100,1),")")</f>
        <v>(15.2)</v>
      </c>
      <c r="K178" s="302">
        <f t="shared" ref="K178:K179" si="142">B183-B178</f>
        <v>0.31600000051729182</v>
      </c>
      <c r="L178" s="302">
        <f t="shared" ref="L178:L179" si="143">D183-D178</f>
        <v>0.32299999989891148</v>
      </c>
      <c r="M178" s="302">
        <f t="shared" ref="M178:M179" si="144">F183-F178</f>
        <v>7.3999999995602028E-2</v>
      </c>
      <c r="N178" s="302">
        <f t="shared" ref="N178:N179" si="145">SUM(K178:M178)</f>
        <v>0.71300000041180533</v>
      </c>
    </row>
    <row r="179" spans="1:14" x14ac:dyDescent="0.2">
      <c r="A179" s="282" t="s">
        <v>354</v>
      </c>
      <c r="B179" s="302">
        <f>SUM(B177:B178)</f>
        <v>84.844000000036445</v>
      </c>
      <c r="C179" s="299" t="str">
        <f>CONCATENATE("(",ROUND((B179/$H179)*100,1),")")</f>
        <v>(57.4)</v>
      </c>
      <c r="D179" s="302">
        <f>SUM(D177:D178)</f>
        <v>14.047000000114002</v>
      </c>
      <c r="E179" s="299" t="str">
        <f>CONCATENATE("(",ROUND((D179/$H179)*100,1),")")</f>
        <v>(9.5)</v>
      </c>
      <c r="F179" s="302">
        <f>SUM(F177:F178)</f>
        <v>49.015999998983425</v>
      </c>
      <c r="G179" s="299" t="str">
        <f>CONCATENATE("(",ROUND((F179/$H179)*100,1),")")</f>
        <v>(33.1)</v>
      </c>
      <c r="H179" s="302">
        <f>SUM(H177:H178)</f>
        <v>147.90699999913389</v>
      </c>
      <c r="I179" s="299" t="str">
        <f>CONCATENATE("(",ROUND((H179/$H179)*100,1),")")</f>
        <v>(100)</v>
      </c>
      <c r="K179" s="302">
        <f t="shared" si="142"/>
        <v>1.1450000007091177</v>
      </c>
      <c r="L179" s="302">
        <f t="shared" si="143"/>
        <v>0.53499999990295066</v>
      </c>
      <c r="M179" s="302">
        <f t="shared" si="144"/>
        <v>1.6839999969089874</v>
      </c>
      <c r="N179" s="302">
        <f t="shared" si="145"/>
        <v>3.3639999975210557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355</v>
      </c>
      <c r="B182" s="302">
        <f>'Ind T6'!Q215</f>
        <v>74.635000000433166</v>
      </c>
      <c r="C182" s="299" t="str">
        <f>CONCATENATE("(",ROUND((B182/$H184)*100,1),")")</f>
        <v>(49.3)</v>
      </c>
      <c r="D182" s="302">
        <f>'Ind T6'!R215</f>
        <v>5.1340000000021977</v>
      </c>
      <c r="E182" s="299" t="str">
        <f>CONCATENATE("(",ROUND((D182/$H184)*100,1),")")</f>
        <v>(3.4)</v>
      </c>
      <c r="F182" s="302">
        <f>'Ind T6'!S215</f>
        <v>48.370999995904718</v>
      </c>
      <c r="G182" s="299" t="str">
        <f>CONCATENATE("(",ROUND((F182/$H184)*100,1),")")</f>
        <v>(32)</v>
      </c>
      <c r="H182" s="302">
        <f>SUM(B182,D182,F182)</f>
        <v>128.13999999634009</v>
      </c>
      <c r="I182" s="299" t="str">
        <f>CONCATENATE("(",ROUND((H182/$H184)*100,1),")")</f>
        <v>(84.7)</v>
      </c>
      <c r="K182" s="302">
        <f>B187-B182</f>
        <v>1.2330000000970358</v>
      </c>
      <c r="L182" s="302">
        <f>D187-D182</f>
        <v>0.45099999998862117</v>
      </c>
      <c r="M182" s="302">
        <f>F187-F182</f>
        <v>3.5260000013254498</v>
      </c>
      <c r="N182" s="302">
        <f>SUM(K182:M182)</f>
        <v>5.2100000014111068</v>
      </c>
    </row>
    <row r="183" spans="1:14" x14ac:dyDescent="0.2">
      <c r="A183" s="282" t="s">
        <v>356</v>
      </c>
      <c r="B183" s="302">
        <f>'Ind T6'!Q214</f>
        <v>11.3540000003124</v>
      </c>
      <c r="C183" s="299" t="str">
        <f>CONCATENATE("(",ROUND((B183/$H184)*100,1),")")</f>
        <v>(7.5)</v>
      </c>
      <c r="D183" s="302">
        <f>'Ind T6'!R214</f>
        <v>9.4480000000147548</v>
      </c>
      <c r="E183" s="299" t="str">
        <f>CONCATENATE("(",ROUND((D183/$H184)*100,1),")")</f>
        <v>(6.2)</v>
      </c>
      <c r="F183" s="302">
        <f>'Ind T6'!S214</f>
        <v>2.3289999999876905</v>
      </c>
      <c r="G183" s="299" t="str">
        <f>CONCATENATE("(",ROUND((F183/$H184)*100,1),")")</f>
        <v>(1.5)</v>
      </c>
      <c r="H183" s="302">
        <f t="shared" ref="H183" si="146">SUM(B183,D183,F183)</f>
        <v>23.131000000314845</v>
      </c>
      <c r="I183" s="299" t="str">
        <f>CONCATENATE("(",ROUND((H183/$H184)*100,1),")")</f>
        <v>(15.3)</v>
      </c>
      <c r="K183" s="302">
        <f t="shared" ref="K183:K184" si="147">B188-B183</f>
        <v>0.72799999977065433</v>
      </c>
      <c r="L183" s="302">
        <f t="shared" ref="L183:L184" si="148">D188-D183</f>
        <v>0.71699999982197227</v>
      </c>
      <c r="M183" s="302">
        <f t="shared" ref="M183:M184" si="149">F188-F183</f>
        <v>0.21900000002747433</v>
      </c>
      <c r="N183" s="302">
        <f t="shared" ref="N183:N184" si="150">SUM(K183:M183)</f>
        <v>1.6639999996201009</v>
      </c>
    </row>
    <row r="184" spans="1:14" x14ac:dyDescent="0.2">
      <c r="A184" s="282" t="s">
        <v>354</v>
      </c>
      <c r="B184" s="302">
        <f>SUM(B182:B183)</f>
        <v>85.989000000745563</v>
      </c>
      <c r="C184" s="299" t="str">
        <f>CONCATENATE("(",ROUND((B184/$H184)*100,1),")")</f>
        <v>(56.8)</v>
      </c>
      <c r="D184" s="302">
        <f>SUM(D182:D183)</f>
        <v>14.582000000016953</v>
      </c>
      <c r="E184" s="299" t="str">
        <f>CONCATENATE("(",ROUND((D184/$H184)*100,1),")")</f>
        <v>(9.6)</v>
      </c>
      <c r="F184" s="302">
        <f>SUM(F182:F183)</f>
        <v>50.699999995892412</v>
      </c>
      <c r="G184" s="299" t="str">
        <f>CONCATENATE("(",ROUND((F184/$H184)*100,1),")")</f>
        <v>(33.5)</v>
      </c>
      <c r="H184" s="302">
        <f>SUM(H182:H183)</f>
        <v>151.27099999665495</v>
      </c>
      <c r="I184" s="299" t="str">
        <f>CONCATENATE("(",ROUND((H184/$H184)*100,1),")")</f>
        <v>(100)</v>
      </c>
      <c r="K184" s="302">
        <f t="shared" si="147"/>
        <v>1.9609999998676955</v>
      </c>
      <c r="L184" s="302">
        <f t="shared" si="148"/>
        <v>1.1679999998105934</v>
      </c>
      <c r="M184" s="302">
        <f t="shared" si="149"/>
        <v>3.7450000013529205</v>
      </c>
      <c r="N184" s="302">
        <f t="shared" si="150"/>
        <v>6.8740000010312095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355</v>
      </c>
      <c r="B187" s="302">
        <f>'Ind T6'!V215</f>
        <v>75.868000000530202</v>
      </c>
      <c r="C187" s="299" t="str">
        <f>CONCATENATE("(",ROUND((B187/$H189)*100,1),")")</f>
        <v>(48)</v>
      </c>
      <c r="D187" s="302">
        <f>'Ind T6'!W215</f>
        <v>5.5849999999908189</v>
      </c>
      <c r="E187" s="299" t="str">
        <f>CONCATENATE("(",ROUND((D187/$H189)*100,1),")")</f>
        <v>(3.5)</v>
      </c>
      <c r="F187" s="302">
        <f>'Ind T6'!X215</f>
        <v>51.896999997230168</v>
      </c>
      <c r="G187" s="299" t="str">
        <f>CONCATENATE("(",ROUND((F187/$H189)*100,1),")")</f>
        <v>(32.8)</v>
      </c>
      <c r="H187" s="302">
        <f>SUM(B187,D187,F187)</f>
        <v>133.34999999775118</v>
      </c>
      <c r="I187" s="299" t="str">
        <f>CONCATENATE("(",ROUND((H187/$H189)*100,1),")")</f>
        <v>(84.3)</v>
      </c>
      <c r="K187" s="302">
        <f>B187-B177</f>
        <v>2.0620000002888617</v>
      </c>
      <c r="L187" s="302">
        <f>D187-D177</f>
        <v>0.66299999999266035</v>
      </c>
      <c r="M187" s="302">
        <f>F187-F177</f>
        <v>5.1359999982388302</v>
      </c>
      <c r="N187" s="302">
        <f>SUM(K187:M187)</f>
        <v>7.8609999985203522</v>
      </c>
    </row>
    <row r="188" spans="1:14" x14ac:dyDescent="0.2">
      <c r="A188" s="282" t="s">
        <v>356</v>
      </c>
      <c r="B188" s="302">
        <f>'Ind T6'!V214</f>
        <v>12.082000000083054</v>
      </c>
      <c r="C188" s="299" t="str">
        <f>CONCATENATE("(",ROUND((B188/$H189)*100,1),")")</f>
        <v>(7.6)</v>
      </c>
      <c r="D188" s="302">
        <f>'Ind T6'!W214</f>
        <v>10.164999999836727</v>
      </c>
      <c r="E188" s="299" t="str">
        <f>CONCATENATE("(",ROUND((D188/$H189)*100,1),")")</f>
        <v>(6.4)</v>
      </c>
      <c r="F188" s="302">
        <f>'Ind T6'!X214</f>
        <v>2.5480000000151648</v>
      </c>
      <c r="G188" s="299" t="str">
        <f>CONCATENATE("(",ROUND((F188/$H189)*100,1),")")</f>
        <v>(1.6)</v>
      </c>
      <c r="H188" s="302">
        <f t="shared" ref="H188" si="151">SUM(B188,D188,F188)</f>
        <v>24.794999999934944</v>
      </c>
      <c r="I188" s="299" t="str">
        <f>CONCATENATE("(",ROUND((H188/$H189)*100,1),")")</f>
        <v>(15.7)</v>
      </c>
      <c r="K188" s="302">
        <f t="shared" ref="K188:K189" si="152">B188-B178</f>
        <v>1.0440000002879462</v>
      </c>
      <c r="L188" s="302">
        <f t="shared" ref="L188:L189" si="153">D188-D178</f>
        <v>1.0399999997208837</v>
      </c>
      <c r="M188" s="302">
        <f t="shared" ref="M188:M189" si="154">F188-F178</f>
        <v>0.29300000002307636</v>
      </c>
      <c r="N188" s="302">
        <f t="shared" ref="N188:N189" si="155">SUM(K188:M188)</f>
        <v>2.3770000000319063</v>
      </c>
    </row>
    <row r="189" spans="1:14" x14ac:dyDescent="0.2">
      <c r="A189" s="282" t="s">
        <v>354</v>
      </c>
      <c r="B189" s="302">
        <f>SUM(B187:B188)</f>
        <v>87.950000000613258</v>
      </c>
      <c r="C189" s="299" t="str">
        <f>CONCATENATE("(",ROUND((B189/$H189)*100,1),")")</f>
        <v>(55.6)</v>
      </c>
      <c r="D189" s="302">
        <f>SUM(D187:D188)</f>
        <v>15.749999999827546</v>
      </c>
      <c r="E189" s="299" t="str">
        <f>CONCATENATE("(",ROUND((D189/$H189)*100,1),")")</f>
        <v>(10)</v>
      </c>
      <c r="F189" s="302">
        <f>SUM(F187:F188)</f>
        <v>54.444999997245333</v>
      </c>
      <c r="G189" s="299" t="str">
        <f>CONCATENATE("(",ROUND((F189/$H189)*100,1),")")</f>
        <v>(34.4)</v>
      </c>
      <c r="H189" s="302">
        <f>SUM(H187:H188)</f>
        <v>158.14499999768611</v>
      </c>
      <c r="I189" s="299" t="str">
        <f>CONCATENATE("(",ROUND((H189/$H189)*100,1),")")</f>
        <v>(100)</v>
      </c>
      <c r="K189" s="302">
        <f t="shared" si="152"/>
        <v>3.1060000005768131</v>
      </c>
      <c r="L189" s="302">
        <f t="shared" si="153"/>
        <v>1.7029999997135441</v>
      </c>
      <c r="M189" s="302">
        <f t="shared" si="154"/>
        <v>5.4289999982619079</v>
      </c>
      <c r="N189" s="302">
        <f t="shared" si="155"/>
        <v>10.237999998552265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379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377</v>
      </c>
    </row>
    <row r="196" spans="1:14" x14ac:dyDescent="0.2">
      <c r="A196" s="181" t="s">
        <v>378</v>
      </c>
      <c r="B196" s="369" t="s">
        <v>376</v>
      </c>
      <c r="C196" s="369"/>
      <c r="D196" s="369" t="s">
        <v>375</v>
      </c>
      <c r="E196" s="369"/>
      <c r="F196" s="369" t="s">
        <v>374</v>
      </c>
      <c r="G196" s="369"/>
      <c r="H196" s="369" t="s">
        <v>32</v>
      </c>
      <c r="I196" s="369"/>
      <c r="J196" s="181"/>
      <c r="K196" s="297" t="s">
        <v>339</v>
      </c>
      <c r="L196" s="297" t="s">
        <v>341</v>
      </c>
      <c r="M196" s="297" t="s">
        <v>337</v>
      </c>
      <c r="N196" s="297" t="s">
        <v>32</v>
      </c>
    </row>
    <row r="197" spans="1:14" x14ac:dyDescent="0.2">
      <c r="A197" s="292">
        <f>$A$8</f>
        <v>2020</v>
      </c>
      <c r="B197" s="287" t="s">
        <v>60</v>
      </c>
      <c r="C197" s="19" t="s">
        <v>373</v>
      </c>
      <c r="D197" s="287" t="s">
        <v>60</v>
      </c>
      <c r="E197" s="19" t="s">
        <v>373</v>
      </c>
      <c r="F197" s="287" t="s">
        <v>60</v>
      </c>
      <c r="G197" s="19" t="s">
        <v>373</v>
      </c>
      <c r="H197" s="287" t="s">
        <v>60</v>
      </c>
      <c r="I197" s="19" t="s">
        <v>373</v>
      </c>
      <c r="J197" s="181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355</v>
      </c>
      <c r="B198" s="302">
        <f>'Ind T6'!L240</f>
        <v>133.39400000078814</v>
      </c>
      <c r="C198" s="299" t="str">
        <f>CONCATENATE("(",ROUND((B198/$H200)*100,1),")")</f>
        <v>(36.5)</v>
      </c>
      <c r="D198" s="302">
        <f>'Ind T6'!M240</f>
        <v>39.655000000123223</v>
      </c>
      <c r="E198" s="299" t="str">
        <f>CONCATENATE("(",ROUND((D198/$H200)*100,1),")")</f>
        <v>(10.8)</v>
      </c>
      <c r="F198" s="302">
        <f>'Ind T6'!N240</f>
        <v>22.177000000211589</v>
      </c>
      <c r="G198" s="299" t="str">
        <f>CONCATENATE("(",ROUND((F198/$H200)*100,1),")")</f>
        <v>(6.1)</v>
      </c>
      <c r="H198" s="302">
        <f>SUM(B198,D198,F198)</f>
        <v>195.22600000112294</v>
      </c>
      <c r="I198" s="299" t="str">
        <f>CONCATENATE("(",ROUND((H198/$H200)*100,1),")")</f>
        <v>(53.4)</v>
      </c>
      <c r="K198" s="302">
        <f>B203-B198</f>
        <v>3.4370000001737253</v>
      </c>
      <c r="L198" s="302">
        <f>D203-D198</f>
        <v>0.58500000010982944</v>
      </c>
      <c r="M198" s="302">
        <f>F203-F198</f>
        <v>0.60300000002008503</v>
      </c>
      <c r="N198" s="302">
        <f>SUM(K198:M198)</f>
        <v>4.6250000003036398</v>
      </c>
    </row>
    <row r="199" spans="1:14" x14ac:dyDescent="0.2">
      <c r="A199" s="282" t="s">
        <v>356</v>
      </c>
      <c r="B199" s="302">
        <f>'Ind T6'!L239</f>
        <v>71.435000000267109</v>
      </c>
      <c r="C199" s="299" t="str">
        <f>CONCATENATE("(",ROUND((B199/$H200)*100,1),")")</f>
        <v>(19.5)</v>
      </c>
      <c r="D199" s="302">
        <f>'Ind T6'!M239</f>
        <v>90.349000005196956</v>
      </c>
      <c r="E199" s="299" t="str">
        <f>CONCATENATE("(",ROUND((D199/$H200)*100,1),")")</f>
        <v>(24.7)</v>
      </c>
      <c r="F199" s="302">
        <f>'Ind T6'!N239</f>
        <v>8.7049999998770602</v>
      </c>
      <c r="G199" s="299" t="str">
        <f>CONCATENATE("(",ROUND((F199/$H200)*100,1),")")</f>
        <v>(2.4)</v>
      </c>
      <c r="H199" s="302">
        <f t="shared" ref="H199" si="156">SUM(B199,D199,F199)</f>
        <v>170.48900000534113</v>
      </c>
      <c r="I199" s="299" t="str">
        <f>CONCATENATE("(",ROUND((H199/$H200)*100,1),")")</f>
        <v>(46.6)</v>
      </c>
      <c r="K199" s="302">
        <f t="shared" ref="K199:K200" si="157">B204-B199</f>
        <v>4.0490000011547522</v>
      </c>
      <c r="L199" s="302">
        <f t="shared" ref="L199:L200" si="158">D204-D199</f>
        <v>-2.0720000003009886</v>
      </c>
      <c r="M199" s="302">
        <f t="shared" ref="M199:M200" si="159">F204-F199</f>
        <v>0.39400000010220282</v>
      </c>
      <c r="N199" s="302">
        <f t="shared" ref="N199:N200" si="160">SUM(K199:M199)</f>
        <v>2.3710000009559664</v>
      </c>
    </row>
    <row r="200" spans="1:14" x14ac:dyDescent="0.2">
      <c r="A200" s="282" t="s">
        <v>354</v>
      </c>
      <c r="B200" s="302">
        <f>SUM(B198:B199)</f>
        <v>204.82900000105525</v>
      </c>
      <c r="C200" s="299" t="str">
        <f>CONCATENATE("(",ROUND((B200/$H200)*100,1),")")</f>
        <v>(56)</v>
      </c>
      <c r="D200" s="302">
        <f>SUM(D198:D199)</f>
        <v>130.00400000532017</v>
      </c>
      <c r="E200" s="299" t="str">
        <f>CONCATENATE("(",ROUND((D200/$H200)*100,1),")")</f>
        <v>(35.5)</v>
      </c>
      <c r="F200" s="302">
        <f>SUM(F198:F199)</f>
        <v>30.882000000088649</v>
      </c>
      <c r="G200" s="299" t="str">
        <f>CONCATENATE("(",ROUND((F200/$H200)*100,1),")")</f>
        <v>(8.4)</v>
      </c>
      <c r="H200" s="302">
        <f>SUM(H198:H199)</f>
        <v>365.71500000646404</v>
      </c>
      <c r="I200" s="299" t="str">
        <f>CONCATENATE("(",ROUND((H200/$H200)*100,1),")")</f>
        <v>(100)</v>
      </c>
      <c r="K200" s="302">
        <f t="shared" si="157"/>
        <v>7.4860000013284775</v>
      </c>
      <c r="L200" s="302">
        <f t="shared" si="158"/>
        <v>-1.4870000001911308</v>
      </c>
      <c r="M200" s="302">
        <f t="shared" si="159"/>
        <v>0.99700000012228784</v>
      </c>
      <c r="N200" s="302">
        <f t="shared" si="160"/>
        <v>6.9960000012596346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355</v>
      </c>
      <c r="B203" s="302">
        <f>'Ind T6'!Q240</f>
        <v>136.83100000096186</v>
      </c>
      <c r="C203" s="299" t="str">
        <f>CONCATENATE("(",ROUND((B203/$H205)*100,1),")")</f>
        <v>(36.7)</v>
      </c>
      <c r="D203" s="302">
        <f>'Ind T6'!R240</f>
        <v>40.240000000233053</v>
      </c>
      <c r="E203" s="299" t="str">
        <f>CONCATENATE("(",ROUND((D203/$H205)*100,1),")")</f>
        <v>(10.8)</v>
      </c>
      <c r="F203" s="302">
        <f>'Ind T6'!S240</f>
        <v>22.780000000231674</v>
      </c>
      <c r="G203" s="299" t="str">
        <f>CONCATENATE("(",ROUND((F203/$H205)*100,1),")")</f>
        <v>(6.1)</v>
      </c>
      <c r="H203" s="302">
        <f>SUM(B203,D203,F203)</f>
        <v>199.8510000014266</v>
      </c>
      <c r="I203" s="299" t="str">
        <f>CONCATENATE("(",ROUND((H203/$H205)*100,1),")")</f>
        <v>(53.6)</v>
      </c>
      <c r="K203" s="302">
        <f>B208-B203</f>
        <v>3.935000000025866</v>
      </c>
      <c r="L203" s="302">
        <f>D208-D203</f>
        <v>0.86799999998223853</v>
      </c>
      <c r="M203" s="302">
        <f>F208-F203</f>
        <v>0.83500000004490005</v>
      </c>
      <c r="N203" s="302">
        <f>SUM(K203:M203)</f>
        <v>5.6380000000530046</v>
      </c>
    </row>
    <row r="204" spans="1:14" x14ac:dyDescent="0.2">
      <c r="A204" s="282" t="s">
        <v>356</v>
      </c>
      <c r="B204" s="302">
        <f>'Ind T6'!Q239</f>
        <v>75.484000001421862</v>
      </c>
      <c r="C204" s="299" t="str">
        <f>CONCATENATE("(",ROUND((B204/$H205)*100,1),")")</f>
        <v>(20.3)</v>
      </c>
      <c r="D204" s="302">
        <f>'Ind T6'!R239</f>
        <v>88.277000004895967</v>
      </c>
      <c r="E204" s="299" t="str">
        <f>CONCATENATE("(",ROUND((D204/$H205)*100,1),")")</f>
        <v>(23.7)</v>
      </c>
      <c r="F204" s="302">
        <f>'Ind T6'!S239</f>
        <v>9.098999999979263</v>
      </c>
      <c r="G204" s="299" t="str">
        <f>CONCATENATE("(",ROUND((F204/$H205)*100,1),")")</f>
        <v>(2.4)</v>
      </c>
      <c r="H204" s="302">
        <f t="shared" ref="H204" si="161">SUM(B204,D204,F204)</f>
        <v>172.8600000062971</v>
      </c>
      <c r="I204" s="299" t="str">
        <f>CONCATENATE("(",ROUND((H204/$H205)*100,1),")")</f>
        <v>(46.4)</v>
      </c>
      <c r="K204" s="302">
        <f t="shared" ref="K204:K205" si="162">B209-B204</f>
        <v>7.0849999973831359</v>
      </c>
      <c r="L204" s="302">
        <f t="shared" ref="L204:L205" si="163">D209-D204</f>
        <v>-4.9240000060462137</v>
      </c>
      <c r="M204" s="302">
        <f t="shared" ref="M204:M205" si="164">F209-F204</f>
        <v>0.7409999999981558</v>
      </c>
      <c r="N204" s="302">
        <f t="shared" ref="N204:N205" si="165">SUM(K204:M204)</f>
        <v>2.901999991335078</v>
      </c>
    </row>
    <row r="205" spans="1:14" x14ac:dyDescent="0.2">
      <c r="A205" s="282" t="s">
        <v>354</v>
      </c>
      <c r="B205" s="302">
        <f>SUM(B203:B204)</f>
        <v>212.31500000238373</v>
      </c>
      <c r="C205" s="299" t="str">
        <f>CONCATENATE("(",ROUND((B205/$H205)*100,1),")")</f>
        <v>(57)</v>
      </c>
      <c r="D205" s="302">
        <f>SUM(D203:D204)</f>
        <v>128.51700000512903</v>
      </c>
      <c r="E205" s="299" t="str">
        <f>CONCATENATE("(",ROUND((D205/$H205)*100,1),")")</f>
        <v>(34.5)</v>
      </c>
      <c r="F205" s="302">
        <f>SUM(F203:F204)</f>
        <v>31.879000000210937</v>
      </c>
      <c r="G205" s="299" t="str">
        <f>CONCATENATE("(",ROUND((F205/$H205)*100,1),")")</f>
        <v>(8.6)</v>
      </c>
      <c r="H205" s="302">
        <f>SUM(H203:H204)</f>
        <v>372.71100000772367</v>
      </c>
      <c r="I205" s="299" t="str">
        <f>CONCATENATE("(",ROUND((H205/$H205)*100,1),")")</f>
        <v>(100)</v>
      </c>
      <c r="K205" s="302">
        <f t="shared" si="162"/>
        <v>11.019999997409002</v>
      </c>
      <c r="L205" s="302">
        <f t="shared" si="163"/>
        <v>-4.0560000060639823</v>
      </c>
      <c r="M205" s="302">
        <f t="shared" si="164"/>
        <v>1.5760000000430523</v>
      </c>
      <c r="N205" s="302">
        <f t="shared" si="165"/>
        <v>8.539999991388072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355</v>
      </c>
      <c r="B208" s="302">
        <f>'Ind T6'!V240</f>
        <v>140.76600000098773</v>
      </c>
      <c r="C208" s="299" t="str">
        <f>CONCATENATE("(",ROUND((B208/$H210)*100,1),")")</f>
        <v>(36.9)</v>
      </c>
      <c r="D208" s="302">
        <f>'Ind T6'!W240</f>
        <v>41.108000000215291</v>
      </c>
      <c r="E208" s="299" t="str">
        <f>CONCATENATE("(",ROUND((D208/$H210)*100,1),")")</f>
        <v>(10.8)</v>
      </c>
      <c r="F208" s="302">
        <f>'Ind T6'!X240</f>
        <v>23.615000000276574</v>
      </c>
      <c r="G208" s="299" t="str">
        <f>CONCATENATE("(",ROUND((F208/$H210)*100,1),")")</f>
        <v>(6.2)</v>
      </c>
      <c r="H208" s="302">
        <f>SUM(B208,D208,F208)</f>
        <v>205.48900000147961</v>
      </c>
      <c r="I208" s="299" t="str">
        <f>CONCATENATE("(",ROUND((H208/$H210)*100,1),")")</f>
        <v>(53.9)</v>
      </c>
      <c r="K208" s="302">
        <f>B208-B198</f>
        <v>7.3720000001995913</v>
      </c>
      <c r="L208" s="302">
        <f>D208-D198</f>
        <v>1.453000000092068</v>
      </c>
      <c r="M208" s="302">
        <f>F208-F198</f>
        <v>1.4380000000649851</v>
      </c>
      <c r="N208" s="302">
        <f>SUM(K208:M208)</f>
        <v>10.263000000356644</v>
      </c>
    </row>
    <row r="209" spans="1:14" x14ac:dyDescent="0.2">
      <c r="A209" s="282" t="s">
        <v>356</v>
      </c>
      <c r="B209" s="302">
        <f>'Ind T6'!V239</f>
        <v>82.568999998804998</v>
      </c>
      <c r="C209" s="299" t="str">
        <f>CONCATENATE("(",ROUND((B209/$H210)*100,1),")")</f>
        <v>(21.7)</v>
      </c>
      <c r="D209" s="302">
        <f>'Ind T6'!W239</f>
        <v>83.352999998849754</v>
      </c>
      <c r="E209" s="299" t="str">
        <f>CONCATENATE("(",ROUND((D209/$H210)*100,1),")")</f>
        <v>(21.9)</v>
      </c>
      <c r="F209" s="302">
        <f>'Ind T6'!X239</f>
        <v>9.8399999999774188</v>
      </c>
      <c r="G209" s="299" t="str">
        <f>CONCATENATE("(",ROUND((F209/$H210)*100,1),")")</f>
        <v>(2.6)</v>
      </c>
      <c r="H209" s="302">
        <f t="shared" ref="H209" si="166">SUM(B209,D209,F209)</f>
        <v>175.76199999763216</v>
      </c>
      <c r="I209" s="299" t="str">
        <f>CONCATENATE("(",ROUND((H209/$H210)*100,1),")")</f>
        <v>(46.1)</v>
      </c>
      <c r="K209" s="302">
        <f t="shared" ref="K209:K210" si="167">B209-B199</f>
        <v>11.133999998537888</v>
      </c>
      <c r="L209" s="302">
        <f t="shared" ref="L209:L210" si="168">D209-D199</f>
        <v>-6.9960000063472023</v>
      </c>
      <c r="M209" s="302">
        <f t="shared" ref="M209:M210" si="169">F209-F199</f>
        <v>1.1350000001003586</v>
      </c>
      <c r="N209" s="302">
        <f t="shared" ref="N209:N210" si="170">SUM(K209:M209)</f>
        <v>5.2729999922910444</v>
      </c>
    </row>
    <row r="210" spans="1:14" x14ac:dyDescent="0.2">
      <c r="A210" s="282" t="s">
        <v>354</v>
      </c>
      <c r="B210" s="302">
        <f>SUM(B208:B209)</f>
        <v>223.33499999979273</v>
      </c>
      <c r="C210" s="299" t="str">
        <f>CONCATENATE("(",ROUND((B210/$H210)*100,1),")")</f>
        <v>(58.6)</v>
      </c>
      <c r="D210" s="302">
        <f>SUM(D208:D209)</f>
        <v>124.46099999906505</v>
      </c>
      <c r="E210" s="299" t="str">
        <f>CONCATENATE("(",ROUND((D210/$H210)*100,1),")")</f>
        <v>(32.6)</v>
      </c>
      <c r="F210" s="302">
        <f>SUM(F208:F209)</f>
        <v>33.455000000253989</v>
      </c>
      <c r="G210" s="299" t="str">
        <f>CONCATENATE("(",ROUND((F210/$H210)*100,1),")")</f>
        <v>(8.8)</v>
      </c>
      <c r="H210" s="302">
        <f>SUM(H208:H209)</f>
        <v>381.25099999911174</v>
      </c>
      <c r="I210" s="299" t="str">
        <f>CONCATENATE("(",ROUND((H210/$H210)*100,1),")")</f>
        <v>(100)</v>
      </c>
      <c r="K210" s="302">
        <f t="shared" si="167"/>
        <v>18.505999998737479</v>
      </c>
      <c r="L210" s="302">
        <f t="shared" si="168"/>
        <v>-5.543000006255113</v>
      </c>
      <c r="M210" s="302">
        <f t="shared" si="169"/>
        <v>2.5730000001653401</v>
      </c>
      <c r="N210" s="302">
        <f t="shared" si="170"/>
        <v>15.535999992647707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379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377</v>
      </c>
    </row>
    <row r="217" spans="1:14" x14ac:dyDescent="0.2">
      <c r="A217" s="181" t="s">
        <v>378</v>
      </c>
      <c r="B217" s="369" t="s">
        <v>376</v>
      </c>
      <c r="C217" s="369"/>
      <c r="D217" s="369" t="s">
        <v>375</v>
      </c>
      <c r="E217" s="369"/>
      <c r="F217" s="369" t="s">
        <v>374</v>
      </c>
      <c r="G217" s="369"/>
      <c r="H217" s="369" t="s">
        <v>32</v>
      </c>
      <c r="I217" s="369"/>
      <c r="J217" s="181"/>
      <c r="K217" s="297" t="s">
        <v>339</v>
      </c>
      <c r="L217" s="297" t="s">
        <v>341</v>
      </c>
      <c r="M217" s="297" t="s">
        <v>337</v>
      </c>
      <c r="N217" s="297" t="s">
        <v>32</v>
      </c>
    </row>
    <row r="218" spans="1:14" x14ac:dyDescent="0.2">
      <c r="A218" s="292">
        <f>$A$8</f>
        <v>2020</v>
      </c>
      <c r="B218" s="287" t="s">
        <v>60</v>
      </c>
      <c r="C218" s="19" t="s">
        <v>373</v>
      </c>
      <c r="D218" s="287" t="s">
        <v>60</v>
      </c>
      <c r="E218" s="19" t="s">
        <v>373</v>
      </c>
      <c r="F218" s="287" t="s">
        <v>60</v>
      </c>
      <c r="G218" s="19" t="s">
        <v>373</v>
      </c>
      <c r="H218" s="287" t="s">
        <v>60</v>
      </c>
      <c r="I218" s="19" t="s">
        <v>373</v>
      </c>
      <c r="J218" s="181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355</v>
      </c>
      <c r="B219" s="302">
        <f>'Ind T6'!L275</f>
        <v>91.433000000825231</v>
      </c>
      <c r="C219" s="299" t="str">
        <f>CONCATENATE("(",ROUND((B219/$H221)*100,1),")")</f>
        <v>(56.4)</v>
      </c>
      <c r="D219" s="302">
        <f>'Ind T6'!M275</f>
        <v>13.677000000083229</v>
      </c>
      <c r="E219" s="299" t="str">
        <f>CONCATENATE("(",ROUND((D219/$H221)*100,1),")")</f>
        <v>(8.4)</v>
      </c>
      <c r="F219" s="302">
        <f>'Ind T6'!N275</f>
        <v>20.032000000600704</v>
      </c>
      <c r="G219" s="299" t="str">
        <f>CONCATENATE("(",ROUND((F219/$H221)*100,1),")")</f>
        <v>(12.3)</v>
      </c>
      <c r="H219" s="302">
        <f>SUM(B219,D219,F219)</f>
        <v>125.14200000150916</v>
      </c>
      <c r="I219" s="299" t="str">
        <f>CONCATENATE("(",ROUND((H219/$H221)*100,1),")")</f>
        <v>(77.1)</v>
      </c>
      <c r="K219" s="302">
        <f>B224-B219</f>
        <v>2.1610000001141572</v>
      </c>
      <c r="L219" s="302">
        <f>D224-D219</f>
        <v>0.47400000001866616</v>
      </c>
      <c r="M219" s="302">
        <f>F224-F219</f>
        <v>0.21200000088843751</v>
      </c>
      <c r="N219" s="302">
        <f>SUM(K219:M219)</f>
        <v>2.8470000010212608</v>
      </c>
    </row>
    <row r="220" spans="1:14" x14ac:dyDescent="0.2">
      <c r="A220" s="282" t="s">
        <v>356</v>
      </c>
      <c r="B220" s="302">
        <f>'Ind T6'!L274</f>
        <v>21.673999999938879</v>
      </c>
      <c r="C220" s="299" t="str">
        <f>CONCATENATE("(",ROUND((B220/$H221)*100,1),")")</f>
        <v>(13.4)</v>
      </c>
      <c r="D220" s="302">
        <f>'Ind T6'!M274</f>
        <v>12.636000000375066</v>
      </c>
      <c r="E220" s="299" t="str">
        <f>CONCATENATE("(",ROUND((D220/$H221)*100,1),")")</f>
        <v>(7.8)</v>
      </c>
      <c r="F220" s="302">
        <f>'Ind T6'!N274</f>
        <v>2.7670000000136663</v>
      </c>
      <c r="G220" s="299" t="str">
        <f>CONCATENATE("(",ROUND((F220/$H221)*100,1),")")</f>
        <v>(1.7)</v>
      </c>
      <c r="H220" s="302">
        <f t="shared" ref="H220" si="171">SUM(B220,D220,F220)</f>
        <v>37.077000000327615</v>
      </c>
      <c r="I220" s="299" t="str">
        <f>CONCATENATE("(",ROUND((H220/$H221)*100,1),")")</f>
        <v>(22.9)</v>
      </c>
      <c r="K220" s="302">
        <f t="shared" ref="K220:K221" si="172">B225-B220</f>
        <v>1.592000000580363</v>
      </c>
      <c r="L220" s="302">
        <f t="shared" ref="L220:L221" si="173">D225-D220</f>
        <v>1.0339999997654079</v>
      </c>
      <c r="M220" s="302">
        <f t="shared" ref="M220:M221" si="174">F225-F220</f>
        <v>-3.1000000043555076E-2</v>
      </c>
      <c r="N220" s="302">
        <f t="shared" ref="N220:N221" si="175">SUM(K220:M220)</f>
        <v>2.5950000003022158</v>
      </c>
    </row>
    <row r="221" spans="1:14" x14ac:dyDescent="0.2">
      <c r="A221" s="282" t="s">
        <v>354</v>
      </c>
      <c r="B221" s="302">
        <f>SUM(B219:B220)</f>
        <v>113.10700000076412</v>
      </c>
      <c r="C221" s="299" t="str">
        <f>CONCATENATE("(",ROUND((B221/$H221)*100,1),")")</f>
        <v>(69.7)</v>
      </c>
      <c r="D221" s="302">
        <f>SUM(D219:D220)</f>
        <v>26.313000000458295</v>
      </c>
      <c r="E221" s="299" t="str">
        <f>CONCATENATE("(",ROUND((D221/$H221)*100,1),")")</f>
        <v>(16.2)</v>
      </c>
      <c r="F221" s="302">
        <f>SUM(F219:F220)</f>
        <v>22.79900000061437</v>
      </c>
      <c r="G221" s="299" t="str">
        <f>CONCATENATE("(",ROUND((F221/$H221)*100,1),")")</f>
        <v>(14.1)</v>
      </c>
      <c r="H221" s="302">
        <f>SUM(H219:H220)</f>
        <v>162.21900000183678</v>
      </c>
      <c r="I221" s="299" t="str">
        <f>CONCATENATE("(",ROUND((H221/$H221)*100,1),")")</f>
        <v>(100)</v>
      </c>
      <c r="K221" s="302">
        <f t="shared" si="172"/>
        <v>3.753000000694513</v>
      </c>
      <c r="L221" s="302">
        <f t="shared" si="173"/>
        <v>1.5079999997840758</v>
      </c>
      <c r="M221" s="302">
        <f t="shared" si="174"/>
        <v>0.18100000084488244</v>
      </c>
      <c r="N221" s="302">
        <f t="shared" si="175"/>
        <v>5.4420000013234713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355</v>
      </c>
      <c r="B224" s="302">
        <f>'Ind T6'!Q275</f>
        <v>93.594000000939388</v>
      </c>
      <c r="C224" s="299" t="str">
        <f>CONCATENATE("(",ROUND((B224/$H226)*100,1),")")</f>
        <v>(55.8)</v>
      </c>
      <c r="D224" s="302">
        <f>'Ind T6'!R275</f>
        <v>14.151000000101895</v>
      </c>
      <c r="E224" s="299" t="str">
        <f>CONCATENATE("(",ROUND((D224/$H226)*100,1),")")</f>
        <v>(8.4)</v>
      </c>
      <c r="F224" s="302">
        <f>'Ind T6'!S275</f>
        <v>20.244000001489141</v>
      </c>
      <c r="G224" s="299" t="str">
        <f>CONCATENATE("(",ROUND((F224/$H226)*100,1),")")</f>
        <v>(12.1)</v>
      </c>
      <c r="H224" s="302">
        <f>SUM(B224,D224,F224)</f>
        <v>127.98900000253043</v>
      </c>
      <c r="I224" s="299" t="str">
        <f>CONCATENATE("(",ROUND((H224/$H226)*100,1),")")</f>
        <v>(76.3)</v>
      </c>
      <c r="K224" s="302">
        <f>B229-B224</f>
        <v>-1.4019999999248682</v>
      </c>
      <c r="L224" s="302">
        <f>D229-D224</f>
        <v>0.59900000004419773</v>
      </c>
      <c r="M224" s="302">
        <f>F229-F224</f>
        <v>0.52399999974618439</v>
      </c>
      <c r="N224" s="302">
        <f>SUM(K224:M224)</f>
        <v>-0.27900000013448611</v>
      </c>
    </row>
    <row r="225" spans="1:14" x14ac:dyDescent="0.2">
      <c r="A225" s="282" t="s">
        <v>356</v>
      </c>
      <c r="B225" s="302">
        <f>'Ind T6'!Q274</f>
        <v>23.266000000519242</v>
      </c>
      <c r="C225" s="299" t="str">
        <f>CONCATENATE("(",ROUND((B225/$H226)*100,1),")")</f>
        <v>(13.9)</v>
      </c>
      <c r="D225" s="302">
        <f>'Ind T6'!R274</f>
        <v>13.670000000140474</v>
      </c>
      <c r="E225" s="299" t="str">
        <f>CONCATENATE("(",ROUND((D225/$H226)*100,1),")")</f>
        <v>(8.2)</v>
      </c>
      <c r="F225" s="302">
        <f>'Ind T6'!S274</f>
        <v>2.7359999999701112</v>
      </c>
      <c r="G225" s="299" t="str">
        <f>CONCATENATE("(",ROUND((F225/$H226)*100,1),")")</f>
        <v>(1.6)</v>
      </c>
      <c r="H225" s="302">
        <f t="shared" ref="H225" si="176">SUM(B225,D225,F225)</f>
        <v>39.672000000629829</v>
      </c>
      <c r="I225" s="299" t="str">
        <f>CONCATENATE("(",ROUND((H225/$H226)*100,1),")")</f>
        <v>(23.7)</v>
      </c>
      <c r="K225" s="302">
        <f t="shared" ref="K225:K226" si="177">B230-B225</f>
        <v>1.2009999992211533</v>
      </c>
      <c r="L225" s="302">
        <f t="shared" ref="L225:L226" si="178">D230-D225</f>
        <v>1.1919999996168347</v>
      </c>
      <c r="M225" s="302">
        <f t="shared" ref="M225:M226" si="179">F230-F225</f>
        <v>-6.8000000017366613E-2</v>
      </c>
      <c r="N225" s="302">
        <f t="shared" ref="N225:N226" si="180">SUM(K225:M225)</f>
        <v>2.3249999988206214</v>
      </c>
    </row>
    <row r="226" spans="1:14" x14ac:dyDescent="0.2">
      <c r="A226" s="282" t="s">
        <v>354</v>
      </c>
      <c r="B226" s="302">
        <f>SUM(B224:B225)</f>
        <v>116.86000000145863</v>
      </c>
      <c r="C226" s="299" t="str">
        <f>CONCATENATE("(",ROUND((B226/$H226)*100,1),")")</f>
        <v>(69.7)</v>
      </c>
      <c r="D226" s="302">
        <f>SUM(D224:D225)</f>
        <v>27.821000000242371</v>
      </c>
      <c r="E226" s="299" t="str">
        <f>CONCATENATE("(",ROUND((D226/$H226)*100,1),")")</f>
        <v>(16.6)</v>
      </c>
      <c r="F226" s="302">
        <f>SUM(F224:F225)</f>
        <v>22.980000001459253</v>
      </c>
      <c r="G226" s="299" t="str">
        <f>CONCATENATE("(",ROUND((F226/$H226)*100,1),")")</f>
        <v>(13.7)</v>
      </c>
      <c r="H226" s="302">
        <f>SUM(H224:H225)</f>
        <v>167.66100000316027</v>
      </c>
      <c r="I226" s="299" t="str">
        <f>CONCATENATE("(",ROUND((H226/$H226)*100,1),")")</f>
        <v>(100)</v>
      </c>
      <c r="K226" s="302">
        <f t="shared" si="177"/>
        <v>-0.20100000070371493</v>
      </c>
      <c r="L226" s="302">
        <f t="shared" si="178"/>
        <v>1.7909999996610324</v>
      </c>
      <c r="M226" s="302">
        <f t="shared" si="179"/>
        <v>0.45599999972881733</v>
      </c>
      <c r="N226" s="302">
        <f t="shared" si="180"/>
        <v>2.0459999986861348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355</v>
      </c>
      <c r="B229" s="302">
        <f>'Ind T6'!V275</f>
        <v>92.19200000101452</v>
      </c>
      <c r="C229" s="299" t="str">
        <f>CONCATENATE("(",ROUND((B229/$H231)*100,1),")")</f>
        <v>(54.3)</v>
      </c>
      <c r="D229" s="302">
        <f>'Ind T6'!W275</f>
        <v>14.750000000146093</v>
      </c>
      <c r="E229" s="299" t="str">
        <f>CONCATENATE("(",ROUND((D229/$H231)*100,1),")")</f>
        <v>(8.7)</v>
      </c>
      <c r="F229" s="302">
        <f>'Ind T6'!X275</f>
        <v>20.768000001235325</v>
      </c>
      <c r="G229" s="299" t="str">
        <f>CONCATENATE("(",ROUND((F229/$H231)*100,1),")")</f>
        <v>(12.2)</v>
      </c>
      <c r="H229" s="302">
        <f>SUM(B229,D229,F229)</f>
        <v>127.71000000239593</v>
      </c>
      <c r="I229" s="299" t="str">
        <f>CONCATENATE("(",ROUND((H229/$H231)*100,1),")")</f>
        <v>(75.3)</v>
      </c>
      <c r="K229" s="302">
        <f>B229-B219</f>
        <v>0.75900000018928893</v>
      </c>
      <c r="L229" s="302">
        <f>D229-D219</f>
        <v>1.0730000000628639</v>
      </c>
      <c r="M229" s="302">
        <f>F229-F219</f>
        <v>0.7360000006346219</v>
      </c>
      <c r="N229" s="302">
        <f>SUM(K229:M229)</f>
        <v>2.5680000008867747</v>
      </c>
    </row>
    <row r="230" spans="1:14" x14ac:dyDescent="0.2">
      <c r="A230" s="282" t="s">
        <v>356</v>
      </c>
      <c r="B230" s="302">
        <f>'Ind T6'!V274</f>
        <v>24.466999999740395</v>
      </c>
      <c r="C230" s="299" t="str">
        <f>CONCATENATE("(",ROUND((B230/$H231)*100,1),")")</f>
        <v>(14.4)</v>
      </c>
      <c r="D230" s="302">
        <f>'Ind T6'!W274</f>
        <v>14.861999999757309</v>
      </c>
      <c r="E230" s="299" t="str">
        <f>CONCATENATE("(",ROUND((D230/$H231)*100,1),")")</f>
        <v>(8.8)</v>
      </c>
      <c r="F230" s="302">
        <f>'Ind T6'!X274</f>
        <v>2.6679999999527446</v>
      </c>
      <c r="G230" s="299" t="str">
        <f>CONCATENATE("(",ROUND((F230/$H231)*100,1),")")</f>
        <v>(1.6)</v>
      </c>
      <c r="H230" s="302">
        <f t="shared" ref="H230" si="181">SUM(B230,D230,F230)</f>
        <v>41.996999999450452</v>
      </c>
      <c r="I230" s="299" t="str">
        <f>CONCATENATE("(",ROUND((H230/$H231)*100,1),")")</f>
        <v>(24.7)</v>
      </c>
      <c r="K230" s="302">
        <f t="shared" ref="K230:K231" si="182">B230-B220</f>
        <v>2.7929999998015163</v>
      </c>
      <c r="L230" s="302">
        <f t="shared" ref="L230:L231" si="183">D230-D220</f>
        <v>2.2259999993822426</v>
      </c>
      <c r="M230" s="302">
        <f t="shared" ref="M230:M231" si="184">F230-F220</f>
        <v>-9.9000000060921689E-2</v>
      </c>
      <c r="N230" s="302">
        <f t="shared" ref="N230:N231" si="185">SUM(K230:M230)</f>
        <v>4.9199999991228367</v>
      </c>
    </row>
    <row r="231" spans="1:14" x14ac:dyDescent="0.2">
      <c r="A231" s="282" t="s">
        <v>354</v>
      </c>
      <c r="B231" s="302">
        <f>SUM(B229:B230)</f>
        <v>116.65900000075492</v>
      </c>
      <c r="C231" s="299" t="str">
        <f>CONCATENATE("(",ROUND((B231/$H231)*100,1),")")</f>
        <v>(68.7)</v>
      </c>
      <c r="D231" s="302">
        <f>SUM(D229:D230)</f>
        <v>29.611999999903404</v>
      </c>
      <c r="E231" s="299" t="str">
        <f>CONCATENATE("(",ROUND((D231/$H231)*100,1),")")</f>
        <v>(17.4)</v>
      </c>
      <c r="F231" s="302">
        <f>SUM(F229:F230)</f>
        <v>23.43600000118807</v>
      </c>
      <c r="G231" s="299" t="str">
        <f>CONCATENATE("(",ROUND((F231/$H231)*100,1),")")</f>
        <v>(13.8)</v>
      </c>
      <c r="H231" s="302">
        <f>SUM(H229:H230)</f>
        <v>169.70700000184638</v>
      </c>
      <c r="I231" s="299" t="str">
        <f>CONCATENATE("(",ROUND((H231/$H231)*100,1),")")</f>
        <v>(100)</v>
      </c>
      <c r="K231" s="302">
        <f t="shared" si="182"/>
        <v>3.5519999999907981</v>
      </c>
      <c r="L231" s="302">
        <f t="shared" si="183"/>
        <v>3.2989999994451082</v>
      </c>
      <c r="M231" s="302">
        <f t="shared" si="184"/>
        <v>0.63700000057369977</v>
      </c>
      <c r="N231" s="302">
        <f t="shared" si="185"/>
        <v>7.4880000000096061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379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377</v>
      </c>
    </row>
    <row r="238" spans="1:14" x14ac:dyDescent="0.2">
      <c r="A238" s="181" t="s">
        <v>378</v>
      </c>
      <c r="B238" s="369" t="s">
        <v>376</v>
      </c>
      <c r="C238" s="369"/>
      <c r="D238" s="369" t="s">
        <v>375</v>
      </c>
      <c r="E238" s="369"/>
      <c r="F238" s="369" t="s">
        <v>374</v>
      </c>
      <c r="G238" s="369"/>
      <c r="H238" s="369" t="s">
        <v>32</v>
      </c>
      <c r="I238" s="369"/>
      <c r="J238" s="181"/>
      <c r="K238" s="297" t="s">
        <v>339</v>
      </c>
      <c r="L238" s="297" t="s">
        <v>341</v>
      </c>
      <c r="M238" s="297" t="s">
        <v>337</v>
      </c>
      <c r="N238" s="297" t="s">
        <v>32</v>
      </c>
    </row>
    <row r="239" spans="1:14" x14ac:dyDescent="0.2">
      <c r="A239" s="292">
        <f>$A$8</f>
        <v>2020</v>
      </c>
      <c r="B239" s="287" t="s">
        <v>60</v>
      </c>
      <c r="C239" s="19" t="s">
        <v>373</v>
      </c>
      <c r="D239" s="287" t="s">
        <v>60</v>
      </c>
      <c r="E239" s="19" t="s">
        <v>373</v>
      </c>
      <c r="F239" s="287" t="s">
        <v>60</v>
      </c>
      <c r="G239" s="19" t="s">
        <v>373</v>
      </c>
      <c r="H239" s="287" t="s">
        <v>60</v>
      </c>
      <c r="I239" s="19" t="s">
        <v>373</v>
      </c>
      <c r="J239" s="181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355</v>
      </c>
      <c r="B240" s="302">
        <f>'Ind T6'!L295</f>
        <v>25.726000000022353</v>
      </c>
      <c r="C240" s="299" t="str">
        <f>CONCATENATE("(",ROUND((B240/$H242)*100,1),")")</f>
        <v>(17.9)</v>
      </c>
      <c r="D240" s="302">
        <f>'Ind T6'!M295</f>
        <v>32.298000000156577</v>
      </c>
      <c r="E240" s="299" t="str">
        <f>CONCATENATE("(",ROUND((D240/$H242)*100,1),")")</f>
        <v>(22.5)</v>
      </c>
      <c r="F240" s="302">
        <f>'Ind T6'!N295</f>
        <v>1.4100000000193966</v>
      </c>
      <c r="G240" s="299" t="str">
        <f>CONCATENATE("(",ROUND((F240/$H242)*100,1),")")</f>
        <v>(1)</v>
      </c>
      <c r="H240" s="302">
        <f>SUM(B240,D240,F240)</f>
        <v>59.434000000198324</v>
      </c>
      <c r="I240" s="299" t="str">
        <f>CONCATENATE("(",ROUND((H240/$H242)*100,1),")")</f>
        <v>(41.4)</v>
      </c>
      <c r="K240" s="302">
        <f>B245-B240</f>
        <v>-0.12099999992450705</v>
      </c>
      <c r="L240" s="302">
        <f>D245-D240</f>
        <v>-0.80299999997569671</v>
      </c>
      <c r="M240" s="302">
        <f>F245-F240</f>
        <v>4.0000000004913883E-2</v>
      </c>
      <c r="N240" s="302">
        <f>SUM(K240:M240)</f>
        <v>-0.88399999989528988</v>
      </c>
    </row>
    <row r="241" spans="1:14" x14ac:dyDescent="0.2">
      <c r="A241" s="282" t="s">
        <v>356</v>
      </c>
      <c r="B241" s="302">
        <f>'Ind T6'!L294</f>
        <v>26.986000000118882</v>
      </c>
      <c r="C241" s="299" t="str">
        <f>CONCATENATE("(",ROUND((B241/$H242)*100,1),")")</f>
        <v>(18.8)</v>
      </c>
      <c r="D241" s="302">
        <f>'Ind T6'!M294</f>
        <v>53.220000002156944</v>
      </c>
      <c r="E241" s="299" t="str">
        <f>CONCATENATE("(",ROUND((D241/$H242)*100,1),")")</f>
        <v>(37.1)</v>
      </c>
      <c r="F241" s="302">
        <f>'Ind T6'!N294</f>
        <v>3.9999999999514917</v>
      </c>
      <c r="G241" s="299" t="str">
        <f>CONCATENATE("(",ROUND((F241/$H242)*100,1),")")</f>
        <v>(2.8)</v>
      </c>
      <c r="H241" s="302">
        <f t="shared" ref="H241" si="186">SUM(B241,D241,F241)</f>
        <v>84.206000002227327</v>
      </c>
      <c r="I241" s="299" t="str">
        <f>CONCATENATE("(",ROUND((H241/$H242)*100,1),")")</f>
        <v>(58.6)</v>
      </c>
      <c r="K241" s="302">
        <f t="shared" ref="K241:K242" si="187">B246-B241</f>
        <v>-0.13499999975632448</v>
      </c>
      <c r="L241" s="302">
        <f t="shared" ref="L241:L242" si="188">D246-D241</f>
        <v>-0.13300000032723602</v>
      </c>
      <c r="M241" s="302">
        <f t="shared" ref="M241:M242" si="189">F246-F241</f>
        <v>0.17300000000200422</v>
      </c>
      <c r="N241" s="302">
        <f t="shared" ref="N241:N242" si="190">SUM(K241:M241)</f>
        <v>-9.5000000081556291E-2</v>
      </c>
    </row>
    <row r="242" spans="1:14" x14ac:dyDescent="0.2">
      <c r="A242" s="282" t="s">
        <v>354</v>
      </c>
      <c r="B242" s="302">
        <f>SUM(B240:B241)</f>
        <v>52.712000000141231</v>
      </c>
      <c r="C242" s="299" t="str">
        <f>CONCATENATE("(",ROUND((B242/$H242)*100,1),")")</f>
        <v>(36.7)</v>
      </c>
      <c r="D242" s="302">
        <f>SUM(D240:D241)</f>
        <v>85.518000002313528</v>
      </c>
      <c r="E242" s="299" t="str">
        <f>CONCATENATE("(",ROUND((D242/$H242)*100,1),")")</f>
        <v>(59.5)</v>
      </c>
      <c r="F242" s="302">
        <f>SUM(F240:F241)</f>
        <v>5.4099999999708883</v>
      </c>
      <c r="G242" s="299" t="str">
        <f>CONCATENATE("(",ROUND((F242/$H242)*100,1),")")</f>
        <v>(3.8)</v>
      </c>
      <c r="H242" s="302">
        <f>SUM(H240:H241)</f>
        <v>143.64000000242567</v>
      </c>
      <c r="I242" s="299" t="str">
        <f>CONCATENATE("(",ROUND((H242/$H242)*100,1),")")</f>
        <v>(100)</v>
      </c>
      <c r="K242" s="302">
        <f t="shared" si="187"/>
        <v>-0.25599999968082443</v>
      </c>
      <c r="L242" s="302">
        <f t="shared" si="188"/>
        <v>-0.93600000030293984</v>
      </c>
      <c r="M242" s="302">
        <f t="shared" si="189"/>
        <v>0.2130000000069181</v>
      </c>
      <c r="N242" s="302">
        <f t="shared" si="190"/>
        <v>-0.97899999997684617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355</v>
      </c>
      <c r="B245" s="302">
        <f>'Ind T6'!Q295</f>
        <v>25.605000000097846</v>
      </c>
      <c r="C245" s="299" t="str">
        <f>CONCATENATE("(",ROUND((B245/$H247)*100,1),")")</f>
        <v>(17.9)</v>
      </c>
      <c r="D245" s="302">
        <f>'Ind T6'!R295</f>
        <v>31.49500000018088</v>
      </c>
      <c r="E245" s="299" t="str">
        <f>CONCATENATE("(",ROUND((D245/$H247)*100,1),")")</f>
        <v>(22.1)</v>
      </c>
      <c r="F245" s="302">
        <f>'Ind T6'!S295</f>
        <v>1.4500000000243105</v>
      </c>
      <c r="G245" s="299" t="str">
        <f>CONCATENATE("(",ROUND((F245/$H247)*100,1),")")</f>
        <v>(1)</v>
      </c>
      <c r="H245" s="302">
        <f>SUM(B245,D245,F245)</f>
        <v>58.550000000303037</v>
      </c>
      <c r="I245" s="299" t="str">
        <f>CONCATENATE("(",ROUND((H245/$H247)*100,1),")")</f>
        <v>(41)</v>
      </c>
      <c r="K245" s="302">
        <f>B250-B245</f>
        <v>2.0799999999071588</v>
      </c>
      <c r="L245" s="302">
        <f>D250-D245</f>
        <v>1.8519999999437005</v>
      </c>
      <c r="M245" s="302">
        <f>F250-F245</f>
        <v>0.12299999998066502</v>
      </c>
      <c r="N245" s="302">
        <f>SUM(K245:M245)</f>
        <v>4.0549999998315247</v>
      </c>
    </row>
    <row r="246" spans="1:14" x14ac:dyDescent="0.2">
      <c r="A246" s="282" t="s">
        <v>356</v>
      </c>
      <c r="B246" s="302">
        <f>'Ind T6'!Q294</f>
        <v>26.851000000362557</v>
      </c>
      <c r="C246" s="299" t="str">
        <f>CONCATENATE("(",ROUND((B246/$H247)*100,1),")")</f>
        <v>(18.8)</v>
      </c>
      <c r="D246" s="302">
        <f>'Ind T6'!R294</f>
        <v>53.087000001829708</v>
      </c>
      <c r="E246" s="299" t="str">
        <f>CONCATENATE("(",ROUND((D246/$H247)*100,1),")")</f>
        <v>(37.2)</v>
      </c>
      <c r="F246" s="302">
        <f>'Ind T6'!S294</f>
        <v>4.1729999999534959</v>
      </c>
      <c r="G246" s="299" t="str">
        <f>CONCATENATE("(",ROUND((F246/$H247)*100,1),")")</f>
        <v>(2.9)</v>
      </c>
      <c r="H246" s="302">
        <f t="shared" ref="H246" si="191">SUM(B246,D246,F246)</f>
        <v>84.111000002145758</v>
      </c>
      <c r="I246" s="299" t="str">
        <f>CONCATENATE("(",ROUND((H246/$H247)*100,1),")")</f>
        <v>(59)</v>
      </c>
      <c r="K246" s="302">
        <f t="shared" ref="K246:K247" si="192">B251-B246</f>
        <v>1.9669999994294685</v>
      </c>
      <c r="L246" s="302">
        <f t="shared" ref="L246:L247" si="193">D251-D246</f>
        <v>3.6329999975008533</v>
      </c>
      <c r="M246" s="302">
        <f t="shared" ref="M246:M247" si="194">F251-F246</f>
        <v>0.36599999999931843</v>
      </c>
      <c r="N246" s="302">
        <f t="shared" ref="N246:N247" si="195">SUM(K246:M246)</f>
        <v>5.9659999969296402</v>
      </c>
    </row>
    <row r="247" spans="1:14" x14ac:dyDescent="0.2">
      <c r="A247" s="282" t="s">
        <v>354</v>
      </c>
      <c r="B247" s="302">
        <f>SUM(B245:B246)</f>
        <v>52.456000000460406</v>
      </c>
      <c r="C247" s="299" t="str">
        <f>CONCATENATE("(",ROUND((B247/$H247)*100,1),")")</f>
        <v>(36.8)</v>
      </c>
      <c r="D247" s="302">
        <f>SUM(D245:D246)</f>
        <v>84.582000002010588</v>
      </c>
      <c r="E247" s="299" t="str">
        <f>CONCATENATE("(",ROUND((D247/$H247)*100,1),")")</f>
        <v>(59.3)</v>
      </c>
      <c r="F247" s="302">
        <f>SUM(F245:F246)</f>
        <v>5.6229999999778064</v>
      </c>
      <c r="G247" s="299" t="str">
        <f>CONCATENATE("(",ROUND((F247/$H247)*100,1),")")</f>
        <v>(3.9)</v>
      </c>
      <c r="H247" s="302">
        <f>SUM(H245:H246)</f>
        <v>142.66100000244879</v>
      </c>
      <c r="I247" s="299" t="str">
        <f>CONCATENATE("(",ROUND((H247/$H247)*100,1),")")</f>
        <v>(100)</v>
      </c>
      <c r="K247" s="302">
        <f t="shared" si="192"/>
        <v>4.0469999993366201</v>
      </c>
      <c r="L247" s="302">
        <f t="shared" si="193"/>
        <v>5.4849999974445467</v>
      </c>
      <c r="M247" s="302">
        <f t="shared" si="194"/>
        <v>0.48899999997998389</v>
      </c>
      <c r="N247" s="302">
        <f t="shared" si="195"/>
        <v>10.020999996761152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355</v>
      </c>
      <c r="B250" s="302">
        <f>'Ind T6'!V295</f>
        <v>27.685000000005004</v>
      </c>
      <c r="C250" s="299" t="str">
        <f>CONCATENATE("(",ROUND((B250/$H252)*100,1),")")</f>
        <v>(18.1)</v>
      </c>
      <c r="D250" s="302">
        <f>'Ind T6'!W295</f>
        <v>33.347000000124581</v>
      </c>
      <c r="E250" s="299" t="str">
        <f>CONCATENATE("(",ROUND((D250/$H252)*100,1),")")</f>
        <v>(21.8)</v>
      </c>
      <c r="F250" s="302">
        <f>'Ind T6'!X295</f>
        <v>1.5730000000049755</v>
      </c>
      <c r="G250" s="299" t="str">
        <f>CONCATENATE("(",ROUND((F250/$H252)*100,1),")")</f>
        <v>(1)</v>
      </c>
      <c r="H250" s="302">
        <f>SUM(B250,D250,F250)</f>
        <v>62.605000000134559</v>
      </c>
      <c r="I250" s="299" t="str">
        <f>CONCATENATE("(",ROUND((H250/$H252)*100,1),")")</f>
        <v>(41)</v>
      </c>
      <c r="K250" s="302">
        <f>B250-B240</f>
        <v>1.9589999999826517</v>
      </c>
      <c r="L250" s="302">
        <f>D250-D240</f>
        <v>1.0489999999680037</v>
      </c>
      <c r="M250" s="302">
        <f>F250-F240</f>
        <v>0.1629999999855789</v>
      </c>
      <c r="N250" s="302">
        <f>SUM(K250:M250)</f>
        <v>3.1709999999362344</v>
      </c>
    </row>
    <row r="251" spans="1:14" x14ac:dyDescent="0.2">
      <c r="A251" s="282" t="s">
        <v>356</v>
      </c>
      <c r="B251" s="302">
        <f>'Ind T6'!V294</f>
        <v>28.817999999792026</v>
      </c>
      <c r="C251" s="299" t="str">
        <f>CONCATENATE("(",ROUND((B251/$H252)*100,1),")")</f>
        <v>(18.9)</v>
      </c>
      <c r="D251" s="302">
        <f>'Ind T6'!W294</f>
        <v>56.719999999330561</v>
      </c>
      <c r="E251" s="299" t="str">
        <f>CONCATENATE("(",ROUND((D251/$H252)*100,1),")")</f>
        <v>(37.1)</v>
      </c>
      <c r="F251" s="302">
        <f>'Ind T6'!X294</f>
        <v>4.5389999999528143</v>
      </c>
      <c r="G251" s="299" t="str">
        <f>CONCATENATE("(",ROUND((F251/$H252)*100,1),")")</f>
        <v>(3)</v>
      </c>
      <c r="H251" s="302">
        <f t="shared" ref="H251" si="196">SUM(B251,D251,F251)</f>
        <v>90.076999999075412</v>
      </c>
      <c r="I251" s="299" t="str">
        <f>CONCATENATE("(",ROUND((H251/$H252)*100,1),")")</f>
        <v>(59)</v>
      </c>
      <c r="K251" s="302">
        <f t="shared" ref="K251:K252" si="197">B251-B241</f>
        <v>1.831999999673144</v>
      </c>
      <c r="L251" s="302">
        <f t="shared" ref="L251:L252" si="198">D251-D241</f>
        <v>3.4999999971736173</v>
      </c>
      <c r="M251" s="302">
        <f t="shared" ref="M251:M252" si="199">F251-F241</f>
        <v>0.53900000000132264</v>
      </c>
      <c r="N251" s="302">
        <f t="shared" ref="N251:N252" si="200">SUM(K251:M251)</f>
        <v>5.8709999968480844</v>
      </c>
    </row>
    <row r="252" spans="1:14" x14ac:dyDescent="0.2">
      <c r="A252" s="282" t="s">
        <v>354</v>
      </c>
      <c r="B252" s="302">
        <f>SUM(B250:B251)</f>
        <v>56.502999999797026</v>
      </c>
      <c r="C252" s="299" t="str">
        <f>CONCATENATE("(",ROUND((B252/$H252)*100,1),")")</f>
        <v>(37)</v>
      </c>
      <c r="D252" s="302">
        <f>SUM(D250:D251)</f>
        <v>90.066999999455135</v>
      </c>
      <c r="E252" s="299" t="str">
        <f>CONCATENATE("(",ROUND((D252/$H252)*100,1),")")</f>
        <v>(59)</v>
      </c>
      <c r="F252" s="302">
        <f>SUM(F250:F251)</f>
        <v>6.1119999999577903</v>
      </c>
      <c r="G252" s="299" t="str">
        <f>CONCATENATE("(",ROUND((F252/$H252)*100,1),")")</f>
        <v>(4)</v>
      </c>
      <c r="H252" s="302">
        <f>SUM(H250:H251)</f>
        <v>152.68199999920998</v>
      </c>
      <c r="I252" s="299" t="str">
        <f>CONCATENATE("(",ROUND((H252/$H252)*100,1),")")</f>
        <v>(100)</v>
      </c>
      <c r="K252" s="302">
        <f t="shared" si="197"/>
        <v>3.7909999996557957</v>
      </c>
      <c r="L252" s="302">
        <f t="shared" si="198"/>
        <v>4.5489999971416069</v>
      </c>
      <c r="M252" s="302">
        <f t="shared" si="199"/>
        <v>0.70199999998690199</v>
      </c>
      <c r="N252" s="302">
        <f t="shared" si="200"/>
        <v>9.0419999967843054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1"/>
      <c r="E256" s="181"/>
      <c r="G256" s="181"/>
      <c r="I256" s="181"/>
    </row>
    <row r="257" spans="1:14" x14ac:dyDescent="0.2">
      <c r="A257" s="288"/>
      <c r="B257" s="289" t="s">
        <v>379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377</v>
      </c>
    </row>
    <row r="259" spans="1:14" x14ac:dyDescent="0.2">
      <c r="A259" s="181" t="s">
        <v>378</v>
      </c>
      <c r="B259" s="369" t="s">
        <v>376</v>
      </c>
      <c r="C259" s="369"/>
      <c r="D259" s="369" t="s">
        <v>375</v>
      </c>
      <c r="E259" s="369"/>
      <c r="F259" s="369" t="s">
        <v>374</v>
      </c>
      <c r="G259" s="369"/>
      <c r="H259" s="369" t="s">
        <v>32</v>
      </c>
      <c r="I259" s="369"/>
      <c r="J259" s="181"/>
      <c r="K259" s="297" t="s">
        <v>339</v>
      </c>
      <c r="L259" s="297" t="s">
        <v>341</v>
      </c>
      <c r="M259" s="297" t="s">
        <v>337</v>
      </c>
      <c r="N259" s="297" t="s">
        <v>32</v>
      </c>
    </row>
    <row r="260" spans="1:14" x14ac:dyDescent="0.2">
      <c r="A260" s="292">
        <f>$A$8</f>
        <v>2020</v>
      </c>
      <c r="B260" s="287" t="s">
        <v>60</v>
      </c>
      <c r="C260" s="19" t="s">
        <v>373</v>
      </c>
      <c r="D260" s="287" t="s">
        <v>60</v>
      </c>
      <c r="E260" s="19" t="s">
        <v>373</v>
      </c>
      <c r="F260" s="287" t="s">
        <v>60</v>
      </c>
      <c r="G260" s="19" t="s">
        <v>373</v>
      </c>
      <c r="H260" s="287" t="s">
        <v>60</v>
      </c>
      <c r="I260" s="19" t="s">
        <v>373</v>
      </c>
      <c r="J260" s="181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355</v>
      </c>
      <c r="B261" s="302">
        <f>'Ind T6'!L320</f>
        <v>2.2839999999723957</v>
      </c>
      <c r="C261" s="299" t="str">
        <f>CONCATENATE("(",ROUND((B261/$H263)*100,1),")")</f>
        <v>(26.4)</v>
      </c>
      <c r="D261" s="302">
        <f>'Ind T6'!M320</f>
        <v>1.0710000000018274</v>
      </c>
      <c r="E261" s="299" t="str">
        <f>CONCATENATE("(",ROUND((D261/$H263)*100,1),")")</f>
        <v>(12.4)</v>
      </c>
      <c r="F261" s="302">
        <f>'Ind T6'!N320</f>
        <v>0.93800000000470685</v>
      </c>
      <c r="G261" s="299" t="str">
        <f>CONCATENATE("(",ROUND((F261/$H263)*100,1),")")</f>
        <v>(10.9)</v>
      </c>
      <c r="H261" s="302">
        <f>SUM(B261,D261,F261)</f>
        <v>4.2929999999789299</v>
      </c>
      <c r="I261" s="299" t="str">
        <f>CONCATENATE("(",ROUND((H261/$H263)*100,1),")")</f>
        <v>(49.7)</v>
      </c>
      <c r="K261" s="302">
        <f>B266-B261</f>
        <v>-6.6999999987011449E-2</v>
      </c>
      <c r="L261" s="302">
        <f>D266-D261</f>
        <v>2.4999999999709699E-2</v>
      </c>
      <c r="M261" s="302">
        <f>F266-F261</f>
        <v>-1.6999999970751523E-2</v>
      </c>
      <c r="N261" s="302">
        <f>SUM(K261:M261)</f>
        <v>-5.8999999958053273E-2</v>
      </c>
    </row>
    <row r="262" spans="1:14" x14ac:dyDescent="0.2">
      <c r="A262" s="282" t="s">
        <v>356</v>
      </c>
      <c r="B262" s="302">
        <f>'Ind T6'!L319</f>
        <v>1.0019999999892868</v>
      </c>
      <c r="C262" s="299" t="str">
        <f>CONCATENATE("(",ROUND((B262/$H263)*100,1),")")</f>
        <v>(11.6)</v>
      </c>
      <c r="D262" s="302">
        <f>'Ind T6'!M319</f>
        <v>2.2400000000233167</v>
      </c>
      <c r="E262" s="299" t="str">
        <f>CONCATENATE("(",ROUND((D262/$H263)*100,1),")")</f>
        <v>(25.9)</v>
      </c>
      <c r="F262" s="302">
        <f>'Ind T6'!N319</f>
        <v>1.1049999999549576</v>
      </c>
      <c r="G262" s="299" t="str">
        <f>CONCATENATE("(",ROUND((F262/$H263)*100,1),")")</f>
        <v>(12.8)</v>
      </c>
      <c r="H262" s="302">
        <f t="shared" ref="H262" si="201">SUM(B262,D262,F262)</f>
        <v>4.3469999999675606</v>
      </c>
      <c r="I262" s="299" t="str">
        <f>CONCATENATE("(",ROUND((H262/$H263)*100,1),")")</f>
        <v>(50.3)</v>
      </c>
      <c r="K262" s="302">
        <f t="shared" ref="K262:K263" si="202">B267-B262</f>
        <v>-2.6999999965358956E-2</v>
      </c>
      <c r="L262" s="302">
        <f t="shared" ref="L262:L263" si="203">D267-D262</f>
        <v>-2.3000000010910959E-2</v>
      </c>
      <c r="M262" s="302">
        <f t="shared" ref="M262:M263" si="204">F267-F262</f>
        <v>-3.6999999939508532E-2</v>
      </c>
      <c r="N262" s="302">
        <f t="shared" ref="N262:N263" si="205">SUM(K262:M262)</f>
        <v>-8.6999999915778448E-2</v>
      </c>
    </row>
    <row r="263" spans="1:14" x14ac:dyDescent="0.2">
      <c r="A263" s="282" t="s">
        <v>354</v>
      </c>
      <c r="B263" s="302">
        <f>SUM(B261:B262)</f>
        <v>3.2859999999616827</v>
      </c>
      <c r="C263" s="299" t="str">
        <f>CONCATENATE("(",ROUND((B263/$H263)*100,1),")")</f>
        <v>(38)</v>
      </c>
      <c r="D263" s="302">
        <f>SUM(D261:D262)</f>
        <v>3.3110000000251443</v>
      </c>
      <c r="E263" s="299" t="str">
        <f>CONCATENATE("(",ROUND((D263/$H263)*100,1),")")</f>
        <v>(38.3)</v>
      </c>
      <c r="F263" s="302">
        <f>SUM(F261:F262)</f>
        <v>2.0429999999596644</v>
      </c>
      <c r="G263" s="299" t="str">
        <f>CONCATENATE("(",ROUND((F263/$H263)*100,1),")")</f>
        <v>(23.6)</v>
      </c>
      <c r="H263" s="302">
        <f>SUM(H261:H262)</f>
        <v>8.6399999999464896</v>
      </c>
      <c r="I263" s="299" t="str">
        <f>CONCATENATE("(",ROUND((H263/$H263)*100,1),")")</f>
        <v>(100)</v>
      </c>
      <c r="K263" s="302">
        <f t="shared" si="202"/>
        <v>-9.399999995237085E-2</v>
      </c>
      <c r="L263" s="302">
        <f t="shared" si="203"/>
        <v>1.9999999887985176E-3</v>
      </c>
      <c r="M263" s="302">
        <f t="shared" si="204"/>
        <v>-5.3999999910260055E-2</v>
      </c>
      <c r="N263" s="302">
        <f t="shared" si="205"/>
        <v>-0.14599999987383239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355</v>
      </c>
      <c r="B266" s="302">
        <f>'Ind T6'!Q320</f>
        <v>2.2169999999853842</v>
      </c>
      <c r="C266" s="299" t="str">
        <f>CONCATENATE("(",ROUND((B266/$H268)*100,1),")")</f>
        <v>(26.1)</v>
      </c>
      <c r="D266" s="302">
        <f>'Ind T6'!R320</f>
        <v>1.0960000000015371</v>
      </c>
      <c r="E266" s="299" t="str">
        <f>CONCATENATE("(",ROUND((D266/$H268)*100,1),")")</f>
        <v>(12.9)</v>
      </c>
      <c r="F266" s="302">
        <f>'Ind T6'!S320</f>
        <v>0.92100000003395532</v>
      </c>
      <c r="G266" s="299" t="str">
        <f>CONCATENATE("(",ROUND((F266/$H268)*100,1),")")</f>
        <v>(10.8)</v>
      </c>
      <c r="H266" s="302">
        <f>SUM(B266,D266,F266)</f>
        <v>4.2340000000208766</v>
      </c>
      <c r="I266" s="299" t="str">
        <f>CONCATENATE("(",ROUND((H266/$H268)*100,1),")")</f>
        <v>(49.8)</v>
      </c>
      <c r="K266" s="302">
        <f>B271-B266</f>
        <v>5.9999999901680923E-3</v>
      </c>
      <c r="L266" s="302">
        <f>D271-D266</f>
        <v>8.699999999902408E-2</v>
      </c>
      <c r="M266" s="302">
        <f>F271-F266</f>
        <v>2.09999999905498E-2</v>
      </c>
      <c r="N266" s="302">
        <f>SUM(K266:M266)</f>
        <v>0.11399999997974197</v>
      </c>
    </row>
    <row r="267" spans="1:14" x14ac:dyDescent="0.2">
      <c r="A267" s="282" t="s">
        <v>356</v>
      </c>
      <c r="B267" s="302">
        <f>'Ind T6'!Q319</f>
        <v>0.97500000002392784</v>
      </c>
      <c r="C267" s="299" t="str">
        <f>CONCATENATE("(",ROUND((B267/$H268)*100,1),")")</f>
        <v>(11.5)</v>
      </c>
      <c r="D267" s="302">
        <f>'Ind T6'!R319</f>
        <v>2.2170000000124057</v>
      </c>
      <c r="E267" s="299" t="str">
        <f>CONCATENATE("(",ROUND((D267/$H268)*100,1),")")</f>
        <v>(26.1)</v>
      </c>
      <c r="F267" s="302">
        <f>'Ind T6'!S319</f>
        <v>1.068000000015449</v>
      </c>
      <c r="G267" s="299" t="str">
        <f>CONCATENATE("(",ROUND((F267/$H268)*100,1),")")</f>
        <v>(12.6)</v>
      </c>
      <c r="H267" s="302">
        <f t="shared" ref="H267" si="206">SUM(B267,D267,F267)</f>
        <v>4.2600000000517824</v>
      </c>
      <c r="I267" s="299" t="str">
        <f>CONCATENATE("(",ROUND((H267/$H268)*100,1),")")</f>
        <v>(50.2)</v>
      </c>
      <c r="K267" s="302">
        <f t="shared" ref="K267:K268" si="207">B272-B267</f>
        <v>2.1999999973590034E-2</v>
      </c>
      <c r="L267" s="302">
        <f t="shared" ref="L267:L268" si="208">D272-D267</f>
        <v>3.2999999975094507E-2</v>
      </c>
      <c r="M267" s="302">
        <f t="shared" ref="M267:M268" si="209">F272-F267</f>
        <v>-3.2999999997842311E-2</v>
      </c>
      <c r="N267" s="302">
        <f t="shared" ref="N267:N268" si="210">SUM(K267:M267)</f>
        <v>2.1999999950842231E-2</v>
      </c>
    </row>
    <row r="268" spans="1:14" x14ac:dyDescent="0.2">
      <c r="A268" s="282" t="s">
        <v>354</v>
      </c>
      <c r="B268" s="302">
        <f>SUM(B266:B267)</f>
        <v>3.1920000000093118</v>
      </c>
      <c r="C268" s="299" t="str">
        <f>CONCATENATE("(",ROUND((B268/$H268)*100,1),")")</f>
        <v>(37.6)</v>
      </c>
      <c r="D268" s="302">
        <f>SUM(D266:D267)</f>
        <v>3.3130000000139428</v>
      </c>
      <c r="E268" s="299" t="str">
        <f>CONCATENATE("(",ROUND((D268/$H268)*100,1),")")</f>
        <v>(39)</v>
      </c>
      <c r="F268" s="302">
        <f>SUM(F266:F267)</f>
        <v>1.9890000000494044</v>
      </c>
      <c r="G268" s="299" t="str">
        <f>CONCATENATE("(",ROUND((F268/$H268)*100,1),")")</f>
        <v>(23.4)</v>
      </c>
      <c r="H268" s="302">
        <f>SUM(H266:H267)</f>
        <v>8.4940000000726599</v>
      </c>
      <c r="I268" s="299" t="str">
        <f>CONCATENATE("(",ROUND((H268/$H268)*100,1),")")</f>
        <v>(100)</v>
      </c>
      <c r="K268" s="302">
        <f t="shared" si="207"/>
        <v>2.7999999963758349E-2</v>
      </c>
      <c r="L268" s="302">
        <f t="shared" si="208"/>
        <v>0.11999999997411859</v>
      </c>
      <c r="M268" s="302">
        <f t="shared" si="209"/>
        <v>-1.20000000072924E-2</v>
      </c>
      <c r="N268" s="302">
        <f t="shared" si="210"/>
        <v>0.13599999993058454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355</v>
      </c>
      <c r="B271" s="302">
        <f>'Ind T6'!V320</f>
        <v>2.2229999999755523</v>
      </c>
      <c r="C271" s="299" t="str">
        <f>CONCATENATE("(",ROUND((B271/$H273)*100,1),")")</f>
        <v>(25.8)</v>
      </c>
      <c r="D271" s="302">
        <f>'Ind T6'!W320</f>
        <v>1.1830000000005612</v>
      </c>
      <c r="E271" s="299" t="str">
        <f>CONCATENATE("(",ROUND((D271/$H273)*100,1),")")</f>
        <v>(13.7)</v>
      </c>
      <c r="F271" s="302">
        <f>'Ind T6'!X320</f>
        <v>0.94200000002450512</v>
      </c>
      <c r="G271" s="299" t="str">
        <f>CONCATENATE("(",ROUND((F271/$H273)*100,1),")")</f>
        <v>(10.9)</v>
      </c>
      <c r="H271" s="302">
        <f>SUM(B271,D271,F271)</f>
        <v>4.3480000000006189</v>
      </c>
      <c r="I271" s="299" t="str">
        <f>CONCATENATE("(",ROUND((H271/$H273)*100,1),")")</f>
        <v>(50.4)</v>
      </c>
      <c r="K271" s="302">
        <f>B271-B261</f>
        <v>-6.0999999996843357E-2</v>
      </c>
      <c r="L271" s="302">
        <f>D271-D261</f>
        <v>0.11199999999873378</v>
      </c>
      <c r="M271" s="302">
        <f>F271-F261</f>
        <v>4.0000000197982777E-3</v>
      </c>
      <c r="N271" s="302">
        <f>SUM(K271:M271)</f>
        <v>5.50000000216887E-2</v>
      </c>
    </row>
    <row r="272" spans="1:14" x14ac:dyDescent="0.2">
      <c r="A272" s="282" t="s">
        <v>356</v>
      </c>
      <c r="B272" s="302">
        <f>'Ind T6'!V319</f>
        <v>0.99699999999751787</v>
      </c>
      <c r="C272" s="299" t="str">
        <f>CONCATENATE("(",ROUND((B272/$H273)*100,1),")")</f>
        <v>(11.6)</v>
      </c>
      <c r="D272" s="302">
        <f>'Ind T6'!W319</f>
        <v>2.2499999999875002</v>
      </c>
      <c r="E272" s="299" t="str">
        <f>CONCATENATE("(",ROUND((D272/$H273)*100,1),")")</f>
        <v>(26.1)</v>
      </c>
      <c r="F272" s="302">
        <f>'Ind T6'!X319</f>
        <v>1.0350000000176067</v>
      </c>
      <c r="G272" s="299" t="str">
        <f>CONCATENATE("(",ROUND((F272/$H273)*100,1),")")</f>
        <v>(12)</v>
      </c>
      <c r="H272" s="302">
        <f t="shared" ref="H272" si="211">SUM(B272,D272,F272)</f>
        <v>4.2820000000026246</v>
      </c>
      <c r="I272" s="299" t="str">
        <f>CONCATENATE("(",ROUND((H272/$H273)*100,1),")")</f>
        <v>(49.6)</v>
      </c>
      <c r="K272" s="302">
        <f t="shared" ref="K272:K273" si="212">B272-B262</f>
        <v>-4.999999991768922E-3</v>
      </c>
      <c r="L272" s="302">
        <f t="shared" ref="L272:L273" si="213">D272-D262</f>
        <v>9.999999964183548E-3</v>
      </c>
      <c r="M272" s="302">
        <f t="shared" ref="M272:M273" si="214">F272-F262</f>
        <v>-6.9999999937350843E-2</v>
      </c>
      <c r="N272" s="302">
        <f t="shared" ref="N272:N273" si="215">SUM(K272:M272)</f>
        <v>-6.4999999964936217E-2</v>
      </c>
    </row>
    <row r="273" spans="1:14" x14ac:dyDescent="0.2">
      <c r="A273" s="282" t="s">
        <v>354</v>
      </c>
      <c r="B273" s="302">
        <f>SUM(B271:B272)</f>
        <v>3.2199999999730702</v>
      </c>
      <c r="C273" s="299" t="str">
        <f>CONCATENATE("(",ROUND((B273/$H273)*100,1),")")</f>
        <v>(37.3)</v>
      </c>
      <c r="D273" s="302">
        <f>SUM(D271:D272)</f>
        <v>3.4329999999880614</v>
      </c>
      <c r="E273" s="299" t="str">
        <f>CONCATENATE("(",ROUND((D273/$H273)*100,1),")")</f>
        <v>(39.8)</v>
      </c>
      <c r="F273" s="302">
        <f>SUM(F271:F272)</f>
        <v>1.977000000042112</v>
      </c>
      <c r="G273" s="299" t="str">
        <f>CONCATENATE("(",ROUND((F273/$H273)*100,1),")")</f>
        <v>(22.9)</v>
      </c>
      <c r="H273" s="302">
        <f>SUM(H271:H272)</f>
        <v>8.6300000000032426</v>
      </c>
      <c r="I273" s="299" t="str">
        <f>CONCATENATE("(",ROUND((H273/$H273)*100,1),")")</f>
        <v>(100)</v>
      </c>
      <c r="K273" s="302">
        <f t="shared" si="212"/>
        <v>-6.5999999988612501E-2</v>
      </c>
      <c r="L273" s="302">
        <f t="shared" si="213"/>
        <v>0.12199999996291711</v>
      </c>
      <c r="M273" s="302">
        <f t="shared" si="214"/>
        <v>-6.5999999917552454E-2</v>
      </c>
      <c r="N273" s="302">
        <f t="shared" si="215"/>
        <v>-9.9999999432478504E-3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379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377</v>
      </c>
    </row>
    <row r="280" spans="1:14" x14ac:dyDescent="0.2">
      <c r="A280" s="181" t="s">
        <v>378</v>
      </c>
      <c r="B280" s="369" t="s">
        <v>376</v>
      </c>
      <c r="C280" s="369"/>
      <c r="D280" s="369" t="s">
        <v>375</v>
      </c>
      <c r="E280" s="369"/>
      <c r="F280" s="369" t="s">
        <v>374</v>
      </c>
      <c r="G280" s="369"/>
      <c r="H280" s="369" t="s">
        <v>32</v>
      </c>
      <c r="I280" s="369"/>
      <c r="J280" s="181"/>
      <c r="K280" s="297" t="s">
        <v>339</v>
      </c>
      <c r="L280" s="297" t="s">
        <v>341</v>
      </c>
      <c r="M280" s="297" t="s">
        <v>337</v>
      </c>
      <c r="N280" s="297" t="s">
        <v>32</v>
      </c>
    </row>
    <row r="281" spans="1:14" x14ac:dyDescent="0.2">
      <c r="A281" s="292">
        <f>$A$8</f>
        <v>2020</v>
      </c>
      <c r="B281" s="287" t="s">
        <v>60</v>
      </c>
      <c r="C281" s="19" t="s">
        <v>373</v>
      </c>
      <c r="D281" s="287" t="s">
        <v>60</v>
      </c>
      <c r="E281" s="19" t="s">
        <v>373</v>
      </c>
      <c r="F281" s="287" t="s">
        <v>60</v>
      </c>
      <c r="G281" s="19" t="s">
        <v>373</v>
      </c>
      <c r="H281" s="287" t="s">
        <v>60</v>
      </c>
      <c r="I281" s="19" t="s">
        <v>373</v>
      </c>
      <c r="J281" s="181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355</v>
      </c>
      <c r="B282" s="302">
        <f>'Ind T6'!L345</f>
        <v>31.159999999247656</v>
      </c>
      <c r="C282" s="299" t="str">
        <f>CONCATENATE("(",ROUND((B282/$H284)*100,1),")")</f>
        <v>(66.7)</v>
      </c>
      <c r="D282" s="302">
        <f>'Ind T6'!M345</f>
        <v>1.7789999999876962</v>
      </c>
      <c r="E282" s="299" t="str">
        <f>CONCATENATE("(",ROUND((D282/$H284)*100,1),")")</f>
        <v>(3.8)</v>
      </c>
      <c r="F282" s="302">
        <f>'Ind T6'!N345</f>
        <v>1.5379999999937977</v>
      </c>
      <c r="G282" s="299" t="str">
        <f>CONCATENATE("(",ROUND((F282/$H284)*100,1),")")</f>
        <v>(3.3)</v>
      </c>
      <c r="H282" s="302">
        <f>SUM(B282,D282,F282)</f>
        <v>34.47699999922915</v>
      </c>
      <c r="I282" s="299" t="str">
        <f>CONCATENATE("(",ROUND((H282/$H284)*100,1),")")</f>
        <v>(73.8)</v>
      </c>
      <c r="K282" s="302">
        <f>B287-B282</f>
        <v>2.1270000002419174</v>
      </c>
      <c r="L282" s="302">
        <f>D287-D282</f>
        <v>0.15000000000385394</v>
      </c>
      <c r="M282" s="302">
        <f>F287-F282</f>
        <v>0.15500000004407011</v>
      </c>
      <c r="N282" s="302">
        <f>SUM(K282:M282)</f>
        <v>2.4320000002898414</v>
      </c>
    </row>
    <row r="283" spans="1:14" x14ac:dyDescent="0.2">
      <c r="A283" s="282" t="s">
        <v>356</v>
      </c>
      <c r="B283" s="302">
        <f>'Ind T6'!L344</f>
        <v>8.1039999998747376</v>
      </c>
      <c r="C283" s="299" t="str">
        <f>CONCATENATE("(",ROUND((B283/$H284)*100,1),")")</f>
        <v>(17.3)</v>
      </c>
      <c r="D283" s="302">
        <f>'Ind T6'!M344</f>
        <v>3.4709999999676553</v>
      </c>
      <c r="E283" s="299" t="str">
        <f>CONCATENATE("(",ROUND((D283/$H284)*100,1),")")</f>
        <v>(7.4)</v>
      </c>
      <c r="F283" s="302">
        <f>'Ind T6'!N344</f>
        <v>0.66599999998162207</v>
      </c>
      <c r="G283" s="299" t="str">
        <f>CONCATENATE("(",ROUND((F283/$H284)*100,1),")")</f>
        <v>(1.4)</v>
      </c>
      <c r="H283" s="302">
        <f t="shared" ref="H283" si="216">SUM(B283,D283,F283)</f>
        <v>12.240999999824016</v>
      </c>
      <c r="I283" s="299" t="str">
        <f>CONCATENATE("(",ROUND((H283/$H284)*100,1),")")</f>
        <v>(26.2)</v>
      </c>
      <c r="K283" s="302">
        <f t="shared" ref="K283:K284" si="217">B288-B283</f>
        <v>0.82000000034652309</v>
      </c>
      <c r="L283" s="302">
        <f t="shared" ref="L283:L284" si="218">D288-D283</f>
        <v>0.21400000006067676</v>
      </c>
      <c r="M283" s="302">
        <f t="shared" ref="M283:M284" si="219">F288-F283</f>
        <v>6.3000000024889924E-2</v>
      </c>
      <c r="N283" s="302">
        <f t="shared" ref="N283:N284" si="220">SUM(K283:M283)</f>
        <v>1.0970000004320899</v>
      </c>
    </row>
    <row r="284" spans="1:14" x14ac:dyDescent="0.2">
      <c r="A284" s="282" t="s">
        <v>354</v>
      </c>
      <c r="B284" s="302">
        <f>SUM(B282:B283)</f>
        <v>39.26399999912239</v>
      </c>
      <c r="C284" s="299" t="str">
        <f>CONCATENATE("(",ROUND((B284/$H284)*100,1),")")</f>
        <v>(84)</v>
      </c>
      <c r="D284" s="302">
        <f>SUM(D282:D283)</f>
        <v>5.2499999999553513</v>
      </c>
      <c r="E284" s="299" t="str">
        <f>CONCATENATE("(",ROUND((D284/$H284)*100,1),")")</f>
        <v>(11.2)</v>
      </c>
      <c r="F284" s="302">
        <f>SUM(F282:F283)</f>
        <v>2.2039999999754198</v>
      </c>
      <c r="G284" s="299" t="str">
        <f>CONCATENATE("(",ROUND((F284/$H284)*100,1),")")</f>
        <v>(4.7)</v>
      </c>
      <c r="H284" s="302">
        <f>SUM(H282:H283)</f>
        <v>46.717999999053163</v>
      </c>
      <c r="I284" s="299" t="str">
        <f>CONCATENATE("(",ROUND((H284/$H284)*100,1),")")</f>
        <v>(100)</v>
      </c>
      <c r="K284" s="302">
        <f t="shared" si="217"/>
        <v>2.9470000005884458</v>
      </c>
      <c r="L284" s="302">
        <f t="shared" si="218"/>
        <v>0.36400000006453048</v>
      </c>
      <c r="M284" s="302">
        <f t="shared" si="219"/>
        <v>0.21800000006895992</v>
      </c>
      <c r="N284" s="302">
        <f t="shared" si="220"/>
        <v>3.5290000007219362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355</v>
      </c>
      <c r="B287" s="302">
        <f>'Ind T6'!Q345</f>
        <v>33.286999999489574</v>
      </c>
      <c r="C287" s="299" t="str">
        <f>CONCATENATE("(",ROUND((B287/$H289)*100,1),")")</f>
        <v>(66.2)</v>
      </c>
      <c r="D287" s="302">
        <f>'Ind T6'!R345</f>
        <v>1.9289999999915501</v>
      </c>
      <c r="E287" s="299" t="str">
        <f>CONCATENATE("(",ROUND((D287/$H289)*100,1),")")</f>
        <v>(3.8)</v>
      </c>
      <c r="F287" s="302">
        <f>'Ind T6'!S345</f>
        <v>1.6930000000378678</v>
      </c>
      <c r="G287" s="299" t="str">
        <f>CONCATENATE("(",ROUND((F287/$H289)*100,1),")")</f>
        <v>(3.4)</v>
      </c>
      <c r="H287" s="302">
        <f>SUM(B287,D287,F287)</f>
        <v>36.908999999518997</v>
      </c>
      <c r="I287" s="299" t="str">
        <f>CONCATENATE("(",ROUND((H287/$H289)*100,1),")")</f>
        <v>(73.5)</v>
      </c>
      <c r="K287" s="302">
        <f>B292-B287</f>
        <v>2.0299999997705171</v>
      </c>
      <c r="L287" s="302">
        <f>D292-D287</f>
        <v>0.15599999999799596</v>
      </c>
      <c r="M287" s="302">
        <f>F292-F287</f>
        <v>0.16399999997606662</v>
      </c>
      <c r="N287" s="302">
        <f>SUM(K287:M287)</f>
        <v>2.34999999974458</v>
      </c>
    </row>
    <row r="288" spans="1:14" x14ac:dyDescent="0.2">
      <c r="A288" s="282" t="s">
        <v>356</v>
      </c>
      <c r="B288" s="302">
        <f>'Ind T6'!Q344</f>
        <v>8.9240000002212607</v>
      </c>
      <c r="C288" s="299" t="str">
        <f>CONCATENATE("(",ROUND((B288/$H289)*100,1),")")</f>
        <v>(17.8)</v>
      </c>
      <c r="D288" s="302">
        <f>'Ind T6'!R344</f>
        <v>3.6850000000283321</v>
      </c>
      <c r="E288" s="299" t="str">
        <f>CONCATENATE("(",ROUND((D288/$H289)*100,1),")")</f>
        <v>(7.3)</v>
      </c>
      <c r="F288" s="302">
        <f>'Ind T6'!S344</f>
        <v>0.72900000000651199</v>
      </c>
      <c r="G288" s="299" t="str">
        <f>CONCATENATE("(",ROUND((F288/$H289)*100,1),")")</f>
        <v>(1.5)</v>
      </c>
      <c r="H288" s="302">
        <f t="shared" ref="H288" si="221">SUM(B288,D288,F288)</f>
        <v>13.338000000256104</v>
      </c>
      <c r="I288" s="299" t="str">
        <f>CONCATENATE("(",ROUND((H288/$H289)*100,1),")")</f>
        <v>(26.5)</v>
      </c>
      <c r="K288" s="302">
        <f t="shared" ref="K288:K289" si="222">B293-B288</f>
        <v>1.0589999997847936</v>
      </c>
      <c r="L288" s="302">
        <f t="shared" ref="L288:L289" si="223">D293-D288</f>
        <v>0.13099999999128187</v>
      </c>
      <c r="M288" s="302">
        <f t="shared" ref="M288:M289" si="224">F293-F288</f>
        <v>5.4999999999402527E-2</v>
      </c>
      <c r="N288" s="302">
        <f t="shared" ref="N288:N289" si="225">SUM(K288:M288)</f>
        <v>1.2449999997754779</v>
      </c>
    </row>
    <row r="289" spans="1:14" x14ac:dyDescent="0.2">
      <c r="A289" s="282" t="s">
        <v>354</v>
      </c>
      <c r="B289" s="302">
        <f>SUM(B287:B288)</f>
        <v>42.210999999710836</v>
      </c>
      <c r="C289" s="299" t="str">
        <f>CONCATENATE("(",ROUND((B289/$H289)*100,1),")")</f>
        <v>(84)</v>
      </c>
      <c r="D289" s="302">
        <f>SUM(D287:D288)</f>
        <v>5.6140000000198818</v>
      </c>
      <c r="E289" s="299" t="str">
        <f>CONCATENATE("(",ROUND((D289/$H289)*100,1),")")</f>
        <v>(11.2)</v>
      </c>
      <c r="F289" s="302">
        <f>SUM(F287:F288)</f>
        <v>2.4220000000443798</v>
      </c>
      <c r="G289" s="299" t="str">
        <f>CONCATENATE("(",ROUND((F289/$H289)*100,1),")")</f>
        <v>(4.8)</v>
      </c>
      <c r="H289" s="302">
        <f>SUM(H287:H288)</f>
        <v>50.246999999775099</v>
      </c>
      <c r="I289" s="299" t="str">
        <f>CONCATENATE("(",ROUND((H289/$H289)*100,1),")")</f>
        <v>(100)</v>
      </c>
      <c r="K289" s="302">
        <f t="shared" si="222"/>
        <v>3.0889999995553126</v>
      </c>
      <c r="L289" s="302">
        <f t="shared" si="223"/>
        <v>0.28699999998927872</v>
      </c>
      <c r="M289" s="302">
        <f t="shared" si="224"/>
        <v>0.21899999997546926</v>
      </c>
      <c r="N289" s="302">
        <f t="shared" si="225"/>
        <v>3.5949999995200606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355</v>
      </c>
      <c r="B292" s="302">
        <f>'Ind T6'!V345</f>
        <v>35.316999999260091</v>
      </c>
      <c r="C292" s="299" t="str">
        <f>CONCATENATE("(",ROUND((B292/$H294)*100,1),")")</f>
        <v>(65.6)</v>
      </c>
      <c r="D292" s="302">
        <f>'Ind T6'!W345</f>
        <v>2.0849999999895461</v>
      </c>
      <c r="E292" s="299" t="str">
        <f>CONCATENATE("(",ROUND((D292/$H294)*100,1),")")</f>
        <v>(3.9)</v>
      </c>
      <c r="F292" s="302">
        <f>'Ind T6'!X345</f>
        <v>1.8570000000139344</v>
      </c>
      <c r="G292" s="299" t="str">
        <f>CONCATENATE("(",ROUND((F292/$H294)*100,1),")")</f>
        <v>(3.4)</v>
      </c>
      <c r="H292" s="302">
        <f>SUM(B292,D292,F292)</f>
        <v>39.258999999263573</v>
      </c>
      <c r="I292" s="299" t="str">
        <f>CONCATENATE("(",ROUND((H292/$H294)*100,1),")")</f>
        <v>(72.9)</v>
      </c>
      <c r="K292" s="302">
        <f>B292-B282</f>
        <v>4.1570000000124345</v>
      </c>
      <c r="L292" s="302">
        <f>D292-D282</f>
        <v>0.3060000000018499</v>
      </c>
      <c r="M292" s="302">
        <f>F292-F282</f>
        <v>0.31900000002013673</v>
      </c>
      <c r="N292" s="302">
        <f>SUM(K292:M292)</f>
        <v>4.7820000000344214</v>
      </c>
    </row>
    <row r="293" spans="1:14" x14ac:dyDescent="0.2">
      <c r="A293" s="282" t="s">
        <v>356</v>
      </c>
      <c r="B293" s="302">
        <f>'Ind T6'!V344</f>
        <v>9.9830000000060544</v>
      </c>
      <c r="C293" s="299" t="str">
        <f>CONCATENATE("(",ROUND((B293/$H294)*100,1),")")</f>
        <v>(18.5)</v>
      </c>
      <c r="D293" s="302">
        <f>'Ind T6'!W344</f>
        <v>3.8160000000196139</v>
      </c>
      <c r="E293" s="299" t="str">
        <f>CONCATENATE("(",ROUND((D293/$H294)*100,1),")")</f>
        <v>(7.1)</v>
      </c>
      <c r="F293" s="302">
        <f>'Ind T6'!X344</f>
        <v>0.78400000000591452</v>
      </c>
      <c r="G293" s="299" t="str">
        <f>CONCATENATE("(",ROUND((F293/$H294)*100,1),")")</f>
        <v>(1.5)</v>
      </c>
      <c r="H293" s="302">
        <f t="shared" ref="H293" si="226">SUM(B293,D293,F293)</f>
        <v>14.583000000031582</v>
      </c>
      <c r="I293" s="299" t="str">
        <f>CONCATENATE("(",ROUND((H293/$H294)*100,1),")")</f>
        <v>(27.1)</v>
      </c>
      <c r="K293" s="302">
        <f t="shared" ref="K293:K294" si="227">B293-B283</f>
        <v>1.8790000001313167</v>
      </c>
      <c r="L293" s="302">
        <f t="shared" ref="L293:L294" si="228">D293-D283</f>
        <v>0.34500000005195863</v>
      </c>
      <c r="M293" s="302">
        <f t="shared" ref="M293:M294" si="229">F293-F283</f>
        <v>0.11800000002429245</v>
      </c>
      <c r="N293" s="302">
        <f t="shared" ref="N293:N294" si="230">SUM(K293:M293)</f>
        <v>2.3420000002075678</v>
      </c>
    </row>
    <row r="294" spans="1:14" x14ac:dyDescent="0.2">
      <c r="A294" s="282" t="s">
        <v>354</v>
      </c>
      <c r="B294" s="302">
        <f>SUM(B292:B293)</f>
        <v>45.299999999266149</v>
      </c>
      <c r="C294" s="299" t="str">
        <f>CONCATENATE("(",ROUND((B294/$H294)*100,1),")")</f>
        <v>(84.1)</v>
      </c>
      <c r="D294" s="302">
        <f>SUM(D292:D293)</f>
        <v>5.9010000000091605</v>
      </c>
      <c r="E294" s="299" t="str">
        <f>CONCATENATE("(",ROUND((D294/$H294)*100,1),")")</f>
        <v>(11)</v>
      </c>
      <c r="F294" s="302">
        <f>SUM(F292:F293)</f>
        <v>2.641000000019849</v>
      </c>
      <c r="G294" s="299" t="str">
        <f>CONCATENATE("(",ROUND((F294/$H294)*100,1),")")</f>
        <v>(4.9)</v>
      </c>
      <c r="H294" s="302">
        <f>SUM(H292:H293)</f>
        <v>53.841999999295155</v>
      </c>
      <c r="I294" s="299" t="str">
        <f>CONCATENATE("(",ROUND((H294/$H294)*100,1),")")</f>
        <v>(100)</v>
      </c>
      <c r="K294" s="302">
        <f t="shared" si="227"/>
        <v>6.0360000001437584</v>
      </c>
      <c r="L294" s="302">
        <f t="shared" si="228"/>
        <v>0.6510000000538092</v>
      </c>
      <c r="M294" s="302">
        <f t="shared" si="229"/>
        <v>0.43700000004442918</v>
      </c>
      <c r="N294" s="302">
        <f t="shared" si="230"/>
        <v>7.1240000002419972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379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377</v>
      </c>
    </row>
    <row r="301" spans="1:14" x14ac:dyDescent="0.2">
      <c r="A301" s="181" t="s">
        <v>378</v>
      </c>
      <c r="B301" s="369" t="s">
        <v>376</v>
      </c>
      <c r="C301" s="369"/>
      <c r="D301" s="369" t="s">
        <v>375</v>
      </c>
      <c r="E301" s="369"/>
      <c r="F301" s="369" t="s">
        <v>374</v>
      </c>
      <c r="G301" s="369"/>
      <c r="H301" s="369" t="s">
        <v>32</v>
      </c>
      <c r="I301" s="369"/>
      <c r="J301" s="181"/>
      <c r="K301" s="297" t="s">
        <v>339</v>
      </c>
      <c r="L301" s="297" t="s">
        <v>341</v>
      </c>
      <c r="M301" s="297" t="s">
        <v>337</v>
      </c>
      <c r="N301" s="297" t="s">
        <v>32</v>
      </c>
    </row>
    <row r="302" spans="1:14" x14ac:dyDescent="0.2">
      <c r="A302" s="292">
        <f>$A$8</f>
        <v>2020</v>
      </c>
      <c r="B302" s="287" t="s">
        <v>60</v>
      </c>
      <c r="C302" s="19" t="s">
        <v>373</v>
      </c>
      <c r="D302" s="287" t="s">
        <v>60</v>
      </c>
      <c r="E302" s="19" t="s">
        <v>373</v>
      </c>
      <c r="F302" s="287" t="s">
        <v>60</v>
      </c>
      <c r="G302" s="19" t="s">
        <v>373</v>
      </c>
      <c r="H302" s="287" t="s">
        <v>60</v>
      </c>
      <c r="I302" s="19" t="s">
        <v>373</v>
      </c>
      <c r="J302" s="181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355</v>
      </c>
      <c r="B303" s="302">
        <f>'Ind T6'!L370</f>
        <v>18.483999999632339</v>
      </c>
      <c r="C303" s="299" t="str">
        <f>CONCATENATE("(",ROUND((B303/$H305)*100,1),")")</f>
        <v>(41.3)</v>
      </c>
      <c r="D303" s="302">
        <f>'Ind T6'!M370</f>
        <v>0.92700000000157878</v>
      </c>
      <c r="E303" s="299" t="str">
        <f>CONCATENATE("(",ROUND((D303/$H305)*100,1),")")</f>
        <v>(2.1)</v>
      </c>
      <c r="F303" s="302">
        <f>'Ind T6'!N370</f>
        <v>2.6890000000134893</v>
      </c>
      <c r="G303" s="299" t="str">
        <f>CONCATENATE("(",ROUND((F303/$H305)*100,1),")")</f>
        <v>(6)</v>
      </c>
      <c r="H303" s="302">
        <f>SUM(B303,D303,F303)</f>
        <v>22.099999999647405</v>
      </c>
      <c r="I303" s="299" t="str">
        <f>CONCATENATE("(",ROUND((H303/$H305)*100,1),")")</f>
        <v>(49.4)</v>
      </c>
      <c r="K303" s="302">
        <f>B308-B303</f>
        <v>-0.29299999983545177</v>
      </c>
      <c r="L303" s="302">
        <f>D308-D303</f>
        <v>2.4000000002266764E-2</v>
      </c>
      <c r="M303" s="302">
        <f>F308-F303</f>
        <v>9.000000009195519E-2</v>
      </c>
      <c r="N303" s="302">
        <f>SUM(K303:M303)</f>
        <v>-0.17899999974122982</v>
      </c>
    </row>
    <row r="304" spans="1:14" x14ac:dyDescent="0.2">
      <c r="A304" s="282" t="s">
        <v>356</v>
      </c>
      <c r="B304" s="302">
        <f>'Ind T6'!L369</f>
        <v>15.013999999738795</v>
      </c>
      <c r="C304" s="299" t="str">
        <f>CONCATENATE("(",ROUND((B304/$H305)*100,1),")")</f>
        <v>(33.5)</v>
      </c>
      <c r="D304" s="302">
        <f>'Ind T6'!M369</f>
        <v>6.1430000000435827</v>
      </c>
      <c r="E304" s="299" t="str">
        <f>CONCATENATE("(",ROUND((D304/$H305)*100,1),")")</f>
        <v>(13.7)</v>
      </c>
      <c r="F304" s="302">
        <f>'Ind T6'!N369</f>
        <v>1.5109999999759267</v>
      </c>
      <c r="G304" s="299" t="str">
        <f>CONCATENATE("(",ROUND((F304/$H305)*100,1),")")</f>
        <v>(3.4)</v>
      </c>
      <c r="H304" s="302">
        <f t="shared" ref="H304" si="231">SUM(B304,D304,F304)</f>
        <v>22.667999999758305</v>
      </c>
      <c r="I304" s="299" t="str">
        <f>CONCATENATE("(",ROUND((H304/$H305)*100,1),")")</f>
        <v>(50.6)</v>
      </c>
      <c r="K304" s="302">
        <f t="shared" ref="K304:K305" si="232">B309-B304</f>
        <v>-0.30199999926048271</v>
      </c>
      <c r="L304" s="302">
        <f t="shared" ref="L304:L305" si="233">D309-D304</f>
        <v>-0.18699999997354766</v>
      </c>
      <c r="M304" s="302">
        <f t="shared" ref="M304:M305" si="234">F309-F304</f>
        <v>3.7000000027653357E-2</v>
      </c>
      <c r="N304" s="302">
        <f t="shared" ref="N304:N305" si="235">SUM(K304:M304)</f>
        <v>-0.45199999920637701</v>
      </c>
    </row>
    <row r="305" spans="1:14" x14ac:dyDescent="0.2">
      <c r="A305" s="282" t="s">
        <v>354</v>
      </c>
      <c r="B305" s="302">
        <f>SUM(B303:B304)</f>
        <v>33.497999999371132</v>
      </c>
      <c r="C305" s="299" t="str">
        <f>CONCATENATE("(",ROUND((B305/$H305)*100,1),")")</f>
        <v>(74.8)</v>
      </c>
      <c r="D305" s="302">
        <f>SUM(D303:D304)</f>
        <v>7.0700000000451615</v>
      </c>
      <c r="E305" s="299" t="str">
        <f>CONCATENATE("(",ROUND((D305/$H305)*100,1),")")</f>
        <v>(15.8)</v>
      </c>
      <c r="F305" s="302">
        <f>SUM(F303:F304)</f>
        <v>4.1999999999894158</v>
      </c>
      <c r="G305" s="299" t="str">
        <f>CONCATENATE("(",ROUND((F305/$H305)*100,1),")")</f>
        <v>(9.4)</v>
      </c>
      <c r="H305" s="302">
        <f>SUM(H303:H304)</f>
        <v>44.76799999940571</v>
      </c>
      <c r="I305" s="299" t="str">
        <f>CONCATENATE("(",ROUND((H305/$H305)*100,1),")")</f>
        <v>(100)</v>
      </c>
      <c r="K305" s="302">
        <f t="shared" si="232"/>
        <v>-0.59499999909593271</v>
      </c>
      <c r="L305" s="302">
        <f t="shared" si="233"/>
        <v>-0.16299999997128101</v>
      </c>
      <c r="M305" s="302">
        <f t="shared" si="234"/>
        <v>0.12700000011960899</v>
      </c>
      <c r="N305" s="302">
        <f t="shared" si="235"/>
        <v>-0.63099999894760472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355</v>
      </c>
      <c r="B308" s="302">
        <f>'Ind T6'!Q370</f>
        <v>18.190999999796887</v>
      </c>
      <c r="C308" s="299" t="str">
        <f>CONCATENATE("(",ROUND((B308/$H310)*100,1),")")</f>
        <v>(41.2)</v>
      </c>
      <c r="D308" s="302">
        <f>'Ind T6'!R370</f>
        <v>0.95100000000384555</v>
      </c>
      <c r="E308" s="299" t="str">
        <f>CONCATENATE("(",ROUND((D308/$H310)*100,1),")")</f>
        <v>(2.2)</v>
      </c>
      <c r="F308" s="302">
        <f>'Ind T6'!S370</f>
        <v>2.7790000001054445</v>
      </c>
      <c r="G308" s="299" t="str">
        <f>CONCATENATE("(",ROUND((F308/$H310)*100,1),")")</f>
        <v>(6.3)</v>
      </c>
      <c r="H308" s="302">
        <f>SUM(B308,D308,F308)</f>
        <v>21.920999999906176</v>
      </c>
      <c r="I308" s="299" t="str">
        <f>CONCATENATE("(",ROUND((H308/$H310)*100,1),")")</f>
        <v>(49.7)</v>
      </c>
      <c r="K308" s="302">
        <f>B313-B308</f>
        <v>-1.1190000000750011</v>
      </c>
      <c r="L308" s="302">
        <f>D313-D308</f>
        <v>2.0000000050698352E-3</v>
      </c>
      <c r="M308" s="302">
        <f>F313-F308</f>
        <v>-6.500000003609685E-2</v>
      </c>
      <c r="N308" s="302">
        <f>SUM(K308:M308)</f>
        <v>-1.182000000106028</v>
      </c>
    </row>
    <row r="309" spans="1:14" x14ac:dyDescent="0.2">
      <c r="A309" s="282" t="s">
        <v>356</v>
      </c>
      <c r="B309" s="302">
        <f>'Ind T6'!Q369</f>
        <v>14.712000000478312</v>
      </c>
      <c r="C309" s="299" t="str">
        <f>CONCATENATE("(",ROUND((B309/$H310)*100,1),")")</f>
        <v>(33.3)</v>
      </c>
      <c r="D309" s="302">
        <f>'Ind T6'!R369</f>
        <v>5.956000000070035</v>
      </c>
      <c r="E309" s="299" t="str">
        <f>CONCATENATE("(",ROUND((D309/$H310)*100,1),")")</f>
        <v>(13.5)</v>
      </c>
      <c r="F309" s="302">
        <f>'Ind T6'!S369</f>
        <v>1.5480000000035801</v>
      </c>
      <c r="G309" s="299" t="str">
        <f>CONCATENATE("(",ROUND((F309/$H310)*100,1),")")</f>
        <v>(3.5)</v>
      </c>
      <c r="H309" s="302">
        <f t="shared" ref="H309" si="236">SUM(B309,D309,F309)</f>
        <v>22.216000000551926</v>
      </c>
      <c r="I309" s="299" t="str">
        <f>CONCATENATE("(",ROUND((H309/$H310)*100,1),")")</f>
        <v>(50.3)</v>
      </c>
      <c r="K309" s="302">
        <f t="shared" ref="K309:K310" si="237">B314-B309</f>
        <v>-0.94800000035615284</v>
      </c>
      <c r="L309" s="302">
        <f t="shared" ref="L309:L310" si="238">D314-D309</f>
        <v>-0.436000000061191</v>
      </c>
      <c r="M309" s="302">
        <f t="shared" ref="M309:M310" si="239">F314-F309</f>
        <v>-7.3999999994778909E-2</v>
      </c>
      <c r="N309" s="302">
        <f t="shared" ref="N309:N310" si="240">SUM(K309:M309)</f>
        <v>-1.4580000004121227</v>
      </c>
    </row>
    <row r="310" spans="1:14" x14ac:dyDescent="0.2">
      <c r="A310" s="282" t="s">
        <v>354</v>
      </c>
      <c r="B310" s="302">
        <f>SUM(B308:B309)</f>
        <v>32.903000000275199</v>
      </c>
      <c r="C310" s="299" t="str">
        <f>CONCATENATE("(",ROUND((B310/$H310)*100,1),")")</f>
        <v>(74.5)</v>
      </c>
      <c r="D310" s="302">
        <f>SUM(D308:D309)</f>
        <v>6.9070000000738805</v>
      </c>
      <c r="E310" s="299" t="str">
        <f>CONCATENATE("(",ROUND((D310/$H310)*100,1),")")</f>
        <v>(15.6)</v>
      </c>
      <c r="F310" s="302">
        <f>SUM(F308:F309)</f>
        <v>4.3270000001090247</v>
      </c>
      <c r="G310" s="299" t="str">
        <f>CONCATENATE("(",ROUND((F310/$H310)*100,1),")")</f>
        <v>(9.8)</v>
      </c>
      <c r="H310" s="302">
        <f>SUM(H308:H309)</f>
        <v>44.137000000458102</v>
      </c>
      <c r="I310" s="299" t="str">
        <f>CONCATENATE("(",ROUND((H310/$H310)*100,1),")")</f>
        <v>(100)</v>
      </c>
      <c r="K310" s="302">
        <f t="shared" si="237"/>
        <v>-2.0670000004311539</v>
      </c>
      <c r="L310" s="302">
        <f t="shared" si="238"/>
        <v>-0.43400000005612149</v>
      </c>
      <c r="M310" s="302">
        <f t="shared" si="239"/>
        <v>-0.13900000003087598</v>
      </c>
      <c r="N310" s="302">
        <f t="shared" si="240"/>
        <v>-2.6400000005181514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355</v>
      </c>
      <c r="B313" s="302">
        <f>'Ind T6'!V370</f>
        <v>17.071999999721886</v>
      </c>
      <c r="C313" s="299" t="str">
        <f>CONCATENATE("(",ROUND((B313/$H315)*100,1),")")</f>
        <v>(41.1)</v>
      </c>
      <c r="D313" s="302">
        <f>'Ind T6'!W370</f>
        <v>0.95300000000891538</v>
      </c>
      <c r="E313" s="299" t="str">
        <f>CONCATENATE("(",ROUND((D313/$H315)*100,1),")")</f>
        <v>(2.3)</v>
      </c>
      <c r="F313" s="302">
        <f>'Ind T6'!X370</f>
        <v>2.7140000000693476</v>
      </c>
      <c r="G313" s="299" t="str">
        <f>CONCATENATE("(",ROUND((F313/$H315)*100,1),")")</f>
        <v>(6.5)</v>
      </c>
      <c r="H313" s="302">
        <f>SUM(B313,D313,F313)</f>
        <v>20.73899999980015</v>
      </c>
      <c r="I313" s="299" t="str">
        <f>CONCATENATE("(",ROUND((H313/$H315)*100,1),")")</f>
        <v>(50)</v>
      </c>
      <c r="K313" s="302">
        <f>B313-B303</f>
        <v>-1.4119999999104529</v>
      </c>
      <c r="L313" s="302">
        <f>D313-D303</f>
        <v>2.6000000007336599E-2</v>
      </c>
      <c r="M313" s="302">
        <f>F313-F303</f>
        <v>2.500000005585834E-2</v>
      </c>
      <c r="N313" s="302">
        <f>SUM(K313:M313)</f>
        <v>-1.3609999998472579</v>
      </c>
    </row>
    <row r="314" spans="1:14" x14ac:dyDescent="0.2">
      <c r="A314" s="282" t="s">
        <v>356</v>
      </c>
      <c r="B314" s="302">
        <f>'Ind T6'!V369</f>
        <v>13.764000000122159</v>
      </c>
      <c r="C314" s="299" t="str">
        <f>CONCATENATE("(",ROUND((B314/$H315)*100,1),")")</f>
        <v>(33.2)</v>
      </c>
      <c r="D314" s="302">
        <f>'Ind T6'!W369</f>
        <v>5.5200000000088441</v>
      </c>
      <c r="E314" s="299" t="str">
        <f>CONCATENATE("(",ROUND((D314/$H315)*100,1),")")</f>
        <v>(13.3)</v>
      </c>
      <c r="F314" s="302">
        <f>'Ind T6'!X369</f>
        <v>1.4740000000088012</v>
      </c>
      <c r="G314" s="299" t="str">
        <f>CONCATENATE("(",ROUND((F314/$H315)*100,1),")")</f>
        <v>(3.6)</v>
      </c>
      <c r="H314" s="302">
        <f t="shared" ref="H314" si="241">SUM(B314,D314,F314)</f>
        <v>20.758000000139802</v>
      </c>
      <c r="I314" s="299" t="str">
        <f>CONCATENATE("(",ROUND((H314/$H315)*100,1),")")</f>
        <v>(50)</v>
      </c>
      <c r="K314" s="302">
        <f t="shared" ref="K314:K315" si="242">B314-B304</f>
        <v>-1.2499999996166355</v>
      </c>
      <c r="L314" s="302">
        <f t="shared" ref="L314:L315" si="243">D314-D304</f>
        <v>-0.62300000003473865</v>
      </c>
      <c r="M314" s="302">
        <f t="shared" ref="M314:M315" si="244">F314-F304</f>
        <v>-3.6999999967125552E-2</v>
      </c>
      <c r="N314" s="302">
        <f t="shared" ref="N314:N315" si="245">SUM(K314:M314)</f>
        <v>-1.9099999996184998</v>
      </c>
    </row>
    <row r="315" spans="1:14" x14ac:dyDescent="0.2">
      <c r="A315" s="282" t="s">
        <v>354</v>
      </c>
      <c r="B315" s="302">
        <f>SUM(B313:B314)</f>
        <v>30.835999999844045</v>
      </c>
      <c r="C315" s="299" t="str">
        <f>CONCATENATE("(",ROUND((B315/$H315)*100,1),")")</f>
        <v>(74.3)</v>
      </c>
      <c r="D315" s="302">
        <f>SUM(D313:D314)</f>
        <v>6.473000000017759</v>
      </c>
      <c r="E315" s="299" t="str">
        <f>CONCATENATE("(",ROUND((D315/$H315)*100,1),")")</f>
        <v>(15.6)</v>
      </c>
      <c r="F315" s="302">
        <f>SUM(F313:F314)</f>
        <v>4.1880000000781488</v>
      </c>
      <c r="G315" s="299" t="str">
        <f>CONCATENATE("(",ROUND((F315/$H315)*100,1),")")</f>
        <v>(10.1)</v>
      </c>
      <c r="H315" s="302">
        <f>SUM(H313:H314)</f>
        <v>41.496999999939952</v>
      </c>
      <c r="I315" s="299" t="str">
        <f>CONCATENATE("(",ROUND((H315/$H315)*100,1),")")</f>
        <v>(100)</v>
      </c>
      <c r="K315" s="302">
        <f t="shared" si="242"/>
        <v>-2.6619999995270867</v>
      </c>
      <c r="L315" s="302">
        <f t="shared" si="243"/>
        <v>-0.5970000000274025</v>
      </c>
      <c r="M315" s="302">
        <f t="shared" si="244"/>
        <v>-1.199999991126699E-2</v>
      </c>
      <c r="N315" s="302">
        <f t="shared" si="245"/>
        <v>-3.2709999994657561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379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377</v>
      </c>
    </row>
    <row r="322" spans="1:14" x14ac:dyDescent="0.2">
      <c r="A322" s="181" t="s">
        <v>378</v>
      </c>
      <c r="B322" s="369" t="s">
        <v>376</v>
      </c>
      <c r="C322" s="369"/>
      <c r="D322" s="369" t="s">
        <v>375</v>
      </c>
      <c r="E322" s="369"/>
      <c r="F322" s="369" t="s">
        <v>374</v>
      </c>
      <c r="G322" s="369"/>
      <c r="H322" s="369" t="s">
        <v>32</v>
      </c>
      <c r="I322" s="369"/>
      <c r="J322" s="181"/>
      <c r="K322" s="297" t="s">
        <v>339</v>
      </c>
      <c r="L322" s="297" t="s">
        <v>341</v>
      </c>
      <c r="M322" s="297" t="s">
        <v>337</v>
      </c>
      <c r="N322" s="297" t="s">
        <v>32</v>
      </c>
    </row>
    <row r="323" spans="1:14" x14ac:dyDescent="0.2">
      <c r="A323" s="292">
        <f>$A$8</f>
        <v>2020</v>
      </c>
      <c r="B323" s="287" t="s">
        <v>60</v>
      </c>
      <c r="C323" s="19" t="s">
        <v>373</v>
      </c>
      <c r="D323" s="287" t="s">
        <v>60</v>
      </c>
      <c r="E323" s="19" t="s">
        <v>373</v>
      </c>
      <c r="F323" s="287" t="s">
        <v>60</v>
      </c>
      <c r="G323" s="19" t="s">
        <v>373</v>
      </c>
      <c r="H323" s="287" t="s">
        <v>60</v>
      </c>
      <c r="I323" s="19" t="s">
        <v>373</v>
      </c>
      <c r="J323" s="181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355</v>
      </c>
      <c r="B324" s="302">
        <f>'Ind T6'!L380</f>
        <v>13.254999999837809</v>
      </c>
      <c r="C324" s="299" t="str">
        <f>CONCATENATE("(",ROUND((B324/$H326)*100,1),")")</f>
        <v>(34.2)</v>
      </c>
      <c r="D324" s="302">
        <f>'Ind T6'!M380</f>
        <v>1.6439999999802992</v>
      </c>
      <c r="E324" s="299" t="str">
        <f>CONCATENATE("(",ROUND((D324/$H326)*100,1),")")</f>
        <v>(4.2)</v>
      </c>
      <c r="F324" s="302">
        <f>'Ind T6'!N380</f>
        <v>5.779000000018728</v>
      </c>
      <c r="G324" s="299" t="str">
        <f>CONCATENATE("(",ROUND((F324/$H326)*100,1),")")</f>
        <v>(14.9)</v>
      </c>
      <c r="H324" s="302">
        <f>SUM(B324,D324,F324)</f>
        <v>20.677999999836835</v>
      </c>
      <c r="I324" s="299" t="str">
        <f>CONCATENATE("(",ROUND((H324/$H326)*100,1),")")</f>
        <v>(53.3)</v>
      </c>
      <c r="K324" s="302">
        <f>B329-B324</f>
        <v>-0.81699999989754524</v>
      </c>
      <c r="L324" s="302">
        <f>D329-D324</f>
        <v>-9.6999999989838326E-2</v>
      </c>
      <c r="M324" s="302">
        <f>F329-F324</f>
        <v>-7.0999999928655022E-2</v>
      </c>
      <c r="N324" s="302">
        <f>SUM(K324:M324)</f>
        <v>-0.98499999981603859</v>
      </c>
    </row>
    <row r="325" spans="1:14" x14ac:dyDescent="0.2">
      <c r="A325" s="282" t="s">
        <v>356</v>
      </c>
      <c r="B325" s="302">
        <f>'Ind T6'!L379</f>
        <v>11.928999999899716</v>
      </c>
      <c r="C325" s="299" t="str">
        <f>CONCATENATE("(",ROUND((B325/$H326)*100,1),")")</f>
        <v>(30.8)</v>
      </c>
      <c r="D325" s="302">
        <f>'Ind T6'!M379</f>
        <v>5.4680000000418625</v>
      </c>
      <c r="E325" s="299" t="str">
        <f>CONCATENATE("(",ROUND((D325/$H326)*100,1),")")</f>
        <v>(14.1)</v>
      </c>
      <c r="F325" s="302">
        <f>'Ind T6'!N379</f>
        <v>0.70399999998376639</v>
      </c>
      <c r="G325" s="299" t="str">
        <f>CONCATENATE("(",ROUND((F325/$H326)*100,1),")")</f>
        <v>(1.8)</v>
      </c>
      <c r="H325" s="302">
        <f t="shared" ref="H325" si="246">SUM(B325,D325,F325)</f>
        <v>18.100999999925342</v>
      </c>
      <c r="I325" s="299" t="str">
        <f>CONCATENATE("(",ROUND((H325/$H326)*100,1),")")</f>
        <v>(46.7)</v>
      </c>
      <c r="K325" s="302">
        <f t="shared" ref="K325:K326" si="247">B330-B325</f>
        <v>-0.32899999964990201</v>
      </c>
      <c r="L325" s="302">
        <f t="shared" ref="L325:L326" si="248">D330-D325</f>
        <v>-0.55700000003263295</v>
      </c>
      <c r="M325" s="302">
        <f t="shared" ref="M325:M326" si="249">F330-F325</f>
        <v>-3.3999999982565421E-2</v>
      </c>
      <c r="N325" s="302">
        <f t="shared" ref="N325:N326" si="250">SUM(K325:M325)</f>
        <v>-0.91999999966510038</v>
      </c>
    </row>
    <row r="326" spans="1:14" x14ac:dyDescent="0.2">
      <c r="A326" s="282" t="s">
        <v>354</v>
      </c>
      <c r="B326" s="302">
        <f>SUM(B324:B325)</f>
        <v>25.183999999737523</v>
      </c>
      <c r="C326" s="299" t="str">
        <f>CONCATENATE("(",ROUND((B326/$H326)*100,1),")")</f>
        <v>(64.9)</v>
      </c>
      <c r="D326" s="302">
        <f>SUM(D324:D325)</f>
        <v>7.1120000000221619</v>
      </c>
      <c r="E326" s="299" t="str">
        <f>CONCATENATE("(",ROUND((D326/$H326)*100,1),")")</f>
        <v>(18.3)</v>
      </c>
      <c r="F326" s="302">
        <f>SUM(F324:F325)</f>
        <v>6.4830000000024945</v>
      </c>
      <c r="G326" s="299" t="str">
        <f>CONCATENATE("(",ROUND((F326/$H326)*100,1),")")</f>
        <v>(16.7)</v>
      </c>
      <c r="H326" s="302">
        <f>SUM(H324:H325)</f>
        <v>38.778999999762178</v>
      </c>
      <c r="I326" s="299" t="str">
        <f>CONCATENATE("(",ROUND((H326/$H326)*100,1),")")</f>
        <v>(100)</v>
      </c>
      <c r="K326" s="302">
        <f t="shared" si="247"/>
        <v>-1.1459999995474455</v>
      </c>
      <c r="L326" s="302">
        <f t="shared" si="248"/>
        <v>-0.65400000002247172</v>
      </c>
      <c r="M326" s="302">
        <f t="shared" si="249"/>
        <v>-0.10499999991122078</v>
      </c>
      <c r="N326" s="302">
        <f t="shared" si="250"/>
        <v>-1.904999999481138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355</v>
      </c>
      <c r="B329" s="302">
        <f>'Ind T6'!Q380</f>
        <v>12.437999999940264</v>
      </c>
      <c r="C329" s="299" t="str">
        <f>CONCATENATE("(",ROUND((B329/$H331)*100,1),")")</f>
        <v>(33.7)</v>
      </c>
      <c r="D329" s="302">
        <f>'Ind T6'!R380</f>
        <v>1.5469999999904609</v>
      </c>
      <c r="E329" s="299" t="str">
        <f>CONCATENATE("(",ROUND((D329/$H331)*100,1),")")</f>
        <v>(4.2)</v>
      </c>
      <c r="F329" s="302">
        <f>'Ind T6'!S380</f>
        <v>5.708000000090073</v>
      </c>
      <c r="G329" s="299" t="str">
        <f>CONCATENATE("(",ROUND((F329/$H331)*100,1),")")</f>
        <v>(15.5)</v>
      </c>
      <c r="H329" s="302">
        <f>SUM(B329,D329,F329)</f>
        <v>19.693000000020799</v>
      </c>
      <c r="I329" s="299" t="str">
        <f>CONCATENATE("(",ROUND((H329/$H331)*100,1),")")</f>
        <v>(53.4)</v>
      </c>
      <c r="K329" s="302">
        <f>B334-B329</f>
        <v>0.81899999997616924</v>
      </c>
      <c r="L329" s="302">
        <f>D334-D329</f>
        <v>0.13199999999252299</v>
      </c>
      <c r="M329" s="302">
        <f>F334-F329</f>
        <v>0.90199999999199054</v>
      </c>
      <c r="N329" s="302">
        <f>SUM(K329:M329)</f>
        <v>1.8529999999606828</v>
      </c>
    </row>
    <row r="330" spans="1:14" x14ac:dyDescent="0.2">
      <c r="A330" s="282" t="s">
        <v>356</v>
      </c>
      <c r="B330" s="302">
        <f>'Ind T6'!Q379</f>
        <v>11.600000000249814</v>
      </c>
      <c r="C330" s="299" t="str">
        <f>CONCATENATE("(",ROUND((B330/$H331)*100,1),")")</f>
        <v>(31.5)</v>
      </c>
      <c r="D330" s="302">
        <f>'Ind T6'!R379</f>
        <v>4.9110000000092295</v>
      </c>
      <c r="E330" s="299" t="str">
        <f>CONCATENATE("(",ROUND((D330/$H331)*100,1),")")</f>
        <v>(13.3)</v>
      </c>
      <c r="F330" s="302">
        <f>'Ind T6'!S379</f>
        <v>0.67000000000120097</v>
      </c>
      <c r="G330" s="299" t="str">
        <f>CONCATENATE("(",ROUND((F330/$H331)*100,1),")")</f>
        <v>(1.8)</v>
      </c>
      <c r="H330" s="302">
        <f t="shared" ref="H330" si="251">SUM(B330,D330,F330)</f>
        <v>17.181000000260248</v>
      </c>
      <c r="I330" s="299" t="str">
        <f>CONCATENATE("(",ROUND((H330/$H331)*100,1),")")</f>
        <v>(46.6)</v>
      </c>
      <c r="K330" s="302">
        <f t="shared" ref="K330:K331" si="252">B335-B330</f>
        <v>1.643999999754687</v>
      </c>
      <c r="L330" s="302">
        <f t="shared" ref="L330:L331" si="253">D335-D330</f>
        <v>-0.11700000005552358</v>
      </c>
      <c r="M330" s="302">
        <f t="shared" ref="M330:M331" si="254">F335-F330</f>
        <v>4.9999999999383982E-2</v>
      </c>
      <c r="N330" s="302">
        <f t="shared" ref="N330:N331" si="255">SUM(K330:M330)</f>
        <v>1.5769999996985473</v>
      </c>
    </row>
    <row r="331" spans="1:14" x14ac:dyDescent="0.2">
      <c r="A331" s="282" t="s">
        <v>354</v>
      </c>
      <c r="B331" s="302">
        <f>SUM(B329:B330)</f>
        <v>24.038000000190078</v>
      </c>
      <c r="C331" s="299" t="str">
        <f>CONCATENATE("(",ROUND((B331/$H331)*100,1),")")</f>
        <v>(65.2)</v>
      </c>
      <c r="D331" s="302">
        <f>SUM(D329:D330)</f>
        <v>6.4579999999996902</v>
      </c>
      <c r="E331" s="299" t="str">
        <f>CONCATENATE("(",ROUND((D331/$H331)*100,1),")")</f>
        <v>(17.5)</v>
      </c>
      <c r="F331" s="302">
        <f>SUM(F329:F330)</f>
        <v>6.3780000000912738</v>
      </c>
      <c r="G331" s="299" t="str">
        <f>CONCATENATE("(",ROUND((F331/$H331)*100,1),")")</f>
        <v>(17.3)</v>
      </c>
      <c r="H331" s="302">
        <f>SUM(H329:H330)</f>
        <v>36.874000000281043</v>
      </c>
      <c r="I331" s="299" t="str">
        <f>CONCATENATE("(",ROUND((H331/$H331)*100,1),")")</f>
        <v>(100)</v>
      </c>
      <c r="K331" s="302">
        <f t="shared" si="252"/>
        <v>2.462999999730858</v>
      </c>
      <c r="L331" s="302">
        <f t="shared" si="253"/>
        <v>1.4999999936999409E-2</v>
      </c>
      <c r="M331" s="302">
        <f t="shared" si="254"/>
        <v>0.95199999999137486</v>
      </c>
      <c r="N331" s="302">
        <f t="shared" si="255"/>
        <v>3.4299999996592323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355</v>
      </c>
      <c r="B334" s="302">
        <f>'Ind T6'!V380</f>
        <v>13.256999999916433</v>
      </c>
      <c r="C334" s="299" t="str">
        <f>CONCATENATE("(",ROUND((B334/$H336)*100,1),")")</f>
        <v>(32.9)</v>
      </c>
      <c r="D334" s="302">
        <f>'Ind T6'!W380</f>
        <v>1.6789999999829839</v>
      </c>
      <c r="E334" s="299" t="str">
        <f>CONCATENATE("(",ROUND((D334/$H336)*100,1),")")</f>
        <v>(4.2)</v>
      </c>
      <c r="F334" s="302">
        <f>'Ind T6'!X380</f>
        <v>6.6100000000820636</v>
      </c>
      <c r="G334" s="299" t="str">
        <f>CONCATENATE("(",ROUND((F334/$H336)*100,1),")")</f>
        <v>(16.4)</v>
      </c>
      <c r="H334" s="302">
        <f>SUM(B334,D334,F334)</f>
        <v>21.545999999981483</v>
      </c>
      <c r="I334" s="299" t="str">
        <f>CONCATENATE("(",ROUND((H334/$H336)*100,1),")")</f>
        <v>(53.5)</v>
      </c>
      <c r="K334" s="302">
        <f>B334-B324</f>
        <v>2.000000078623998E-3</v>
      </c>
      <c r="L334" s="302">
        <f>D334-D324</f>
        <v>3.5000000002684661E-2</v>
      </c>
      <c r="M334" s="302">
        <f>F334-F324</f>
        <v>0.83100000006333552</v>
      </c>
      <c r="N334" s="302">
        <f>SUM(K334:M334)</f>
        <v>0.86800000014464418</v>
      </c>
    </row>
    <row r="335" spans="1:14" x14ac:dyDescent="0.2">
      <c r="A335" s="282" t="s">
        <v>356</v>
      </c>
      <c r="B335" s="302">
        <f>'Ind T6'!V379</f>
        <v>13.244000000004501</v>
      </c>
      <c r="C335" s="299" t="str">
        <f>CONCATENATE("(",ROUND((B335/$H336)*100,1),")")</f>
        <v>(32.9)</v>
      </c>
      <c r="D335" s="302">
        <f>'Ind T6'!W379</f>
        <v>4.793999999953706</v>
      </c>
      <c r="E335" s="299" t="str">
        <f>CONCATENATE("(",ROUND((D335/$H336)*100,1),")")</f>
        <v>(11.9)</v>
      </c>
      <c r="F335" s="302">
        <f>'Ind T6'!X379</f>
        <v>0.72000000000058495</v>
      </c>
      <c r="G335" s="299" t="str">
        <f>CONCATENATE("(",ROUND((F335/$H336)*100,1),")")</f>
        <v>(1.8)</v>
      </c>
      <c r="H335" s="302">
        <f>SUM(B335,D335,F335)</f>
        <v>18.757999999958791</v>
      </c>
      <c r="I335" s="299" t="str">
        <f>CONCATENATE("(",ROUND((H335/$H336)*100,1),")")</f>
        <v>(46.5)</v>
      </c>
      <c r="K335" s="302">
        <f t="shared" ref="K335:K336" si="256">B335-B325</f>
        <v>1.315000000104785</v>
      </c>
      <c r="L335" s="302">
        <f t="shared" ref="L335:L336" si="257">D335-D325</f>
        <v>-0.67400000008815653</v>
      </c>
      <c r="M335" s="302">
        <f t="shared" ref="M335:M336" si="258">F335-F325</f>
        <v>1.6000000016818561E-2</v>
      </c>
      <c r="N335" s="302">
        <f t="shared" ref="N335:N336" si="259">SUM(K335:M335)</f>
        <v>0.65700000003344705</v>
      </c>
    </row>
    <row r="336" spans="1:14" x14ac:dyDescent="0.2">
      <c r="A336" s="282" t="s">
        <v>354</v>
      </c>
      <c r="B336" s="302">
        <f>SUM(B334:B335)</f>
        <v>26.500999999920936</v>
      </c>
      <c r="C336" s="299" t="str">
        <f>CONCATENATE("(",ROUND((B336/$H336)*100,1),")")</f>
        <v>(65.8)</v>
      </c>
      <c r="D336" s="302">
        <f>SUM(D334:D335)</f>
        <v>6.4729999999366896</v>
      </c>
      <c r="E336" s="299" t="str">
        <f>CONCATENATE("(",ROUND((D336/$H336)*100,1),")")</f>
        <v>(16.1)</v>
      </c>
      <c r="F336" s="302">
        <f>SUM(F334:F335)</f>
        <v>7.3300000000826486</v>
      </c>
      <c r="G336" s="299" t="str">
        <f>CONCATENATE("(",ROUND((F336/$H336)*100,1),")")</f>
        <v>(18.2)</v>
      </c>
      <c r="H336" s="302">
        <f>SUM(H334:H335)</f>
        <v>40.303999999940274</v>
      </c>
      <c r="I336" s="299" t="str">
        <f>CONCATENATE("(",ROUND((H336/$H336)*100,1),")")</f>
        <v>(100)</v>
      </c>
      <c r="K336" s="302">
        <f t="shared" si="256"/>
        <v>1.3170000001834126</v>
      </c>
      <c r="L336" s="302">
        <f t="shared" si="257"/>
        <v>-0.63900000008547231</v>
      </c>
      <c r="M336" s="302">
        <f t="shared" si="258"/>
        <v>0.84700000008015408</v>
      </c>
      <c r="N336" s="302">
        <f t="shared" si="259"/>
        <v>1.5250000001780943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379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377</v>
      </c>
    </row>
    <row r="343" spans="1:14" x14ac:dyDescent="0.2">
      <c r="A343" s="181" t="s">
        <v>378</v>
      </c>
      <c r="B343" s="369" t="s">
        <v>376</v>
      </c>
      <c r="C343" s="369"/>
      <c r="D343" s="369" t="s">
        <v>375</v>
      </c>
      <c r="E343" s="369"/>
      <c r="F343" s="369" t="s">
        <v>374</v>
      </c>
      <c r="G343" s="369"/>
      <c r="H343" s="369" t="s">
        <v>32</v>
      </c>
      <c r="I343" s="369"/>
      <c r="J343" s="181"/>
      <c r="K343" s="297" t="s">
        <v>339</v>
      </c>
      <c r="L343" s="297" t="s">
        <v>341</v>
      </c>
      <c r="M343" s="297" t="s">
        <v>337</v>
      </c>
      <c r="N343" s="297" t="s">
        <v>32</v>
      </c>
    </row>
    <row r="344" spans="1:14" x14ac:dyDescent="0.2">
      <c r="A344" s="292">
        <f>$A$8</f>
        <v>2020</v>
      </c>
      <c r="B344" s="287" t="s">
        <v>60</v>
      </c>
      <c r="C344" s="19" t="s">
        <v>373</v>
      </c>
      <c r="D344" s="287" t="s">
        <v>60</v>
      </c>
      <c r="E344" s="19" t="s">
        <v>373</v>
      </c>
      <c r="F344" s="287" t="s">
        <v>60</v>
      </c>
      <c r="G344" s="19" t="s">
        <v>373</v>
      </c>
      <c r="H344" s="287" t="s">
        <v>60</v>
      </c>
      <c r="I344" s="19" t="s">
        <v>373</v>
      </c>
      <c r="J344" s="181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355</v>
      </c>
      <c r="B345" s="302">
        <f>'Ind T6'!L425</f>
        <v>71.005999998144176</v>
      </c>
      <c r="C345" s="299" t="str">
        <f>CONCATENATE("(",ROUND((B345/$H347)*100,1),")")</f>
        <v>(34.6)</v>
      </c>
      <c r="D345" s="302">
        <f>'Ind T6'!M425</f>
        <v>8.4739999999468409</v>
      </c>
      <c r="E345" s="299" t="str">
        <f>CONCATENATE("(",ROUND((D345/$H347)*100,1),")")</f>
        <v>(4.1)</v>
      </c>
      <c r="F345" s="302">
        <f>'Ind T6'!N425</f>
        <v>14.978999999977225</v>
      </c>
      <c r="G345" s="299" t="str">
        <f>CONCATENATE("(",ROUND((F345/$H347)*100,1),")")</f>
        <v>(7.3)</v>
      </c>
      <c r="H345" s="302">
        <f>SUM(B345,D345,F345)</f>
        <v>94.458999998068236</v>
      </c>
      <c r="I345" s="299" t="str">
        <f>CONCATENATE("(",ROUND((H345/$H347)*100,1),")")</f>
        <v>(46)</v>
      </c>
      <c r="K345" s="302">
        <f>B350-B345</f>
        <v>0.75100000076365347</v>
      </c>
      <c r="L345" s="302">
        <f>D350-D345</f>
        <v>0.40600000001257008</v>
      </c>
      <c r="M345" s="302">
        <f>F350-F345</f>
        <v>0.63400000066418194</v>
      </c>
      <c r="N345" s="302">
        <f>SUM(K345:M345)</f>
        <v>1.7910000014404055</v>
      </c>
    </row>
    <row r="346" spans="1:14" x14ac:dyDescent="0.2">
      <c r="A346" s="282" t="s">
        <v>356</v>
      </c>
      <c r="B346" s="302">
        <f>'Ind T6'!L424</f>
        <v>53.19899999864132</v>
      </c>
      <c r="C346" s="299" t="str">
        <f>CONCATENATE("(",ROUND((B346/$H347)*100,1),")")</f>
        <v>(25.9)</v>
      </c>
      <c r="D346" s="302">
        <f>'Ind T6'!M424</f>
        <v>35.253999999702621</v>
      </c>
      <c r="E346" s="299" t="str">
        <f>CONCATENATE("(",ROUND((D346/$H347)*100,1),")")</f>
        <v>(17.2)</v>
      </c>
      <c r="F346" s="302">
        <f>'Ind T6'!N424</f>
        <v>22.452999999544893</v>
      </c>
      <c r="G346" s="299" t="str">
        <f>CONCATENATE("(",ROUND((F346/$H347)*100,1),")")</f>
        <v>(10.9)</v>
      </c>
      <c r="H346" s="302">
        <f t="shared" ref="H346" si="260">SUM(B346,D346,F346)</f>
        <v>110.90599999788884</v>
      </c>
      <c r="I346" s="299" t="str">
        <f>CONCATENATE("(",ROUND((H346/$H347)*100,1),")")</f>
        <v>(54)</v>
      </c>
      <c r="K346" s="302">
        <f t="shared" ref="K346:K347" si="261">B351-B346</f>
        <v>2.0740000032711521</v>
      </c>
      <c r="L346" s="302">
        <f t="shared" ref="L346:L347" si="262">D351-D346</f>
        <v>1.5200000005520238</v>
      </c>
      <c r="M346" s="302">
        <f t="shared" ref="M346:M347" si="263">F351-F346</f>
        <v>1.5390000007234867</v>
      </c>
      <c r="N346" s="302">
        <f t="shared" ref="N346:N347" si="264">SUM(K346:M346)</f>
        <v>5.1330000045466626</v>
      </c>
    </row>
    <row r="347" spans="1:14" x14ac:dyDescent="0.2">
      <c r="A347" s="282" t="s">
        <v>354</v>
      </c>
      <c r="B347" s="302">
        <f>SUM(B345:B346)</f>
        <v>124.20499999678549</v>
      </c>
      <c r="C347" s="299" t="str">
        <f>CONCATENATE("(",ROUND((B347/$H347)*100,1),")")</f>
        <v>(60.5)</v>
      </c>
      <c r="D347" s="302">
        <f>SUM(D345:D346)</f>
        <v>43.727999999649462</v>
      </c>
      <c r="E347" s="299" t="str">
        <f>CONCATENATE("(",ROUND((D347/$H347)*100,1),")")</f>
        <v>(21.3)</v>
      </c>
      <c r="F347" s="302">
        <f>SUM(F345:F346)</f>
        <v>37.43199999952212</v>
      </c>
      <c r="G347" s="299" t="str">
        <f>CONCATENATE("(",ROUND((F347/$H347)*100,1),")")</f>
        <v>(18.2)</v>
      </c>
      <c r="H347" s="302">
        <f>SUM(H345:H346)</f>
        <v>205.36499999595708</v>
      </c>
      <c r="I347" s="299" t="str">
        <f>CONCATENATE("(",ROUND((H347/$H347)*100,1),")")</f>
        <v>(100)</v>
      </c>
      <c r="K347" s="302">
        <f t="shared" si="261"/>
        <v>2.8250000040348198</v>
      </c>
      <c r="L347" s="302">
        <f t="shared" si="262"/>
        <v>1.9260000005645921</v>
      </c>
      <c r="M347" s="302">
        <f t="shared" si="263"/>
        <v>2.1730000013876634</v>
      </c>
      <c r="N347" s="302">
        <f t="shared" si="264"/>
        <v>6.9240000059870752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355</v>
      </c>
      <c r="B350" s="302">
        <f>'Ind T6'!Q425</f>
        <v>71.75699999890783</v>
      </c>
      <c r="C350" s="299" t="str">
        <f>CONCATENATE("(",ROUND((B350/$H352)*100,1),")")</f>
        <v>(33.8)</v>
      </c>
      <c r="D350" s="302">
        <f>'Ind T6'!R425</f>
        <v>8.879999999959411</v>
      </c>
      <c r="E350" s="299" t="str">
        <f>CONCATENATE("(",ROUND((D350/$H352)*100,1),")")</f>
        <v>(4.2)</v>
      </c>
      <c r="F350" s="302">
        <f>'Ind T6'!S425</f>
        <v>15.613000000641406</v>
      </c>
      <c r="G350" s="299" t="str">
        <f>CONCATENATE("(",ROUND((F350/$H352)*100,1),")")</f>
        <v>(7.4)</v>
      </c>
      <c r="H350" s="302">
        <f>SUM(B350,D350,F350)</f>
        <v>96.249999999508645</v>
      </c>
      <c r="I350" s="299" t="str">
        <f>CONCATENATE("(",ROUND((H350/$H352)*100,1),")")</f>
        <v>(45.3)</v>
      </c>
      <c r="K350" s="302">
        <f>B355-B350</f>
        <v>1.5509999996142056</v>
      </c>
      <c r="L350" s="302">
        <f>D355-D350</f>
        <v>0.78699999998972636</v>
      </c>
      <c r="M350" s="302">
        <f>F355-F350</f>
        <v>1.0209999997314512</v>
      </c>
      <c r="N350" s="302">
        <f>SUM(K350:M350)</f>
        <v>3.3589999993353832</v>
      </c>
    </row>
    <row r="351" spans="1:14" x14ac:dyDescent="0.2">
      <c r="A351" s="282" t="s">
        <v>356</v>
      </c>
      <c r="B351" s="302">
        <f>'Ind T6'!Q424</f>
        <v>55.273000001912472</v>
      </c>
      <c r="C351" s="299" t="str">
        <f>CONCATENATE("(",ROUND((B351/$H352)*100,1),")")</f>
        <v>(26)</v>
      </c>
      <c r="D351" s="302">
        <f>'Ind T6'!R424</f>
        <v>36.774000000254645</v>
      </c>
      <c r="E351" s="299" t="str">
        <f>CONCATENATE("(",ROUND((D351/$H352)*100,1),")")</f>
        <v>(17.3)</v>
      </c>
      <c r="F351" s="302">
        <f>'Ind T6'!S424</f>
        <v>23.99200000026838</v>
      </c>
      <c r="G351" s="299" t="str">
        <f>CONCATENATE("(",ROUND((F351/$H352)*100,1),")")</f>
        <v>(11.3)</v>
      </c>
      <c r="H351" s="302">
        <f t="shared" ref="H351" si="265">SUM(B351,D351,F351)</f>
        <v>116.0390000024355</v>
      </c>
      <c r="I351" s="299" t="str">
        <f>CONCATENATE("(",ROUND((H351/$H352)*100,1),")")</f>
        <v>(54.7)</v>
      </c>
      <c r="K351" s="302">
        <f t="shared" ref="K351:K352" si="266">B356-B351</f>
        <v>3.2049999988591154</v>
      </c>
      <c r="L351" s="302">
        <f t="shared" ref="L351:L352" si="267">D356-D351</f>
        <v>2.2610000000625448</v>
      </c>
      <c r="M351" s="302">
        <f t="shared" ref="M351:M352" si="268">F356-F351</f>
        <v>2.6410000000511751</v>
      </c>
      <c r="N351" s="302">
        <f t="shared" ref="N351:N352" si="269">SUM(K351:M351)</f>
        <v>8.1069999989728352</v>
      </c>
    </row>
    <row r="352" spans="1:14" x14ac:dyDescent="0.2">
      <c r="A352" s="282" t="s">
        <v>354</v>
      </c>
      <c r="B352" s="302">
        <f>SUM(B350:B351)</f>
        <v>127.03000000082031</v>
      </c>
      <c r="C352" s="299" t="str">
        <f>CONCATENATE("(",ROUND((B352/$H352)*100,1),")")</f>
        <v>(59.8)</v>
      </c>
      <c r="D352" s="302">
        <f>SUM(D350:D351)</f>
        <v>45.654000000214054</v>
      </c>
      <c r="E352" s="299" t="str">
        <f>CONCATENATE("(",ROUND((D352/$H352)*100,1),")")</f>
        <v>(21.5)</v>
      </c>
      <c r="F352" s="302">
        <f>SUM(F350:F351)</f>
        <v>39.605000000909783</v>
      </c>
      <c r="G352" s="299" t="str">
        <f>CONCATENATE("(",ROUND((F352/$H352)*100,1),")")</f>
        <v>(18.7)</v>
      </c>
      <c r="H352" s="302">
        <f>SUM(H350:H351)</f>
        <v>212.28900000194415</v>
      </c>
      <c r="I352" s="299" t="str">
        <f>CONCATENATE("(",ROUND((H352/$H352)*100,1),")")</f>
        <v>(100)</v>
      </c>
      <c r="K352" s="302">
        <f t="shared" si="266"/>
        <v>4.7559999984732997</v>
      </c>
      <c r="L352" s="302">
        <f t="shared" si="267"/>
        <v>3.0480000000522693</v>
      </c>
      <c r="M352" s="302">
        <f t="shared" si="268"/>
        <v>3.6619999997826298</v>
      </c>
      <c r="N352" s="302">
        <f t="shared" si="269"/>
        <v>11.465999998308199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355</v>
      </c>
      <c r="B355" s="302">
        <f>'Ind T6'!V425</f>
        <v>73.307999998522035</v>
      </c>
      <c r="C355" s="299" t="str">
        <f>CONCATENATE("(",ROUND((B355/$H357)*100,1),")")</f>
        <v>(32.8)</v>
      </c>
      <c r="D355" s="302">
        <f>'Ind T6'!W425</f>
        <v>9.6669999999491374</v>
      </c>
      <c r="E355" s="299" t="str">
        <f>CONCATENATE("(",ROUND((D355/$H357)*100,1),")")</f>
        <v>(4.3)</v>
      </c>
      <c r="F355" s="302">
        <f>'Ind T6'!X425</f>
        <v>16.634000000372858</v>
      </c>
      <c r="G355" s="299" t="str">
        <f>CONCATENATE("(",ROUND((F355/$H357)*100,1),")")</f>
        <v>(7.4)</v>
      </c>
      <c r="H355" s="302">
        <f>SUM(B355,D355,F355)</f>
        <v>99.608999998844041</v>
      </c>
      <c r="I355" s="299" t="str">
        <f>CONCATENATE("(",ROUND((H355/$H357)*100,1),")")</f>
        <v>(44.5)</v>
      </c>
      <c r="K355" s="302">
        <f>B355-B345</f>
        <v>2.3020000003778591</v>
      </c>
      <c r="L355" s="302">
        <f>D355-D345</f>
        <v>1.1930000000022964</v>
      </c>
      <c r="M355" s="302">
        <f>F355-F345</f>
        <v>1.6550000003956331</v>
      </c>
      <c r="N355" s="302">
        <f>SUM(K355:M355)</f>
        <v>5.1500000007757887</v>
      </c>
    </row>
    <row r="356" spans="1:14" x14ac:dyDescent="0.2">
      <c r="A356" s="282" t="s">
        <v>356</v>
      </c>
      <c r="B356" s="302">
        <f>'Ind T6'!V424</f>
        <v>58.478000000771587</v>
      </c>
      <c r="C356" s="299" t="str">
        <f>CONCATENATE("(",ROUND((B356/$H357)*100,1),")")</f>
        <v>(26.1)</v>
      </c>
      <c r="D356" s="302">
        <f>'Ind T6'!W424</f>
        <v>39.03500000031719</v>
      </c>
      <c r="E356" s="299" t="str">
        <f>CONCATENATE("(",ROUND((D356/$H357)*100,1),")")</f>
        <v>(17.4)</v>
      </c>
      <c r="F356" s="302">
        <f>'Ind T6'!X424</f>
        <v>26.633000000319555</v>
      </c>
      <c r="G356" s="299" t="str">
        <f>CONCATENATE("(",ROUND((F356/$H357)*100,1),")")</f>
        <v>(11.9)</v>
      </c>
      <c r="H356" s="302">
        <f t="shared" ref="H356" si="270">SUM(B356,D356,F356)</f>
        <v>124.14600000140834</v>
      </c>
      <c r="I356" s="299" t="str">
        <f>CONCATENATE("(",ROUND((H356/$H357)*100,1),")")</f>
        <v>(55.5)</v>
      </c>
      <c r="K356" s="302">
        <f t="shared" ref="K356:K357" si="271">B356-B346</f>
        <v>5.2790000021302674</v>
      </c>
      <c r="L356" s="302">
        <f t="shared" ref="L356:L357" si="272">D356-D346</f>
        <v>3.7810000006145685</v>
      </c>
      <c r="M356" s="302">
        <f t="shared" ref="M356:M357" si="273">F356-F346</f>
        <v>4.1800000007746618</v>
      </c>
      <c r="N356" s="302">
        <f t="shared" ref="N356:N357" si="274">SUM(K356:M356)</f>
        <v>13.240000003519498</v>
      </c>
    </row>
    <row r="357" spans="1:14" x14ac:dyDescent="0.2">
      <c r="A357" s="282" t="s">
        <v>354</v>
      </c>
      <c r="B357" s="302">
        <f>SUM(B355:B356)</f>
        <v>131.78599999929361</v>
      </c>
      <c r="C357" s="299" t="str">
        <f>CONCATENATE("(",ROUND((B357/$H357)*100,1),")")</f>
        <v>(58.9)</v>
      </c>
      <c r="D357" s="302">
        <f>SUM(D355:D356)</f>
        <v>48.702000000266324</v>
      </c>
      <c r="E357" s="299" t="str">
        <f>CONCATENATE("(",ROUND((D357/$H357)*100,1),")")</f>
        <v>(21.8)</v>
      </c>
      <c r="F357" s="302">
        <f>SUM(F355:F356)</f>
        <v>43.267000000692413</v>
      </c>
      <c r="G357" s="299" t="str">
        <f>CONCATENATE("(",ROUND((F357/$H357)*100,1),")")</f>
        <v>(19.3)</v>
      </c>
      <c r="H357" s="302">
        <f>SUM(H355:H356)</f>
        <v>223.75500000025238</v>
      </c>
      <c r="I357" s="299" t="str">
        <f>CONCATENATE("(",ROUND((H357/$H357)*100,1),")")</f>
        <v>(100)</v>
      </c>
      <c r="K357" s="302">
        <f t="shared" si="271"/>
        <v>7.5810000025081195</v>
      </c>
      <c r="L357" s="302">
        <f t="shared" si="272"/>
        <v>4.9740000006168614</v>
      </c>
      <c r="M357" s="302">
        <f t="shared" si="273"/>
        <v>5.8350000011702932</v>
      </c>
      <c r="N357" s="302">
        <f t="shared" si="274"/>
        <v>18.390000004295274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1"/>
      <c r="E361" s="181"/>
      <c r="G361" s="181"/>
      <c r="I361" s="181"/>
    </row>
    <row r="362" spans="1:14" x14ac:dyDescent="0.2">
      <c r="A362" s="288"/>
      <c r="B362" s="289" t="s">
        <v>379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377</v>
      </c>
    </row>
    <row r="364" spans="1:14" x14ac:dyDescent="0.2">
      <c r="A364" s="181" t="s">
        <v>378</v>
      </c>
      <c r="B364" s="369" t="s">
        <v>376</v>
      </c>
      <c r="C364" s="369"/>
      <c r="D364" s="369" t="s">
        <v>375</v>
      </c>
      <c r="E364" s="369"/>
      <c r="F364" s="369" t="s">
        <v>374</v>
      </c>
      <c r="G364" s="369"/>
      <c r="H364" s="369" t="s">
        <v>32</v>
      </c>
      <c r="I364" s="369"/>
      <c r="J364" s="181"/>
      <c r="K364" s="297" t="s">
        <v>339</v>
      </c>
      <c r="L364" s="297" t="s">
        <v>341</v>
      </c>
      <c r="M364" s="297" t="s">
        <v>337</v>
      </c>
      <c r="N364" s="297" t="s">
        <v>32</v>
      </c>
    </row>
    <row r="365" spans="1:14" x14ac:dyDescent="0.2">
      <c r="A365" s="292">
        <f>$A$8</f>
        <v>2020</v>
      </c>
      <c r="B365" s="287" t="s">
        <v>60</v>
      </c>
      <c r="C365" s="19" t="s">
        <v>373</v>
      </c>
      <c r="D365" s="287" t="s">
        <v>60</v>
      </c>
      <c r="E365" s="19" t="s">
        <v>373</v>
      </c>
      <c r="F365" s="287" t="s">
        <v>60</v>
      </c>
      <c r="G365" s="19" t="s">
        <v>373</v>
      </c>
      <c r="H365" s="287" t="s">
        <v>60</v>
      </c>
      <c r="I365" s="19" t="s">
        <v>373</v>
      </c>
      <c r="J365" s="181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355</v>
      </c>
      <c r="B366" s="302">
        <f>'Ind T6'!L465</f>
        <v>78.049000000165407</v>
      </c>
      <c r="C366" s="299" t="str">
        <f>CONCATENATE("(",ROUND((B366/$H368)*100,1),")")</f>
        <v>(39.9)</v>
      </c>
      <c r="D366" s="302">
        <f>'Ind T6'!M465</f>
        <v>27.34800000014468</v>
      </c>
      <c r="E366" s="299" t="str">
        <f>CONCATENATE("(",ROUND((D366/$H368)*100,1),")")</f>
        <v>(14)</v>
      </c>
      <c r="F366" s="302">
        <f>'Ind T6'!N465</f>
        <v>10.803000000099612</v>
      </c>
      <c r="G366" s="299" t="str">
        <f>CONCATENATE("(",ROUND((F366/$H368)*100,1),")")</f>
        <v>(5.5)</v>
      </c>
      <c r="H366" s="302">
        <f>SUM(B366,D366,F366)</f>
        <v>116.2000000004097</v>
      </c>
      <c r="I366" s="299" t="str">
        <f>CONCATENATE("(",ROUND((H366/$H368)*100,1),")")</f>
        <v>(59.4)</v>
      </c>
      <c r="K366" s="302">
        <f>B371-B366</f>
        <v>5.0640000000803269</v>
      </c>
      <c r="L366" s="302">
        <f>D371-D366</f>
        <v>1.7140000000007163</v>
      </c>
      <c r="M366" s="302">
        <f>F371-F366</f>
        <v>0.52100000024463</v>
      </c>
      <c r="N366" s="302">
        <f>SUM(K366:M366)</f>
        <v>7.2990000003256732</v>
      </c>
    </row>
    <row r="367" spans="1:14" x14ac:dyDescent="0.2">
      <c r="A367" s="282" t="s">
        <v>356</v>
      </c>
      <c r="B367" s="302">
        <f>'Ind T6'!L464</f>
        <v>37.05300000003168</v>
      </c>
      <c r="C367" s="299" t="str">
        <f>CONCATENATE("(",ROUND((B367/$H368)*100,1),")")</f>
        <v>(18.9)</v>
      </c>
      <c r="D367" s="302">
        <f>'Ind T6'!M464</f>
        <v>32.027000000399532</v>
      </c>
      <c r="E367" s="299" t="str">
        <f>CONCATENATE("(",ROUND((D367/$H368)*100,1),")")</f>
        <v>(16.4)</v>
      </c>
      <c r="F367" s="302">
        <f>'Ind T6'!N464</f>
        <v>10.261999999792938</v>
      </c>
      <c r="G367" s="299" t="str">
        <f>CONCATENATE("(",ROUND((F367/$H368)*100,1),")")</f>
        <v>(5.2)</v>
      </c>
      <c r="H367" s="302">
        <f t="shared" ref="H367" si="275">SUM(B367,D367,F367)</f>
        <v>79.342000000224147</v>
      </c>
      <c r="I367" s="299" t="str">
        <f>CONCATENATE("(",ROUND((H367/$H368)*100,1),")")</f>
        <v>(40.6)</v>
      </c>
      <c r="K367" s="302">
        <f t="shared" ref="K367:K368" si="276">B372-B367</f>
        <v>3.1120000004259794</v>
      </c>
      <c r="L367" s="302">
        <f t="shared" ref="L367:L368" si="277">D372-D367</f>
        <v>1.4369999996526275</v>
      </c>
      <c r="M367" s="302">
        <f t="shared" ref="M367:M368" si="278">F372-F367</f>
        <v>0.48400000023683631</v>
      </c>
      <c r="N367" s="302">
        <f t="shared" ref="N367:N368" si="279">SUM(K367:M367)</f>
        <v>5.0330000003154431</v>
      </c>
    </row>
    <row r="368" spans="1:14" x14ac:dyDescent="0.2">
      <c r="A368" s="282" t="s">
        <v>354</v>
      </c>
      <c r="B368" s="302">
        <f>SUM(B366:B367)</f>
        <v>115.10200000019708</v>
      </c>
      <c r="C368" s="299" t="str">
        <f>CONCATENATE("(",ROUND((B368/$H368)*100,1),")")</f>
        <v>(58.9)</v>
      </c>
      <c r="D368" s="302">
        <f>SUM(D366:D367)</f>
        <v>59.375000000544212</v>
      </c>
      <c r="E368" s="299" t="str">
        <f>CONCATENATE("(",ROUND((D368/$H368)*100,1),")")</f>
        <v>(30.4)</v>
      </c>
      <c r="F368" s="302">
        <f>SUM(F366:F367)</f>
        <v>21.064999999892549</v>
      </c>
      <c r="G368" s="299" t="str">
        <f>CONCATENATE("(",ROUND((F368/$H368)*100,1),")")</f>
        <v>(10.8)</v>
      </c>
      <c r="H368" s="302">
        <f>SUM(H366:H367)</f>
        <v>195.54200000063383</v>
      </c>
      <c r="I368" s="299" t="str">
        <f>CONCATENATE("(",ROUND((H368/$H368)*100,1),")")</f>
        <v>(100)</v>
      </c>
      <c r="K368" s="302">
        <f t="shared" si="276"/>
        <v>8.1760000005063205</v>
      </c>
      <c r="L368" s="302">
        <f t="shared" si="277"/>
        <v>3.1509999996533438</v>
      </c>
      <c r="M368" s="302">
        <f t="shared" si="278"/>
        <v>1.0050000004814663</v>
      </c>
      <c r="N368" s="302">
        <f t="shared" si="279"/>
        <v>12.332000000641131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355</v>
      </c>
      <c r="B371" s="302">
        <f>'Ind T6'!Q465</f>
        <v>83.113000000245734</v>
      </c>
      <c r="C371" s="299" t="str">
        <f>CONCATENATE("(",ROUND((B371/$H373)*100,1),")")</f>
        <v>(40)</v>
      </c>
      <c r="D371" s="302">
        <f>'Ind T6'!R465</f>
        <v>29.062000000145396</v>
      </c>
      <c r="E371" s="299" t="str">
        <f>CONCATENATE("(",ROUND((D371/$H373)*100,1),")")</f>
        <v>(14)</v>
      </c>
      <c r="F371" s="302">
        <f>'Ind T6'!S465</f>
        <v>11.324000000344242</v>
      </c>
      <c r="G371" s="299" t="str">
        <f>CONCATENATE("(",ROUND((F371/$H373)*100,1),")")</f>
        <v>(5.4)</v>
      </c>
      <c r="H371" s="302">
        <f>SUM(B371,D371,F371)</f>
        <v>123.49900000073536</v>
      </c>
      <c r="I371" s="299" t="str">
        <f>CONCATENATE("(",ROUND((H371/$H373)*100,1),")")</f>
        <v>(59.4)</v>
      </c>
      <c r="K371" s="302">
        <f>B376-B371</f>
        <v>5.3859999998725385</v>
      </c>
      <c r="L371" s="302">
        <f>D376-D371</f>
        <v>1.602000000003077</v>
      </c>
      <c r="M371" s="302">
        <f>F376-F371</f>
        <v>0.77099999989420276</v>
      </c>
      <c r="N371" s="302">
        <f>SUM(K371:M371)</f>
        <v>7.7589999997698182</v>
      </c>
    </row>
    <row r="372" spans="1:14" x14ac:dyDescent="0.2">
      <c r="A372" s="282" t="s">
        <v>356</v>
      </c>
      <c r="B372" s="302">
        <f>'Ind T6'!Q464</f>
        <v>40.16500000045766</v>
      </c>
      <c r="C372" s="299" t="str">
        <f>CONCATENATE("(",ROUND((B372/$H373)*100,1),")")</f>
        <v>(19.3)</v>
      </c>
      <c r="D372" s="302">
        <f>'Ind T6'!R464</f>
        <v>33.46400000005216</v>
      </c>
      <c r="E372" s="299" t="str">
        <f>CONCATENATE("(",ROUND((D372/$H373)*100,1),")")</f>
        <v>(16.1)</v>
      </c>
      <c r="F372" s="302">
        <f>'Ind T6'!S464</f>
        <v>10.746000000029774</v>
      </c>
      <c r="G372" s="299" t="str">
        <f>CONCATENATE("(",ROUND((F372/$H373)*100,1),")")</f>
        <v>(5.2)</v>
      </c>
      <c r="H372" s="302">
        <f t="shared" ref="H372" si="280">SUM(B372,D372,F372)</f>
        <v>84.375000000539586</v>
      </c>
      <c r="I372" s="299" t="str">
        <f>CONCATENATE("(",ROUND((H372/$H373)*100,1),")")</f>
        <v>(40.6)</v>
      </c>
      <c r="K372" s="302">
        <f t="shared" ref="K372:K373" si="281">B377-B372</f>
        <v>3.5579999991448545</v>
      </c>
      <c r="L372" s="302">
        <f t="shared" ref="L372:L373" si="282">D377-D372</f>
        <v>0.95099999984853412</v>
      </c>
      <c r="M372" s="302">
        <f t="shared" ref="M372:M373" si="283">F377-F372</f>
        <v>0.7999999999929166</v>
      </c>
      <c r="N372" s="302">
        <f t="shared" ref="N372:N373" si="284">SUM(K372:M372)</f>
        <v>5.3089999989863053</v>
      </c>
    </row>
    <row r="373" spans="1:14" x14ac:dyDescent="0.2">
      <c r="A373" s="282" t="s">
        <v>354</v>
      </c>
      <c r="B373" s="302">
        <f>SUM(B371:B372)</f>
        <v>123.2780000007034</v>
      </c>
      <c r="C373" s="299" t="str">
        <f>CONCATENATE("(",ROUND((B373/$H373)*100,1),")")</f>
        <v>(59.3)</v>
      </c>
      <c r="D373" s="302">
        <f>SUM(D371:D372)</f>
        <v>62.526000000197556</v>
      </c>
      <c r="E373" s="299" t="str">
        <f>CONCATENATE("(",ROUND((D373/$H373)*100,1),")")</f>
        <v>(30.1)</v>
      </c>
      <c r="F373" s="302">
        <f>SUM(F371:F372)</f>
        <v>22.070000000374016</v>
      </c>
      <c r="G373" s="299" t="str">
        <f>CONCATENATE("(",ROUND((F373/$H373)*100,1),")")</f>
        <v>(10.6)</v>
      </c>
      <c r="H373" s="302">
        <f>SUM(H371:H372)</f>
        <v>207.87400000127496</v>
      </c>
      <c r="I373" s="299" t="str">
        <f>CONCATENATE("(",ROUND((H373/$H373)*100,1),")")</f>
        <v>(100)</v>
      </c>
      <c r="K373" s="302">
        <f t="shared" si="281"/>
        <v>8.9439999990173931</v>
      </c>
      <c r="L373" s="302">
        <f t="shared" si="282"/>
        <v>2.5529999998516075</v>
      </c>
      <c r="M373" s="302">
        <f t="shared" si="283"/>
        <v>1.5709999998871211</v>
      </c>
      <c r="N373" s="302">
        <f t="shared" si="284"/>
        <v>13.067999998756122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355</v>
      </c>
      <c r="B376" s="302">
        <f>'Ind T6'!V465</f>
        <v>88.499000000118272</v>
      </c>
      <c r="C376" s="299" t="str">
        <f>CONCATENATE("(",ROUND((B376/$H378)*100,1),")")</f>
        <v>(40.1)</v>
      </c>
      <c r="D376" s="302">
        <f>'Ind T6'!W465</f>
        <v>30.664000000148473</v>
      </c>
      <c r="E376" s="299" t="str">
        <f>CONCATENATE("(",ROUND((D376/$H378)*100,1),")")</f>
        <v>(13.9)</v>
      </c>
      <c r="F376" s="302">
        <f>'Ind T6'!X465</f>
        <v>12.095000000238445</v>
      </c>
      <c r="G376" s="299" t="str">
        <f>CONCATENATE("(",ROUND((F376/$H378)*100,1),")")</f>
        <v>(5.5)</v>
      </c>
      <c r="H376" s="302">
        <f>SUM(B376,D376,F376)</f>
        <v>131.25800000050521</v>
      </c>
      <c r="I376" s="299" t="str">
        <f>CONCATENATE("(",ROUND((H376/$H378)*100,1),")")</f>
        <v>(59.4)</v>
      </c>
      <c r="K376" s="302">
        <f>B376-B366</f>
        <v>10.449999999952865</v>
      </c>
      <c r="L376" s="302">
        <f>D376-D366</f>
        <v>3.3160000000037932</v>
      </c>
      <c r="M376" s="302">
        <f>F376-F366</f>
        <v>1.2920000001388328</v>
      </c>
      <c r="N376" s="302">
        <f>SUM(K376:M376)</f>
        <v>15.058000000095491</v>
      </c>
    </row>
    <row r="377" spans="1:14" x14ac:dyDescent="0.2">
      <c r="A377" s="282" t="s">
        <v>356</v>
      </c>
      <c r="B377" s="302">
        <f>'Ind T6'!V464</f>
        <v>43.722999999602514</v>
      </c>
      <c r="C377" s="299" t="str">
        <f>CONCATENATE("(",ROUND((B377/$H378)*100,1),")")</f>
        <v>(19.8)</v>
      </c>
      <c r="D377" s="302">
        <f>'Ind T6'!W464</f>
        <v>34.414999999900694</v>
      </c>
      <c r="E377" s="299" t="str">
        <f>CONCATENATE("(",ROUND((D377/$H378)*100,1),")")</f>
        <v>(15.6)</v>
      </c>
      <c r="F377" s="302">
        <f>'Ind T6'!X464</f>
        <v>11.546000000022691</v>
      </c>
      <c r="G377" s="299" t="str">
        <f>CONCATENATE("(",ROUND((F377/$H378)*100,1),")")</f>
        <v>(5.2)</v>
      </c>
      <c r="H377" s="302">
        <f t="shared" ref="H377" si="285">SUM(B377,D377,F377)</f>
        <v>89.683999999525895</v>
      </c>
      <c r="I377" s="299" t="str">
        <f>CONCATENATE("(",ROUND((H377/$H378)*100,1),")")</f>
        <v>(40.6)</v>
      </c>
      <c r="K377" s="302">
        <f t="shared" ref="K377:K378" si="286">B377-B367</f>
        <v>6.6699999995708339</v>
      </c>
      <c r="L377" s="302">
        <f t="shared" ref="L377:L378" si="287">D377-D367</f>
        <v>2.3879999995011616</v>
      </c>
      <c r="M377" s="302">
        <f t="shared" ref="M377:M378" si="288">F377-F367</f>
        <v>1.2840000002297529</v>
      </c>
      <c r="N377" s="302">
        <f t="shared" ref="N377:N378" si="289">SUM(K377:M377)</f>
        <v>10.341999999301748</v>
      </c>
    </row>
    <row r="378" spans="1:14" x14ac:dyDescent="0.2">
      <c r="A378" s="282" t="s">
        <v>354</v>
      </c>
      <c r="B378" s="302">
        <f>SUM(B376:B377)</f>
        <v>132.22199999972079</v>
      </c>
      <c r="C378" s="299" t="str">
        <f>CONCATENATE("(",ROUND((B378/$H378)*100,1),")")</f>
        <v>(59.8)</v>
      </c>
      <c r="D378" s="302">
        <f>SUM(D376:D377)</f>
        <v>65.079000000049163</v>
      </c>
      <c r="E378" s="299" t="str">
        <f>CONCATENATE("(",ROUND((D378/$H378)*100,1),")")</f>
        <v>(29.5)</v>
      </c>
      <c r="F378" s="302">
        <f>SUM(F376:F377)</f>
        <v>23.641000000261137</v>
      </c>
      <c r="G378" s="299" t="str">
        <f>CONCATENATE("(",ROUND((F378/$H378)*100,1),")")</f>
        <v>(10.7)</v>
      </c>
      <c r="H378" s="302">
        <f>SUM(H376:H377)</f>
        <v>220.9420000000311</v>
      </c>
      <c r="I378" s="299" t="str">
        <f>CONCATENATE("(",ROUND((H378/$H378)*100,1),")")</f>
        <v>(100)</v>
      </c>
      <c r="K378" s="302">
        <f t="shared" si="286"/>
        <v>17.119999999523714</v>
      </c>
      <c r="L378" s="302">
        <f t="shared" si="287"/>
        <v>5.7039999995049513</v>
      </c>
      <c r="M378" s="302">
        <f t="shared" si="288"/>
        <v>2.5760000003685875</v>
      </c>
      <c r="N378" s="302">
        <f t="shared" si="289"/>
        <v>25.399999999397252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379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377</v>
      </c>
    </row>
    <row r="385" spans="1:14" x14ac:dyDescent="0.2">
      <c r="A385" s="181" t="s">
        <v>378</v>
      </c>
      <c r="B385" s="369" t="s">
        <v>376</v>
      </c>
      <c r="C385" s="369"/>
      <c r="D385" s="369" t="s">
        <v>375</v>
      </c>
      <c r="E385" s="369"/>
      <c r="F385" s="369" t="s">
        <v>374</v>
      </c>
      <c r="G385" s="369"/>
      <c r="H385" s="369" t="s">
        <v>32</v>
      </c>
      <c r="I385" s="369"/>
      <c r="J385" s="181"/>
      <c r="K385" s="297" t="s">
        <v>339</v>
      </c>
      <c r="L385" s="297" t="s">
        <v>341</v>
      </c>
      <c r="M385" s="297" t="s">
        <v>337</v>
      </c>
      <c r="N385" s="297" t="s">
        <v>32</v>
      </c>
    </row>
    <row r="386" spans="1:14" x14ac:dyDescent="0.2">
      <c r="A386" s="292">
        <f>$A$8</f>
        <v>2020</v>
      </c>
      <c r="B386" s="287" t="s">
        <v>60</v>
      </c>
      <c r="C386" s="19" t="s">
        <v>373</v>
      </c>
      <c r="D386" s="287" t="s">
        <v>60</v>
      </c>
      <c r="E386" s="19" t="s">
        <v>373</v>
      </c>
      <c r="F386" s="287" t="s">
        <v>60</v>
      </c>
      <c r="G386" s="19" t="s">
        <v>373</v>
      </c>
      <c r="H386" s="287" t="s">
        <v>60</v>
      </c>
      <c r="I386" s="19" t="s">
        <v>373</v>
      </c>
      <c r="J386" s="181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355</v>
      </c>
      <c r="B387" s="302">
        <f>'Ind T6'!L475</f>
        <v>27.584999999655395</v>
      </c>
      <c r="C387" s="299" t="str">
        <f>CONCATENATE("(",ROUND((B387/$H389)*100,1),")")</f>
        <v>(34.4)</v>
      </c>
      <c r="D387" s="302">
        <f>'Ind T6'!M475</f>
        <v>4.4879999999600351</v>
      </c>
      <c r="E387" s="299" t="str">
        <f>CONCATENATE("(",ROUND((D387/$H389)*100,1),")")</f>
        <v>(5.6)</v>
      </c>
      <c r="F387" s="302">
        <f>'Ind T6'!N475</f>
        <v>0.67200000000188542</v>
      </c>
      <c r="G387" s="299" t="str">
        <f>CONCATENATE("(",ROUND((F387/$H389)*100,1),")")</f>
        <v>(0.8)</v>
      </c>
      <c r="H387" s="302">
        <f>SUM(B387,D387,F387)</f>
        <v>32.74499999961732</v>
      </c>
      <c r="I387" s="299" t="str">
        <f>CONCATENATE("(",ROUND((H387/$H389)*100,1),")")</f>
        <v>(40.8)</v>
      </c>
      <c r="K387" s="302">
        <f>B392-B387</f>
        <v>1.6230000001429374</v>
      </c>
      <c r="L387" s="302">
        <f>D392-D387</f>
        <v>0.62300000000493849</v>
      </c>
      <c r="M387" s="302">
        <f>F392-F387</f>
        <v>5.5000000037459862E-2</v>
      </c>
      <c r="N387" s="302">
        <f>SUM(K387:M387)</f>
        <v>2.3010000001853359</v>
      </c>
    </row>
    <row r="388" spans="1:14" x14ac:dyDescent="0.2">
      <c r="A388" s="282" t="s">
        <v>356</v>
      </c>
      <c r="B388" s="302">
        <f>'Ind T6'!L474</f>
        <v>23.837999999605863</v>
      </c>
      <c r="C388" s="299" t="str">
        <f>CONCATENATE("(",ROUND((B388/$H389)*100,1),")")</f>
        <v>(29.7)</v>
      </c>
      <c r="D388" s="302">
        <f>'Ind T6'!M474</f>
        <v>21.737999999769219</v>
      </c>
      <c r="E388" s="299" t="str">
        <f>CONCATENATE("(",ROUND((D388/$H389)*100,1),")")</f>
        <v>(27.1)</v>
      </c>
      <c r="F388" s="302">
        <f>'Ind T6'!N474</f>
        <v>1.9029999999587024</v>
      </c>
      <c r="G388" s="299" t="str">
        <f>CONCATENATE("(",ROUND((F388/$H389)*100,1),")")</f>
        <v>(2.4)</v>
      </c>
      <c r="H388" s="302">
        <f t="shared" ref="H388" si="290">SUM(B388,D388,F388)</f>
        <v>47.478999999333787</v>
      </c>
      <c r="I388" s="299" t="str">
        <f>CONCATENATE("(",ROUND((H388/$H389)*100,1),")")</f>
        <v>(59.2)</v>
      </c>
      <c r="K388" s="302">
        <f t="shared" ref="K388:K389" si="291">B393-B388</f>
        <v>1.9220000008843812</v>
      </c>
      <c r="L388" s="302">
        <f t="shared" ref="L388:L389" si="292">D393-D388</f>
        <v>1.8010000002036719</v>
      </c>
      <c r="M388" s="302">
        <f t="shared" ref="M388:M389" si="293">F393-F388</f>
        <v>0.15600000007065118</v>
      </c>
      <c r="N388" s="302">
        <f t="shared" ref="N388:N389" si="294">SUM(K388:M388)</f>
        <v>3.8790000011587042</v>
      </c>
    </row>
    <row r="389" spans="1:14" x14ac:dyDescent="0.2">
      <c r="A389" s="282" t="s">
        <v>354</v>
      </c>
      <c r="B389" s="302">
        <f>SUM(B387:B388)</f>
        <v>51.422999999261258</v>
      </c>
      <c r="C389" s="299" t="str">
        <f>CONCATENATE("(",ROUND((B389/$H389)*100,1),")")</f>
        <v>(64.1)</v>
      </c>
      <c r="D389" s="302">
        <f>SUM(D387:D388)</f>
        <v>26.225999999729254</v>
      </c>
      <c r="E389" s="299" t="str">
        <f>CONCATENATE("(",ROUND((D389/$H389)*100,1),")")</f>
        <v>(32.7)</v>
      </c>
      <c r="F389" s="302">
        <f>SUM(F387:F388)</f>
        <v>2.5749999999605877</v>
      </c>
      <c r="G389" s="299" t="str">
        <f>CONCATENATE("(",ROUND((F389/$H389)*100,1),")")</f>
        <v>(3.2)</v>
      </c>
      <c r="H389" s="302">
        <f>SUM(H387:H388)</f>
        <v>80.223999998951115</v>
      </c>
      <c r="I389" s="299" t="str">
        <f>CONCATENATE("(",ROUND((H389/$H389)*100,1),")")</f>
        <v>(100)</v>
      </c>
      <c r="K389" s="302">
        <f t="shared" si="291"/>
        <v>3.5450000010273186</v>
      </c>
      <c r="L389" s="302">
        <f t="shared" si="292"/>
        <v>2.4240000002086113</v>
      </c>
      <c r="M389" s="302">
        <f t="shared" si="293"/>
        <v>0.21100000010811115</v>
      </c>
      <c r="N389" s="302">
        <f t="shared" si="294"/>
        <v>6.180000001344041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355</v>
      </c>
      <c r="B392" s="302">
        <f>'Ind T6'!Q475</f>
        <v>29.207999999798332</v>
      </c>
      <c r="C392" s="299" t="str">
        <f>CONCATENATE("(",ROUND((B392/$H394)*100,1),")")</f>
        <v>(33.8)</v>
      </c>
      <c r="D392" s="302">
        <f>'Ind T6'!R475</f>
        <v>5.1109999999649736</v>
      </c>
      <c r="E392" s="299" t="str">
        <f>CONCATENATE("(",ROUND((D392/$H394)*100,1),")")</f>
        <v>(5.9)</v>
      </c>
      <c r="F392" s="302">
        <f>'Ind T6'!S475</f>
        <v>0.72700000003934528</v>
      </c>
      <c r="G392" s="299" t="str">
        <f>CONCATENATE("(",ROUND((F392/$H394)*100,1),")")</f>
        <v>(0.8)</v>
      </c>
      <c r="H392" s="302">
        <f>SUM(B392,D392,F392)</f>
        <v>35.045999999802653</v>
      </c>
      <c r="I392" s="299" t="str">
        <f>CONCATENATE("(",ROUND((H392/$H394)*100,1),")")</f>
        <v>(40.6)</v>
      </c>
      <c r="K392" s="302">
        <f>B397-B392</f>
        <v>1.0889999998992899</v>
      </c>
      <c r="L392" s="302">
        <f>D397-D392</f>
        <v>0.98599999998081955</v>
      </c>
      <c r="M392" s="302">
        <f>F397-F392</f>
        <v>6.7999999988823223E-2</v>
      </c>
      <c r="N392" s="302">
        <f>SUM(K392:M392)</f>
        <v>2.1429999998689326</v>
      </c>
    </row>
    <row r="393" spans="1:14" x14ac:dyDescent="0.2">
      <c r="A393" s="282" t="s">
        <v>356</v>
      </c>
      <c r="B393" s="302">
        <f>'Ind T6'!Q474</f>
        <v>25.760000000490244</v>
      </c>
      <c r="C393" s="299" t="str">
        <f>CONCATENATE("(",ROUND((B393/$H394)*100,1),")")</f>
        <v>(29.8)</v>
      </c>
      <c r="D393" s="302">
        <f>'Ind T6'!R474</f>
        <v>23.538999999972891</v>
      </c>
      <c r="E393" s="299" t="str">
        <f>CONCATENATE("(",ROUND((D393/$H394)*100,1),")")</f>
        <v>(27.2)</v>
      </c>
      <c r="F393" s="302">
        <f>'Ind T6'!S474</f>
        <v>2.0590000000293536</v>
      </c>
      <c r="G393" s="299" t="str">
        <f>CONCATENATE("(",ROUND((F393/$H394)*100,1),")")</f>
        <v>(2.4)</v>
      </c>
      <c r="H393" s="302">
        <f t="shared" ref="H393" si="295">SUM(B393,D393,F393)</f>
        <v>51.358000000492495</v>
      </c>
      <c r="I393" s="299" t="str">
        <f>CONCATENATE("(",ROUND((H393/$H394)*100,1),")")</f>
        <v>(59.4)</v>
      </c>
      <c r="K393" s="302">
        <f t="shared" ref="K393:K394" si="296">B398-B393</f>
        <v>2.0949999997456459</v>
      </c>
      <c r="L393" s="302">
        <f t="shared" ref="L393:L394" si="297">D398-D393</f>
        <v>1.9250000001726804</v>
      </c>
      <c r="M393" s="302">
        <f t="shared" ref="M393:M394" si="298">F398-F393</f>
        <v>0.18599999998146899</v>
      </c>
      <c r="N393" s="302">
        <f t="shared" ref="N393:N394" si="299">SUM(K393:M393)</f>
        <v>4.2059999998997952</v>
      </c>
    </row>
    <row r="394" spans="1:14" x14ac:dyDescent="0.2">
      <c r="A394" s="282" t="s">
        <v>354</v>
      </c>
      <c r="B394" s="302">
        <f>SUM(B392:B393)</f>
        <v>54.968000000288576</v>
      </c>
      <c r="C394" s="299" t="str">
        <f>CONCATENATE("(",ROUND((B394/$H394)*100,1),")")</f>
        <v>(63.6)</v>
      </c>
      <c r="D394" s="302">
        <f>SUM(D392:D393)</f>
        <v>28.649999999937865</v>
      </c>
      <c r="E394" s="299" t="str">
        <f>CONCATENATE("(",ROUND((D394/$H394)*100,1),")")</f>
        <v>(33.2)</v>
      </c>
      <c r="F394" s="302">
        <f>SUM(F392:F393)</f>
        <v>2.7860000000686989</v>
      </c>
      <c r="G394" s="299" t="str">
        <f>CONCATENATE("(",ROUND((F394/$H394)*100,1),")")</f>
        <v>(3.2)</v>
      </c>
      <c r="H394" s="302">
        <f>SUM(H392:H393)</f>
        <v>86.404000000295156</v>
      </c>
      <c r="I394" s="299" t="str">
        <f>CONCATENATE("(",ROUND((H394/$H394)*100,1),")")</f>
        <v>(100)</v>
      </c>
      <c r="K394" s="302">
        <f t="shared" si="296"/>
        <v>3.1839999996449322</v>
      </c>
      <c r="L394" s="302">
        <f t="shared" si="297"/>
        <v>2.9110000001534999</v>
      </c>
      <c r="M394" s="302">
        <f t="shared" si="298"/>
        <v>0.25399999997029221</v>
      </c>
      <c r="N394" s="302">
        <f t="shared" si="299"/>
        <v>6.3489999997687239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355</v>
      </c>
      <c r="B397" s="302">
        <f>'Ind T6'!V475</f>
        <v>30.296999999697622</v>
      </c>
      <c r="C397" s="299" t="str">
        <f>CONCATENATE("(",ROUND((B397/$H399)*100,1),")")</f>
        <v>(32.7)</v>
      </c>
      <c r="D397" s="302">
        <f>'Ind T6'!W475</f>
        <v>6.0969999999457931</v>
      </c>
      <c r="E397" s="299" t="str">
        <f>CONCATENATE("(",ROUND((D397/$H399)*100,1),")")</f>
        <v>(6.6)</v>
      </c>
      <c r="F397" s="302">
        <f>'Ind T6'!X475</f>
        <v>0.79500000002816851</v>
      </c>
      <c r="G397" s="299" t="str">
        <f>CONCATENATE("(",ROUND((F397/$H399)*100,1),")")</f>
        <v>(0.9)</v>
      </c>
      <c r="H397" s="302">
        <f>SUM(B397,D397,F397)</f>
        <v>37.18899999967158</v>
      </c>
      <c r="I397" s="299" t="str">
        <f>CONCATENATE("(",ROUND((H397/$H399)*100,1),")")</f>
        <v>(40.1)</v>
      </c>
      <c r="K397" s="302">
        <f>B397-B387</f>
        <v>2.7120000000422273</v>
      </c>
      <c r="L397" s="302">
        <f>D397-D387</f>
        <v>1.608999999985758</v>
      </c>
      <c r="M397" s="302">
        <f>F397-F387</f>
        <v>0.12300000002628309</v>
      </c>
      <c r="N397" s="302">
        <f>SUM(K397:M397)</f>
        <v>4.4440000000542685</v>
      </c>
    </row>
    <row r="398" spans="1:14" x14ac:dyDescent="0.2">
      <c r="A398" s="282" t="s">
        <v>356</v>
      </c>
      <c r="B398" s="302">
        <f>'Ind T6'!V474</f>
        <v>27.85500000023589</v>
      </c>
      <c r="C398" s="299" t="str">
        <f>CONCATENATE("(",ROUND((B398/$H399)*100,1),")")</f>
        <v>(30)</v>
      </c>
      <c r="D398" s="302">
        <f>'Ind T6'!W474</f>
        <v>25.464000000145571</v>
      </c>
      <c r="E398" s="299" t="str">
        <f>CONCATENATE("(",ROUND((D398/$H399)*100,1),")")</f>
        <v>(27.5)</v>
      </c>
      <c r="F398" s="302">
        <f>'Ind T6'!X474</f>
        <v>2.2450000000108226</v>
      </c>
      <c r="G398" s="299" t="str">
        <f>CONCATENATE("(",ROUND((F398/$H399)*100,1),")")</f>
        <v>(2.4)</v>
      </c>
      <c r="H398" s="302">
        <f t="shared" ref="H398" si="300">SUM(B398,D398,F398)</f>
        <v>55.564000000392284</v>
      </c>
      <c r="I398" s="299" t="str">
        <f>CONCATENATE("(",ROUND((H398/$H399)*100,1),")")</f>
        <v>(59.9)</v>
      </c>
      <c r="K398" s="302">
        <f t="shared" ref="K398:K399" si="301">B398-B388</f>
        <v>4.017000000630027</v>
      </c>
      <c r="L398" s="302">
        <f t="shared" ref="L398:L399" si="302">D398-D388</f>
        <v>3.7260000003763523</v>
      </c>
      <c r="M398" s="302">
        <f t="shared" ref="M398:M399" si="303">F398-F388</f>
        <v>0.34200000005212017</v>
      </c>
      <c r="N398" s="302">
        <f t="shared" ref="N398:N399" si="304">SUM(K398:M398)</f>
        <v>8.0850000010584999</v>
      </c>
    </row>
    <row r="399" spans="1:14" x14ac:dyDescent="0.2">
      <c r="A399" s="282" t="s">
        <v>354</v>
      </c>
      <c r="B399" s="302">
        <f>SUM(B397:B398)</f>
        <v>58.151999999933508</v>
      </c>
      <c r="C399" s="299" t="str">
        <f>CONCATENATE("(",ROUND((B399/$H399)*100,1),")")</f>
        <v>(62.7)</v>
      </c>
      <c r="D399" s="302">
        <f>SUM(D397:D398)</f>
        <v>31.561000000091365</v>
      </c>
      <c r="E399" s="299" t="str">
        <f>CONCATENATE("(",ROUND((D399/$H399)*100,1),")")</f>
        <v>(34)</v>
      </c>
      <c r="F399" s="302">
        <f>SUM(F397:F398)</f>
        <v>3.0400000000389911</v>
      </c>
      <c r="G399" s="299" t="str">
        <f>CONCATENATE("(",ROUND((F399/$H399)*100,1),")")</f>
        <v>(3.3)</v>
      </c>
      <c r="H399" s="302">
        <f>SUM(H397:H398)</f>
        <v>92.753000000063864</v>
      </c>
      <c r="I399" s="299" t="str">
        <f>CONCATENATE("(",ROUND((H399/$H399)*100,1),")")</f>
        <v>(100)</v>
      </c>
      <c r="K399" s="302">
        <f t="shared" si="301"/>
        <v>6.7290000006722508</v>
      </c>
      <c r="L399" s="302">
        <f t="shared" si="302"/>
        <v>5.3350000003621112</v>
      </c>
      <c r="M399" s="302">
        <f t="shared" si="303"/>
        <v>0.46500000007840336</v>
      </c>
      <c r="N399" s="302">
        <f t="shared" si="304"/>
        <v>12.529000001112765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379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377</v>
      </c>
    </row>
    <row r="406" spans="1:14" x14ac:dyDescent="0.2">
      <c r="A406" s="181" t="s">
        <v>378</v>
      </c>
      <c r="B406" s="369" t="s">
        <v>376</v>
      </c>
      <c r="C406" s="369"/>
      <c r="D406" s="369" t="s">
        <v>375</v>
      </c>
      <c r="E406" s="369"/>
      <c r="F406" s="369" t="s">
        <v>374</v>
      </c>
      <c r="G406" s="369"/>
      <c r="H406" s="369" t="s">
        <v>32</v>
      </c>
      <c r="I406" s="369"/>
      <c r="J406" s="181"/>
      <c r="K406" s="297" t="s">
        <v>339</v>
      </c>
      <c r="L406" s="297" t="s">
        <v>341</v>
      </c>
      <c r="M406" s="297" t="s">
        <v>337</v>
      </c>
      <c r="N406" s="297" t="s">
        <v>32</v>
      </c>
    </row>
    <row r="407" spans="1:14" x14ac:dyDescent="0.2">
      <c r="A407" s="292">
        <f>$A$8</f>
        <v>2020</v>
      </c>
      <c r="B407" s="287" t="s">
        <v>60</v>
      </c>
      <c r="C407" s="19" t="s">
        <v>373</v>
      </c>
      <c r="D407" s="287" t="s">
        <v>60</v>
      </c>
      <c r="E407" s="19" t="s">
        <v>373</v>
      </c>
      <c r="F407" s="287" t="s">
        <v>60</v>
      </c>
      <c r="G407" s="19" t="s">
        <v>373</v>
      </c>
      <c r="H407" s="287" t="s">
        <v>60</v>
      </c>
      <c r="I407" s="19" t="s">
        <v>373</v>
      </c>
      <c r="J407" s="181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355</v>
      </c>
      <c r="B408" s="302">
        <f>'Ind T6'!L485</f>
        <v>36.381000000202214</v>
      </c>
      <c r="C408" s="299" t="str">
        <f>CONCATENATE("(",ROUND((B408/$H410)*100,1),")")</f>
        <v>(17.3)</v>
      </c>
      <c r="D408" s="302">
        <f>'Ind T6'!M485</f>
        <v>15.38400000010078</v>
      </c>
      <c r="E408" s="299" t="str">
        <f>CONCATENATE("(",ROUND((D408/$H410)*100,1),")")</f>
        <v>(7.3)</v>
      </c>
      <c r="F408" s="302">
        <f>'Ind T6'!N485</f>
        <v>7.4580000001677753</v>
      </c>
      <c r="G408" s="299" t="str">
        <f>CONCATENATE("(",ROUND((F408/$H410)*100,1),")")</f>
        <v>(3.6)</v>
      </c>
      <c r="H408" s="302">
        <f>SUM(B408,D408,F408)</f>
        <v>59.223000000470762</v>
      </c>
      <c r="I408" s="299" t="str">
        <f>CONCATENATE("(",ROUND((H408/$H410)*100,1),")")</f>
        <v>(28.2)</v>
      </c>
      <c r="K408" s="302">
        <f>B413-B408</f>
        <v>-1.25900000175983</v>
      </c>
      <c r="L408" s="302">
        <f>D413-D408</f>
        <v>-0.1340000003350692</v>
      </c>
      <c r="M408" s="302">
        <f>F413-F408</f>
        <v>-2.1999999534561887E-2</v>
      </c>
      <c r="N408" s="302">
        <f>SUM(K408:M408)</f>
        <v>-1.415000001629461</v>
      </c>
    </row>
    <row r="409" spans="1:14" x14ac:dyDescent="0.2">
      <c r="A409" s="282" t="s">
        <v>356</v>
      </c>
      <c r="B409" s="302">
        <f>'Ind T6'!L484</f>
        <v>58.61600000070311</v>
      </c>
      <c r="C409" s="299" t="str">
        <f>CONCATENATE("(",ROUND((B409/$H410)*100,1),")")</f>
        <v>(27.9)</v>
      </c>
      <c r="D409" s="302">
        <f>'Ind T6'!M484</f>
        <v>78.196999996451808</v>
      </c>
      <c r="E409" s="299" t="str">
        <f>CONCATENATE("(",ROUND((D409/$H410)*100,1),")")</f>
        <v>(37.3)</v>
      </c>
      <c r="F409" s="302">
        <f>'Ind T6'!N484</f>
        <v>13.757999999646987</v>
      </c>
      <c r="G409" s="299" t="str">
        <f>CONCATENATE("(",ROUND((F409/$H410)*100,1),")")</f>
        <v>(6.6)</v>
      </c>
      <c r="H409" s="302">
        <f t="shared" ref="H409" si="305">SUM(B409,D409,F409)</f>
        <v>150.5709999968019</v>
      </c>
      <c r="I409" s="299" t="str">
        <f>CONCATENATE("(",ROUND((H409/$H410)*100,1),")")</f>
        <v>(71.8)</v>
      </c>
      <c r="K409" s="302">
        <f t="shared" ref="K409:K410" si="306">B414-B409</f>
        <v>-6.0000045325381279E-3</v>
      </c>
      <c r="L409" s="302">
        <f t="shared" ref="L409:L410" si="307">D414-D409</f>
        <v>-3.3540000010980293</v>
      </c>
      <c r="M409" s="302">
        <f t="shared" ref="M409:M410" si="308">F414-F409</f>
        <v>-0.14999999941180597</v>
      </c>
      <c r="N409" s="302">
        <f t="shared" ref="N409:N410" si="309">SUM(K409:M409)</f>
        <v>-3.5100000050423734</v>
      </c>
    </row>
    <row r="410" spans="1:14" x14ac:dyDescent="0.2">
      <c r="A410" s="282" t="s">
        <v>354</v>
      </c>
      <c r="B410" s="302">
        <f>SUM(B408:B409)</f>
        <v>94.997000000905331</v>
      </c>
      <c r="C410" s="299" t="str">
        <f>CONCATENATE("(",ROUND((B410/$H410)*100,1),")")</f>
        <v>(45.3)</v>
      </c>
      <c r="D410" s="302">
        <f>SUM(D408:D409)</f>
        <v>93.580999996552592</v>
      </c>
      <c r="E410" s="299" t="str">
        <f>CONCATENATE("(",ROUND((D410/$H410)*100,1),")")</f>
        <v>(44.6)</v>
      </c>
      <c r="F410" s="302">
        <f>SUM(F408:F409)</f>
        <v>21.215999999814763</v>
      </c>
      <c r="G410" s="299" t="str">
        <f>CONCATENATE("(",ROUND((F410/$H410)*100,1),")")</f>
        <v>(10.1)</v>
      </c>
      <c r="H410" s="302">
        <f>SUM(H408:H409)</f>
        <v>209.79399999727266</v>
      </c>
      <c r="I410" s="299" t="str">
        <f>CONCATENATE("(",ROUND((H410/$H410)*100,1),")")</f>
        <v>(100)</v>
      </c>
      <c r="K410" s="302">
        <f t="shared" si="306"/>
        <v>-1.2650000062923823</v>
      </c>
      <c r="L410" s="302">
        <f t="shared" si="307"/>
        <v>-3.4880000014331074</v>
      </c>
      <c r="M410" s="302">
        <f t="shared" si="308"/>
        <v>-0.17199999894636875</v>
      </c>
      <c r="N410" s="302">
        <f t="shared" si="309"/>
        <v>-4.9250000066718584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355</v>
      </c>
      <c r="B413" s="302">
        <f>'Ind T6'!Q485</f>
        <v>35.121999998442384</v>
      </c>
      <c r="C413" s="299" t="str">
        <f>CONCATENATE("(",ROUND((B413/$H415)*100,1),")")</f>
        <v>(17.1)</v>
      </c>
      <c r="D413" s="302">
        <f>'Ind T6'!R485</f>
        <v>15.249999999765711</v>
      </c>
      <c r="E413" s="299" t="str">
        <f>CONCATENATE("(",ROUND((D413/$H415)*100,1),")")</f>
        <v>(7.4)</v>
      </c>
      <c r="F413" s="302">
        <f>'Ind T6'!S485</f>
        <v>7.4360000006332134</v>
      </c>
      <c r="G413" s="299" t="str">
        <f>CONCATENATE("(",ROUND((F413/$H415)*100,1),")")</f>
        <v>(3.6)</v>
      </c>
      <c r="H413" s="302">
        <f>SUM(B413,D413,F413)</f>
        <v>57.807999998841311</v>
      </c>
      <c r="I413" s="299" t="str">
        <f>CONCATENATE("(",ROUND((H413/$H415)*100,1),")")</f>
        <v>(28.2)</v>
      </c>
      <c r="K413" s="302">
        <f>B418-B413</f>
        <v>-0.50099999939656925</v>
      </c>
      <c r="L413" s="302">
        <f>D418-D413</f>
        <v>0.50599999993344191</v>
      </c>
      <c r="M413" s="302">
        <f>F418-F413</f>
        <v>0.31499999987805793</v>
      </c>
      <c r="N413" s="302">
        <f>SUM(K413:M413)</f>
        <v>0.3200000004149306</v>
      </c>
    </row>
    <row r="414" spans="1:14" x14ac:dyDescent="0.2">
      <c r="A414" s="282" t="s">
        <v>356</v>
      </c>
      <c r="B414" s="302">
        <f>'Ind T6'!Q484</f>
        <v>58.609999996170572</v>
      </c>
      <c r="C414" s="299" t="str">
        <f>CONCATENATE("(",ROUND((B414/$H415)*100,1),")")</f>
        <v>(28.6)</v>
      </c>
      <c r="D414" s="302">
        <f>'Ind T6'!R484</f>
        <v>74.842999995353779</v>
      </c>
      <c r="E414" s="299" t="str">
        <f>CONCATENATE("(",ROUND((D414/$H415)*100,1),")")</f>
        <v>(36.5)</v>
      </c>
      <c r="F414" s="302">
        <f>'Ind T6'!S484</f>
        <v>13.608000000235181</v>
      </c>
      <c r="G414" s="299" t="str">
        <f>CONCATENATE("(",ROUND((F414/$H415)*100,1),")")</f>
        <v>(6.6)</v>
      </c>
      <c r="H414" s="302">
        <f t="shared" ref="H414" si="310">SUM(B414,D414,F414)</f>
        <v>147.06099999175953</v>
      </c>
      <c r="I414" s="299" t="str">
        <f>CONCATENATE("(",ROUND((H414/$H415)*100,1),")")</f>
        <v>(71.8)</v>
      </c>
      <c r="K414" s="302">
        <f t="shared" ref="K414:K415" si="311">B419-B414</f>
        <v>3.4100000050258572</v>
      </c>
      <c r="L414" s="302">
        <f t="shared" ref="L414:L415" si="312">D419-D414</f>
        <v>-2.4459999945697604</v>
      </c>
      <c r="M414" s="302">
        <f t="shared" ref="M414:M415" si="313">F419-F414</f>
        <v>0.17199999995028747</v>
      </c>
      <c r="N414" s="302">
        <f t="shared" ref="N414:N415" si="314">SUM(K414:M414)</f>
        <v>1.1360000104063843</v>
      </c>
    </row>
    <row r="415" spans="1:14" x14ac:dyDescent="0.2">
      <c r="A415" s="282" t="s">
        <v>354</v>
      </c>
      <c r="B415" s="302">
        <f>SUM(B413:B414)</f>
        <v>93.731999994612949</v>
      </c>
      <c r="C415" s="299" t="str">
        <f>CONCATENATE("(",ROUND((B415/$H415)*100,1),")")</f>
        <v>(45.8)</v>
      </c>
      <c r="D415" s="302">
        <f>SUM(D413:D414)</f>
        <v>90.092999995119484</v>
      </c>
      <c r="E415" s="299" t="str">
        <f>CONCATENATE("(",ROUND((D415/$H415)*100,1),")")</f>
        <v>(44)</v>
      </c>
      <c r="F415" s="302">
        <f>SUM(F413:F414)</f>
        <v>21.044000000868394</v>
      </c>
      <c r="G415" s="299" t="str">
        <f>CONCATENATE("(",ROUND((F415/$H415)*100,1),")")</f>
        <v>(10.3)</v>
      </c>
      <c r="H415" s="302">
        <f>SUM(H413:H414)</f>
        <v>204.86899999060086</v>
      </c>
      <c r="I415" s="299" t="str">
        <f>CONCATENATE("(",ROUND((H415/$H415)*100,1),")")</f>
        <v>(100)</v>
      </c>
      <c r="K415" s="302">
        <f t="shared" si="311"/>
        <v>2.9090000056292951</v>
      </c>
      <c r="L415" s="302">
        <f t="shared" si="312"/>
        <v>-1.9399999946363096</v>
      </c>
      <c r="M415" s="302">
        <f t="shared" si="313"/>
        <v>0.48699999982834541</v>
      </c>
      <c r="N415" s="302">
        <f t="shared" si="314"/>
        <v>1.4560000108213309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355</v>
      </c>
      <c r="B418" s="302">
        <f>'Ind T6'!V485</f>
        <v>34.620999999045814</v>
      </c>
      <c r="C418" s="299" t="str">
        <f>CONCATENATE("(",ROUND((B418/$H420)*100,1),")")</f>
        <v>(16.8)</v>
      </c>
      <c r="D418" s="302">
        <f>'Ind T6'!W485</f>
        <v>15.755999999699153</v>
      </c>
      <c r="E418" s="299" t="str">
        <f>CONCATENATE("(",ROUND((D418/$H420)*100,1),")")</f>
        <v>(7.6)</v>
      </c>
      <c r="F418" s="302">
        <f>'Ind T6'!X485</f>
        <v>7.7510000005112714</v>
      </c>
      <c r="G418" s="299" t="str">
        <f>CONCATENATE("(",ROUND((F418/$H420)*100,1),")")</f>
        <v>(3.8)</v>
      </c>
      <c r="H418" s="302">
        <f>SUM(B418,D418,F418)</f>
        <v>58.127999999256232</v>
      </c>
      <c r="I418" s="299" t="str">
        <f>CONCATENATE("(",ROUND((H418/$H420)*100,1),")")</f>
        <v>(28.2)</v>
      </c>
      <c r="K418" s="302">
        <f>B418-B408</f>
        <v>-1.7600000011563992</v>
      </c>
      <c r="L418" s="302">
        <f>D418-D408</f>
        <v>0.37199999959837271</v>
      </c>
      <c r="M418" s="302">
        <f>F418-F408</f>
        <v>0.29300000034349605</v>
      </c>
      <c r="N418" s="302">
        <f>SUM(K418:M418)</f>
        <v>-1.0950000012145304</v>
      </c>
    </row>
    <row r="419" spans="1:14" x14ac:dyDescent="0.2">
      <c r="A419" s="282" t="s">
        <v>356</v>
      </c>
      <c r="B419" s="302">
        <f>'Ind T6'!V484</f>
        <v>62.020000001196429</v>
      </c>
      <c r="C419" s="299" t="str">
        <f>CONCATENATE("(",ROUND((B419/$H420)*100,1),")")</f>
        <v>(30.1)</v>
      </c>
      <c r="D419" s="302">
        <f>'Ind T6'!W484</f>
        <v>72.397000000784018</v>
      </c>
      <c r="E419" s="299" t="str">
        <f>CONCATENATE("(",ROUND((D419/$H420)*100,1),")")</f>
        <v>(35.1)</v>
      </c>
      <c r="F419" s="302">
        <f>'Ind T6'!X484</f>
        <v>13.780000000185469</v>
      </c>
      <c r="G419" s="299" t="str">
        <f>CONCATENATE("(",ROUND((F419/$H420)*100,1),")")</f>
        <v>(6.7)</v>
      </c>
      <c r="H419" s="302">
        <f t="shared" ref="H419" si="315">SUM(B419,D419,F419)</f>
        <v>148.19700000216594</v>
      </c>
      <c r="I419" s="299" t="str">
        <f>CONCATENATE("(",ROUND((H419/$H420)*100,1),")")</f>
        <v>(71.8)</v>
      </c>
      <c r="K419" s="302">
        <f t="shared" ref="K419:K420" si="316">B419-B409</f>
        <v>3.4040000004933191</v>
      </c>
      <c r="L419" s="302">
        <f t="shared" ref="L419:L420" si="317">D419-D409</f>
        <v>-5.7999999956677897</v>
      </c>
      <c r="M419" s="302">
        <f t="shared" ref="M419:M420" si="318">F419-F409</f>
        <v>2.2000000538481501E-2</v>
      </c>
      <c r="N419" s="302">
        <f t="shared" ref="N419:N420" si="319">SUM(K419:M419)</f>
        <v>-2.3739999946359891</v>
      </c>
    </row>
    <row r="420" spans="1:14" x14ac:dyDescent="0.2">
      <c r="A420" s="282" t="s">
        <v>354</v>
      </c>
      <c r="B420" s="302">
        <f>SUM(B418:B419)</f>
        <v>96.641000000242244</v>
      </c>
      <c r="C420" s="299" t="str">
        <f>CONCATENATE("(",ROUND((B420/$H420)*100,1),")")</f>
        <v>(46.8)</v>
      </c>
      <c r="D420" s="302">
        <f>SUM(D418:D419)</f>
        <v>88.153000000483175</v>
      </c>
      <c r="E420" s="299" t="str">
        <f>CONCATENATE("(",ROUND((D420/$H420)*100,1),")")</f>
        <v>(42.7)</v>
      </c>
      <c r="F420" s="302">
        <f>SUM(F418:F419)</f>
        <v>21.531000000696739</v>
      </c>
      <c r="G420" s="299" t="str">
        <f>CONCATENATE("(",ROUND((F420/$H420)*100,1),")")</f>
        <v>(10.4)</v>
      </c>
      <c r="H420" s="302">
        <f>SUM(H418:H419)</f>
        <v>206.32500000142215</v>
      </c>
      <c r="I420" s="299" t="str">
        <f>CONCATENATE("(",ROUND((H420/$H420)*100,1),")")</f>
        <v>(100)</v>
      </c>
      <c r="K420" s="302">
        <f t="shared" si="316"/>
        <v>1.6439999993369128</v>
      </c>
      <c r="L420" s="302">
        <f t="shared" si="317"/>
        <v>-5.427999996069417</v>
      </c>
      <c r="M420" s="302">
        <f t="shared" si="318"/>
        <v>0.31500000088197666</v>
      </c>
      <c r="N420" s="302">
        <f t="shared" si="319"/>
        <v>-3.4689999958505275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1"/>
      <c r="E424" s="181"/>
      <c r="G424" s="181"/>
      <c r="I424" s="181"/>
    </row>
    <row r="425" spans="1:14" x14ac:dyDescent="0.2">
      <c r="A425" s="288"/>
      <c r="B425" s="289" t="s">
        <v>379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377</v>
      </c>
    </row>
    <row r="427" spans="1:14" x14ac:dyDescent="0.2">
      <c r="A427" s="181" t="s">
        <v>378</v>
      </c>
      <c r="B427" s="369" t="s">
        <v>376</v>
      </c>
      <c r="C427" s="369"/>
      <c r="D427" s="369" t="s">
        <v>375</v>
      </c>
      <c r="E427" s="369"/>
      <c r="F427" s="369" t="s">
        <v>374</v>
      </c>
      <c r="G427" s="369"/>
      <c r="H427" s="369" t="s">
        <v>32</v>
      </c>
      <c r="I427" s="369"/>
      <c r="J427" s="181"/>
      <c r="K427" s="297" t="s">
        <v>339</v>
      </c>
      <c r="L427" s="297" t="s">
        <v>341</v>
      </c>
      <c r="M427" s="297" t="s">
        <v>337</v>
      </c>
      <c r="N427" s="297" t="s">
        <v>32</v>
      </c>
    </row>
    <row r="428" spans="1:14" x14ac:dyDescent="0.2">
      <c r="A428" s="292">
        <f>$A$8</f>
        <v>2020</v>
      </c>
      <c r="B428" s="287" t="s">
        <v>60</v>
      </c>
      <c r="C428" s="19" t="s">
        <v>373</v>
      </c>
      <c r="D428" s="287" t="s">
        <v>60</v>
      </c>
      <c r="E428" s="19" t="s">
        <v>373</v>
      </c>
      <c r="F428" s="287" t="s">
        <v>60</v>
      </c>
      <c r="G428" s="19" t="s">
        <v>373</v>
      </c>
      <c r="H428" s="287" t="s">
        <v>60</v>
      </c>
      <c r="I428" s="19" t="s">
        <v>373</v>
      </c>
      <c r="J428" s="181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355</v>
      </c>
      <c r="B429" s="302">
        <f>'Ind T6'!L510</f>
        <v>39.665999999387168</v>
      </c>
      <c r="C429" s="299" t="str">
        <f>CONCATENATE("(",ROUND((B429/$H431)*100,1),")")</f>
        <v>(14.3)</v>
      </c>
      <c r="D429" s="302">
        <f>'Ind T6'!M510</f>
        <v>13.697000000015226</v>
      </c>
      <c r="E429" s="299" t="str">
        <f>CONCATENATE("(",ROUND((D429/$H431)*100,1),")")</f>
        <v>(4.9)</v>
      </c>
      <c r="F429" s="302">
        <f>'Ind T6'!N510</f>
        <v>4.1870000000525014</v>
      </c>
      <c r="G429" s="299" t="str">
        <f>CONCATENATE("(",ROUND((F429/$H431)*100,1),")")</f>
        <v>(1.5)</v>
      </c>
      <c r="H429" s="302">
        <f>SUM(B429,D429,F429)</f>
        <v>57.54999999945489</v>
      </c>
      <c r="I429" s="299" t="str">
        <f>CONCATENATE("(",ROUND((H429/$H431)*100,1),")")</f>
        <v>(20.7)</v>
      </c>
      <c r="K429" s="302">
        <f>B434-B429</f>
        <v>2.596000000092495</v>
      </c>
      <c r="L429" s="302">
        <f>D434-D429</f>
        <v>1.2559999999807498</v>
      </c>
      <c r="M429" s="302">
        <f>F434-F429</f>
        <v>4.600000032124818E-2</v>
      </c>
      <c r="N429" s="302">
        <f>SUM(K429:M429)</f>
        <v>3.898000000394493</v>
      </c>
    </row>
    <row r="430" spans="1:14" x14ac:dyDescent="0.2">
      <c r="A430" s="282" t="s">
        <v>356</v>
      </c>
      <c r="B430" s="302">
        <f>'Ind T6'!L509</f>
        <v>110.19099999927782</v>
      </c>
      <c r="C430" s="299" t="str">
        <f>CONCATENATE("(",ROUND((B430/$H431)*100,1),")")</f>
        <v>(39.7)</v>
      </c>
      <c r="D430" s="302">
        <f>'Ind T6'!M509</f>
        <v>95.93699999838833</v>
      </c>
      <c r="E430" s="299" t="str">
        <f>CONCATENATE("(",ROUND((D430/$H431)*100,1),")")</f>
        <v>(34.5)</v>
      </c>
      <c r="F430" s="302">
        <f>'Ind T6'!N509</f>
        <v>14.206000000853511</v>
      </c>
      <c r="G430" s="299" t="str">
        <f>CONCATENATE("(",ROUND((F430/$H431)*100,1),")")</f>
        <v>(5.1)</v>
      </c>
      <c r="H430" s="302">
        <f t="shared" ref="H430" si="320">SUM(B430,D430,F430)</f>
        <v>220.33399999851969</v>
      </c>
      <c r="I430" s="299" t="str">
        <f>CONCATENATE("(",ROUND((H430/$H431)*100,1),")")</f>
        <v>(79.3)</v>
      </c>
      <c r="K430" s="302">
        <f t="shared" ref="K430:K431" si="321">B435-B430</f>
        <v>10.3340000006922</v>
      </c>
      <c r="L430" s="302">
        <f t="shared" ref="L430:L431" si="322">D435-D430</f>
        <v>3.1159999982966156</v>
      </c>
      <c r="M430" s="302">
        <f t="shared" ref="M430:M431" si="323">F435-F430</f>
        <v>1.819999999329859</v>
      </c>
      <c r="N430" s="302">
        <f t="shared" ref="N430:N431" si="324">SUM(K430:M430)</f>
        <v>15.269999998318674</v>
      </c>
    </row>
    <row r="431" spans="1:14" x14ac:dyDescent="0.2">
      <c r="A431" s="282" t="s">
        <v>354</v>
      </c>
      <c r="B431" s="302">
        <f>SUM(B429:B430)</f>
        <v>149.856999998665</v>
      </c>
      <c r="C431" s="299" t="str">
        <f>CONCATENATE("(",ROUND((B431/$H431)*100,1),")")</f>
        <v>(53.9)</v>
      </c>
      <c r="D431" s="302">
        <f>SUM(D429:D430)</f>
        <v>109.63399999840355</v>
      </c>
      <c r="E431" s="299" t="str">
        <f>CONCATENATE("(",ROUND((D431/$H431)*100,1),")")</f>
        <v>(39.5)</v>
      </c>
      <c r="F431" s="302">
        <f>SUM(F429:F430)</f>
        <v>18.393000000906014</v>
      </c>
      <c r="G431" s="299" t="str">
        <f>CONCATENATE("(",ROUND((F431/$H431)*100,1),")")</f>
        <v>(6.6)</v>
      </c>
      <c r="H431" s="302">
        <f>SUM(H429:H430)</f>
        <v>277.88399999797457</v>
      </c>
      <c r="I431" s="299" t="str">
        <f>CONCATENATE("(",ROUND((H431/$H431)*100,1),")")</f>
        <v>(100)</v>
      </c>
      <c r="K431" s="302">
        <f t="shared" si="321"/>
        <v>12.930000000784673</v>
      </c>
      <c r="L431" s="302">
        <f t="shared" si="322"/>
        <v>4.3719999982773743</v>
      </c>
      <c r="M431" s="302">
        <f t="shared" si="323"/>
        <v>1.8659999996511054</v>
      </c>
      <c r="N431" s="302">
        <f t="shared" si="324"/>
        <v>19.167999998713153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355</v>
      </c>
      <c r="B434" s="302">
        <f>'Ind T6'!Q510</f>
        <v>42.261999999479663</v>
      </c>
      <c r="C434" s="299" t="str">
        <f>CONCATENATE("(",ROUND((B434/$H436)*100,1),")")</f>
        <v>(14.2)</v>
      </c>
      <c r="D434" s="302">
        <f>'Ind T6'!R510</f>
        <v>14.952999999995976</v>
      </c>
      <c r="E434" s="299" t="str">
        <f>CONCATENATE("(",ROUND((D434/$H436)*100,1),")")</f>
        <v>(5)</v>
      </c>
      <c r="F434" s="302">
        <f>'Ind T6'!S510</f>
        <v>4.2330000003737496</v>
      </c>
      <c r="G434" s="299" t="str">
        <f>CONCATENATE("(",ROUND((F434/$H436)*100,1),")")</f>
        <v>(1.4)</v>
      </c>
      <c r="H434" s="302">
        <f>SUM(B434,D434,F434)</f>
        <v>61.447999999849387</v>
      </c>
      <c r="I434" s="299" t="str">
        <f>CONCATENATE("(",ROUND((H434/$H436)*100,1),")")</f>
        <v>(20.7)</v>
      </c>
      <c r="K434" s="302">
        <f>B439-B434</f>
        <v>2.5030000000525732</v>
      </c>
      <c r="L434" s="302">
        <f>D439-D434</f>
        <v>1.4049999999804097</v>
      </c>
      <c r="M434" s="302">
        <f>F439-F434</f>
        <v>-0.19700000014801855</v>
      </c>
      <c r="N434" s="302">
        <f>SUM(K434:M434)</f>
        <v>3.7109999998849643</v>
      </c>
    </row>
    <row r="435" spans="1:14" x14ac:dyDescent="0.2">
      <c r="A435" s="282" t="s">
        <v>356</v>
      </c>
      <c r="B435" s="302">
        <f>'Ind T6'!Q509</f>
        <v>120.52499999997002</v>
      </c>
      <c r="C435" s="299" t="str">
        <f>CONCATENATE("(",ROUND((B435/$H436)*100,1),")")</f>
        <v>(40.6)</v>
      </c>
      <c r="D435" s="302">
        <f>'Ind T6'!R509</f>
        <v>99.052999996684946</v>
      </c>
      <c r="E435" s="299" t="str">
        <f>CONCATENATE("(",ROUND((D435/$H436)*100,1),")")</f>
        <v>(33.3)</v>
      </c>
      <c r="F435" s="302">
        <f>'Ind T6'!S509</f>
        <v>16.02600000018337</v>
      </c>
      <c r="G435" s="299" t="str">
        <f>CONCATENATE("(",ROUND((F435/$H436)*100,1),")")</f>
        <v>(5.4)</v>
      </c>
      <c r="H435" s="302">
        <f t="shared" ref="H435" si="325">SUM(B435,D435,F435)</f>
        <v>235.60399999683833</v>
      </c>
      <c r="I435" s="299" t="str">
        <f>CONCATENATE("(",ROUND((H435/$H436)*100,1),")")</f>
        <v>(79.3)</v>
      </c>
      <c r="K435" s="302">
        <f t="shared" ref="K435:K436" si="326">B440-B435</f>
        <v>13.284000000189394</v>
      </c>
      <c r="L435" s="302">
        <f t="shared" ref="L435:L436" si="327">D440-D435</f>
        <v>-1.9129999968917559</v>
      </c>
      <c r="M435" s="302">
        <f t="shared" ref="M435:M436" si="328">F440-F435</f>
        <v>2.2609999998699237</v>
      </c>
      <c r="N435" s="302">
        <f t="shared" ref="N435:N436" si="329">SUM(K435:M435)</f>
        <v>13.632000003167562</v>
      </c>
    </row>
    <row r="436" spans="1:14" x14ac:dyDescent="0.2">
      <c r="A436" s="282" t="s">
        <v>354</v>
      </c>
      <c r="B436" s="302">
        <f>SUM(B434:B435)</f>
        <v>162.78699999944968</v>
      </c>
      <c r="C436" s="299" t="str">
        <f>CONCATENATE("(",ROUND((B436/$H436)*100,1),")")</f>
        <v>(54.8)</v>
      </c>
      <c r="D436" s="302">
        <f>SUM(D434:D435)</f>
        <v>114.00599999668093</v>
      </c>
      <c r="E436" s="299" t="str">
        <f>CONCATENATE("(",ROUND((D436/$H436)*100,1),")")</f>
        <v>(38.4)</v>
      </c>
      <c r="F436" s="302">
        <f>SUM(F434:F435)</f>
        <v>20.259000000557119</v>
      </c>
      <c r="G436" s="299" t="str">
        <f>CONCATENATE("(",ROUND((F436/$H436)*100,1),")")</f>
        <v>(6.8)</v>
      </c>
      <c r="H436" s="302">
        <f>SUM(H434:H435)</f>
        <v>297.0519999966877</v>
      </c>
      <c r="I436" s="299" t="str">
        <f>CONCATENATE("(",ROUND((H436/$H436)*100,1),")")</f>
        <v>(100)</v>
      </c>
      <c r="K436" s="302">
        <f t="shared" si="326"/>
        <v>15.78700000024196</v>
      </c>
      <c r="L436" s="302">
        <f t="shared" si="327"/>
        <v>-0.50799999691135156</v>
      </c>
      <c r="M436" s="302">
        <f t="shared" si="328"/>
        <v>2.0639999997219043</v>
      </c>
      <c r="N436" s="302">
        <f t="shared" si="329"/>
        <v>17.343000003052513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355</v>
      </c>
      <c r="B439" s="302">
        <f>'Ind T6'!V510</f>
        <v>44.764999999532236</v>
      </c>
      <c r="C439" s="299" t="str">
        <f>CONCATENATE("(",ROUND((B439/$H441)*100,1),")")</f>
        <v>(14.2)</v>
      </c>
      <c r="D439" s="302">
        <f>'Ind T6'!W510</f>
        <v>16.357999999976386</v>
      </c>
      <c r="E439" s="299" t="str">
        <f>CONCATENATE("(",ROUND((D439/$H441)*100,1),")")</f>
        <v>(5.2)</v>
      </c>
      <c r="F439" s="302">
        <f>'Ind T6'!X510</f>
        <v>4.036000000225731</v>
      </c>
      <c r="G439" s="299" t="str">
        <f>CONCATENATE("(",ROUND((F439/$H441)*100,1),")")</f>
        <v>(1.3)</v>
      </c>
      <c r="H439" s="302">
        <f>SUM(B439,D439,F439)</f>
        <v>65.158999999734348</v>
      </c>
      <c r="I439" s="299" t="str">
        <f>CONCATENATE("(",ROUND((H439/$H441)*100,1),")")</f>
        <v>(20.7)</v>
      </c>
      <c r="K439" s="302">
        <f>B439-B429</f>
        <v>5.0990000001450682</v>
      </c>
      <c r="L439" s="302">
        <f>D439-D429</f>
        <v>2.6609999999611595</v>
      </c>
      <c r="M439" s="302">
        <f>F439-F429</f>
        <v>-0.15099999982677037</v>
      </c>
      <c r="N439" s="302">
        <f>SUM(K439:M439)</f>
        <v>7.6090000002794573</v>
      </c>
    </row>
    <row r="440" spans="1:14" x14ac:dyDescent="0.2">
      <c r="A440" s="282" t="s">
        <v>356</v>
      </c>
      <c r="B440" s="302">
        <f>'Ind T6'!V509</f>
        <v>133.80900000015941</v>
      </c>
      <c r="C440" s="299" t="str">
        <f>CONCATENATE("(",ROUND((B440/$H441)*100,1),")")</f>
        <v>(42.6)</v>
      </c>
      <c r="D440" s="302">
        <f>'Ind T6'!W509</f>
        <v>97.13999999979319</v>
      </c>
      <c r="E440" s="299" t="str">
        <f>CONCATENATE("(",ROUND((D440/$H441)*100,1),")")</f>
        <v>(30.9)</v>
      </c>
      <c r="F440" s="302">
        <f>'Ind T6'!X509</f>
        <v>18.287000000053293</v>
      </c>
      <c r="G440" s="299" t="str">
        <f>CONCATENATE("(",ROUND((F440/$H441)*100,1),")")</f>
        <v>(5.8)</v>
      </c>
      <c r="H440" s="302">
        <f t="shared" ref="H440" si="330">SUM(B440,D440,F440)</f>
        <v>249.2360000000059</v>
      </c>
      <c r="I440" s="299" t="str">
        <f>CONCATENATE("(",ROUND((H440/$H441)*100,1),")")</f>
        <v>(79.3)</v>
      </c>
      <c r="K440" s="302">
        <f t="shared" ref="K440:K441" si="331">B440-B430</f>
        <v>23.618000000881594</v>
      </c>
      <c r="L440" s="302">
        <f t="shared" ref="L440:L441" si="332">D440-D430</f>
        <v>1.2030000014048596</v>
      </c>
      <c r="M440" s="302">
        <f t="shared" ref="M440:M441" si="333">F440-F430</f>
        <v>4.0809999991997827</v>
      </c>
      <c r="N440" s="302">
        <f t="shared" ref="N440:N441" si="334">SUM(K440:M440)</f>
        <v>28.902000001486236</v>
      </c>
    </row>
    <row r="441" spans="1:14" x14ac:dyDescent="0.2">
      <c r="A441" s="282" t="s">
        <v>354</v>
      </c>
      <c r="B441" s="302">
        <f>SUM(B439:B440)</f>
        <v>178.57399999969164</v>
      </c>
      <c r="C441" s="299" t="str">
        <f>CONCATENATE("(",ROUND((B441/$H441)*100,1),")")</f>
        <v>(56.8)</v>
      </c>
      <c r="D441" s="302">
        <f>SUM(D439:D440)</f>
        <v>113.49799999976958</v>
      </c>
      <c r="E441" s="299" t="str">
        <f>CONCATENATE("(",ROUND((D441/$H441)*100,1),")")</f>
        <v>(36.1)</v>
      </c>
      <c r="F441" s="302">
        <f>SUM(F439:F440)</f>
        <v>22.323000000279023</v>
      </c>
      <c r="G441" s="299" t="str">
        <f>CONCATENATE("(",ROUND((F441/$H441)*100,1),")")</f>
        <v>(7.1)</v>
      </c>
      <c r="H441" s="302">
        <f>SUM(H439:H440)</f>
        <v>314.39499999974026</v>
      </c>
      <c r="I441" s="299" t="str">
        <f>CONCATENATE("(",ROUND((H441/$H441)*100,1),")")</f>
        <v>(100)</v>
      </c>
      <c r="K441" s="302">
        <f t="shared" si="331"/>
        <v>28.717000001026634</v>
      </c>
      <c r="L441" s="302">
        <f t="shared" si="332"/>
        <v>3.8640000013660227</v>
      </c>
      <c r="M441" s="302">
        <f t="shared" si="333"/>
        <v>3.9299999993730097</v>
      </c>
      <c r="N441" s="302">
        <f t="shared" si="334"/>
        <v>36.511000001765666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379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377</v>
      </c>
    </row>
    <row r="448" spans="1:14" x14ac:dyDescent="0.2">
      <c r="A448" s="181" t="s">
        <v>378</v>
      </c>
      <c r="B448" s="369" t="s">
        <v>376</v>
      </c>
      <c r="C448" s="369"/>
      <c r="D448" s="369" t="s">
        <v>375</v>
      </c>
      <c r="E448" s="369"/>
      <c r="F448" s="369" t="s">
        <v>374</v>
      </c>
      <c r="G448" s="369"/>
      <c r="H448" s="369" t="s">
        <v>32</v>
      </c>
      <c r="I448" s="369"/>
      <c r="J448" s="181"/>
      <c r="K448" s="297" t="s">
        <v>339</v>
      </c>
      <c r="L448" s="297" t="s">
        <v>341</v>
      </c>
      <c r="M448" s="297" t="s">
        <v>337</v>
      </c>
      <c r="N448" s="297" t="s">
        <v>32</v>
      </c>
    </row>
    <row r="449" spans="1:14" x14ac:dyDescent="0.2">
      <c r="A449" s="292">
        <f>$A$8</f>
        <v>2020</v>
      </c>
      <c r="B449" s="287" t="s">
        <v>60</v>
      </c>
      <c r="C449" s="19" t="s">
        <v>373</v>
      </c>
      <c r="D449" s="287" t="s">
        <v>60</v>
      </c>
      <c r="E449" s="19" t="s">
        <v>373</v>
      </c>
      <c r="F449" s="287" t="s">
        <v>337</v>
      </c>
      <c r="G449" s="19" t="s">
        <v>373</v>
      </c>
      <c r="H449" s="287" t="s">
        <v>60</v>
      </c>
      <c r="I449" s="19" t="s">
        <v>373</v>
      </c>
      <c r="J449" s="181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355</v>
      </c>
      <c r="B450" s="302">
        <f>'Ind T6'!L540</f>
        <v>11.43299999995382</v>
      </c>
      <c r="C450" s="299" t="str">
        <f>CONCATENATE("(",ROUND((B450/$H452)*100,1),")")</f>
        <v>(20.1)</v>
      </c>
      <c r="D450" s="302">
        <f>'Ind T6'!M540</f>
        <v>8.4630000000391803</v>
      </c>
      <c r="E450" s="299" t="str">
        <f>CONCATENATE("(",ROUND((D450/$H452)*100,1),")")</f>
        <v>(14.9)</v>
      </c>
      <c r="F450" s="302">
        <f>'Ind T6'!N540</f>
        <v>7.1990000001317895</v>
      </c>
      <c r="G450" s="299" t="str">
        <f>CONCATENATE("(",ROUND((F450/$H452)*100,1),")")</f>
        <v>(12.7)</v>
      </c>
      <c r="H450" s="302">
        <f>SUM(B450,D450,F450)</f>
        <v>27.095000000124791</v>
      </c>
      <c r="I450" s="299" t="str">
        <f>CONCATENATE("(",ROUND((H450/$H452)*100,1),")")</f>
        <v>(47.7)</v>
      </c>
      <c r="K450" s="302">
        <f>B455-B450</f>
        <v>-0.35799999996114984</v>
      </c>
      <c r="L450" s="302">
        <f>D455-D450</f>
        <v>-9.800000000084097E-2</v>
      </c>
      <c r="M450" s="302">
        <f>F455-F450</f>
        <v>-0.70899999972055294</v>
      </c>
      <c r="N450" s="302">
        <f>SUM(K450:M450)</f>
        <v>-1.1649999996825438</v>
      </c>
    </row>
    <row r="451" spans="1:14" x14ac:dyDescent="0.2">
      <c r="A451" s="282" t="s">
        <v>356</v>
      </c>
      <c r="B451" s="302">
        <f>'Ind T6'!L539</f>
        <v>8.9209999998491192</v>
      </c>
      <c r="C451" s="299" t="str">
        <f>CONCATENATE("(",ROUND((B451/$H452)*100,1),")")</f>
        <v>(15.7)</v>
      </c>
      <c r="D451" s="302">
        <f>'Ind T6'!M539</f>
        <v>14.764000000116127</v>
      </c>
      <c r="E451" s="299" t="str">
        <f>CONCATENATE("(",ROUND((D451/$H452)*100,1),")")</f>
        <v>(26)</v>
      </c>
      <c r="F451" s="302">
        <f>'Ind T6'!N539</f>
        <v>6.0289999997410817</v>
      </c>
      <c r="G451" s="299" t="str">
        <f>CONCATENATE("(",ROUND((F451/$H452)*100,1),")")</f>
        <v>(10.6)</v>
      </c>
      <c r="H451" s="302">
        <f t="shared" ref="H451" si="335">SUM(B451,D451,F451)</f>
        <v>29.713999999706328</v>
      </c>
      <c r="I451" s="299" t="str">
        <f>CONCATENATE("(",ROUND((H451/$H452)*100,1),")")</f>
        <v>(52.3)</v>
      </c>
      <c r="K451" s="302">
        <f t="shared" ref="K451:K452" si="336">B456-B451</f>
        <v>-0.81599999964585912</v>
      </c>
      <c r="L451" s="302">
        <f t="shared" ref="L451:L452" si="337">D456-D451</f>
        <v>-0.86300000002312771</v>
      </c>
      <c r="M451" s="302">
        <f t="shared" ref="M451:M452" si="338">F456-F451</f>
        <v>-1.0879999996733449</v>
      </c>
      <c r="N451" s="302">
        <f t="shared" ref="N451:N452" si="339">SUM(K451:M451)</f>
        <v>-2.7669999993423318</v>
      </c>
    </row>
    <row r="452" spans="1:14" x14ac:dyDescent="0.2">
      <c r="A452" s="282" t="s">
        <v>354</v>
      </c>
      <c r="B452" s="302">
        <f>SUM(B450:B451)</f>
        <v>20.353999999802937</v>
      </c>
      <c r="C452" s="299" t="str">
        <f>CONCATENATE("(",ROUND((B452/$H452)*100,1),")")</f>
        <v>(35.8)</v>
      </c>
      <c r="D452" s="302">
        <f>SUM(D450:D451)</f>
        <v>23.227000000155307</v>
      </c>
      <c r="E452" s="299" t="str">
        <f>CONCATENATE("(",ROUND((D452/$H452)*100,1),")")</f>
        <v>(40.9)</v>
      </c>
      <c r="F452" s="302">
        <f>SUM(F450:F451)</f>
        <v>13.227999999872871</v>
      </c>
      <c r="G452" s="299" t="str">
        <f>CONCATENATE("(",ROUND((F452/$H452)*100,1),")")</f>
        <v>(23.3)</v>
      </c>
      <c r="H452" s="302">
        <f>SUM(H450:H451)</f>
        <v>56.808999999831116</v>
      </c>
      <c r="I452" s="299" t="str">
        <f>CONCATENATE("(",ROUND((H452/$H452)*100,1),")")</f>
        <v>(100)</v>
      </c>
      <c r="K452" s="302">
        <f t="shared" si="336"/>
        <v>-1.1739999996070054</v>
      </c>
      <c r="L452" s="302">
        <f t="shared" si="337"/>
        <v>-0.96100000002396868</v>
      </c>
      <c r="M452" s="302">
        <f t="shared" si="338"/>
        <v>-1.796999999393897</v>
      </c>
      <c r="N452" s="302">
        <f t="shared" si="339"/>
        <v>-3.9319999990248711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355</v>
      </c>
      <c r="B455" s="302">
        <f>'Ind T6'!Q540</f>
        <v>11.07499999999267</v>
      </c>
      <c r="C455" s="299" t="str">
        <f>CONCATENATE("(",ROUND((B455/$H457)*100,1),")")</f>
        <v>(20.9)</v>
      </c>
      <c r="D455" s="302">
        <f>'Ind T6'!R540</f>
        <v>8.3650000000383393</v>
      </c>
      <c r="E455" s="299" t="str">
        <f>CONCATENATE("(",ROUND((D455/$H457)*100,1),")")</f>
        <v>(15.8)</v>
      </c>
      <c r="F455" s="302">
        <f>'Ind T6'!S540</f>
        <v>6.4900000004112366</v>
      </c>
      <c r="G455" s="299" t="str">
        <f>CONCATENATE("(",ROUND((F455/$H457)*100,1),")")</f>
        <v>(12.3)</v>
      </c>
      <c r="H455" s="302">
        <f>SUM(B455,D455,F455)</f>
        <v>25.930000000442245</v>
      </c>
      <c r="I455" s="299" t="str">
        <f>CONCATENATE("(",ROUND((H455/$H457)*100,1),")")</f>
        <v>(49)</v>
      </c>
      <c r="K455" s="302">
        <f>B460-B455</f>
        <v>0.10399999997049925</v>
      </c>
      <c r="L455" s="302">
        <f>D460-D455</f>
        <v>0.41500000002862691</v>
      </c>
      <c r="M455" s="302">
        <f>F460-F455</f>
        <v>0.35099999990546227</v>
      </c>
      <c r="N455" s="302">
        <f>SUM(K455:M455)</f>
        <v>0.86999999990458843</v>
      </c>
    </row>
    <row r="456" spans="1:14" x14ac:dyDescent="0.2">
      <c r="A456" s="282" t="s">
        <v>356</v>
      </c>
      <c r="B456" s="302">
        <f>'Ind T6'!Q539</f>
        <v>8.1050000002032601</v>
      </c>
      <c r="C456" s="299" t="str">
        <f>CONCATENATE("(",ROUND((B456/$H457)*100,1),")")</f>
        <v>(15.3)</v>
      </c>
      <c r="D456" s="302">
        <f>'Ind T6'!R539</f>
        <v>13.901000000092999</v>
      </c>
      <c r="E456" s="299" t="str">
        <f>CONCATENATE("(",ROUND((D456/$H457)*100,1),")")</f>
        <v>(26.3)</v>
      </c>
      <c r="F456" s="302">
        <f>'Ind T6'!S539</f>
        <v>4.9410000000677368</v>
      </c>
      <c r="G456" s="299" t="str">
        <f>CONCATENATE("(",ROUND((F456/$H457)*100,1),")")</f>
        <v>(9.3)</v>
      </c>
      <c r="H456" s="302">
        <f t="shared" ref="H456" si="340">SUM(B456,D456,F456)</f>
        <v>26.947000000364</v>
      </c>
      <c r="I456" s="299" t="str">
        <f>CONCATENATE("(",ROUND((H456/$H457)*100,1),")")</f>
        <v>(51)</v>
      </c>
      <c r="K456" s="302">
        <f t="shared" ref="K456:K457" si="341">B461-B456</f>
        <v>-0.42200000015618855</v>
      </c>
      <c r="L456" s="302">
        <f t="shared" ref="L456:L457" si="342">D461-D456</f>
        <v>4.4999999871697227E-2</v>
      </c>
      <c r="M456" s="302">
        <f t="shared" ref="M456:M457" si="343">F461-F456</f>
        <v>0.31700000001545448</v>
      </c>
      <c r="N456" s="302">
        <f t="shared" ref="N456:N457" si="344">SUM(K456:M456)</f>
        <v>-6.0000000269036846E-2</v>
      </c>
    </row>
    <row r="457" spans="1:14" x14ac:dyDescent="0.2">
      <c r="A457" s="282" t="s">
        <v>354</v>
      </c>
      <c r="B457" s="302">
        <f>SUM(B455:B456)</f>
        <v>19.180000000195932</v>
      </c>
      <c r="C457" s="299" t="str">
        <f>CONCATENATE("(",ROUND((B457/$H457)*100,1),")")</f>
        <v>(36.3)</v>
      </c>
      <c r="D457" s="302">
        <f>SUM(D455:D456)</f>
        <v>22.266000000131339</v>
      </c>
      <c r="E457" s="299" t="str">
        <f>CONCATENATE("(",ROUND((D457/$H457)*100,1),")")</f>
        <v>(42.1)</v>
      </c>
      <c r="F457" s="302">
        <f>SUM(F455:F456)</f>
        <v>11.431000000478974</v>
      </c>
      <c r="G457" s="299" t="str">
        <f>CONCATENATE("(",ROUND((F457/$H457)*100,1),")")</f>
        <v>(21.6)</v>
      </c>
      <c r="H457" s="302">
        <f>SUM(H455:H456)</f>
        <v>52.877000000806248</v>
      </c>
      <c r="I457" s="299" t="str">
        <f>CONCATENATE("(",ROUND((H457/$H457)*100,1),")")</f>
        <v>(100)</v>
      </c>
      <c r="K457" s="302">
        <f t="shared" si="341"/>
        <v>-0.31800000018569108</v>
      </c>
      <c r="L457" s="302">
        <f t="shared" si="342"/>
        <v>0.45999999990032236</v>
      </c>
      <c r="M457" s="302">
        <f t="shared" si="343"/>
        <v>0.66799999992091585</v>
      </c>
      <c r="N457" s="302">
        <f t="shared" si="344"/>
        <v>0.80999999963554714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355</v>
      </c>
      <c r="B460" s="302">
        <f>'Ind T6'!V540</f>
        <v>11.178999999963169</v>
      </c>
      <c r="C460" s="299" t="str">
        <f>CONCATENATE("(",ROUND((B460/$H462)*100,1),")")</f>
        <v>(20.8)</v>
      </c>
      <c r="D460" s="302">
        <f>'Ind T6'!W540</f>
        <v>8.7800000000669662</v>
      </c>
      <c r="E460" s="299" t="str">
        <f>CONCATENATE("(",ROUND((D460/$H462)*100,1),")")</f>
        <v>(16.4)</v>
      </c>
      <c r="F460" s="302">
        <f>'Ind T6'!X540</f>
        <v>6.8410000003166989</v>
      </c>
      <c r="G460" s="299" t="str">
        <f>CONCATENATE("(",ROUND((F460/$H462)*100,1),")")</f>
        <v>(12.7)</v>
      </c>
      <c r="H460" s="302">
        <f>SUM(B460,D460,F460)</f>
        <v>26.800000000346834</v>
      </c>
      <c r="I460" s="299" t="str">
        <f>CONCATENATE("(",ROUND((H460/$H462)*100,1),")")</f>
        <v>(49.9)</v>
      </c>
      <c r="K460" s="302">
        <f>B460-B450</f>
        <v>-0.25399999999065059</v>
      </c>
      <c r="L460" s="302">
        <f>D460-D450</f>
        <v>0.31700000002778594</v>
      </c>
      <c r="M460" s="302">
        <f>F460-F450</f>
        <v>-0.35799999981509067</v>
      </c>
      <c r="N460" s="302">
        <f>SUM(K460:M460)</f>
        <v>-0.29499999977795532</v>
      </c>
    </row>
    <row r="461" spans="1:14" x14ac:dyDescent="0.2">
      <c r="A461" s="282" t="s">
        <v>356</v>
      </c>
      <c r="B461" s="302">
        <f>'Ind T6'!V539</f>
        <v>7.6830000000470715</v>
      </c>
      <c r="C461" s="299" t="str">
        <f>CONCATENATE("(",ROUND((B461/$H462)*100,1),")")</f>
        <v>(14.3)</v>
      </c>
      <c r="D461" s="302">
        <f>'Ind T6'!W539</f>
        <v>13.945999999964696</v>
      </c>
      <c r="E461" s="299" t="str">
        <f>CONCATENATE("(",ROUND((D461/$H462)*100,1),")")</f>
        <v>(26)</v>
      </c>
      <c r="F461" s="302">
        <f>'Ind T6'!X539</f>
        <v>5.2580000000831912</v>
      </c>
      <c r="G461" s="299" t="str">
        <f>CONCATENATE("(",ROUND((F461/$H462)*100,1),")")</f>
        <v>(9.8)</v>
      </c>
      <c r="H461" s="302">
        <f t="shared" ref="H461" si="345">SUM(B461,D461,F461)</f>
        <v>26.887000000094957</v>
      </c>
      <c r="I461" s="299" t="str">
        <f>CONCATENATE("(",ROUND((H461/$H462)*100,1),")")</f>
        <v>(50.1)</v>
      </c>
      <c r="K461" s="302">
        <f t="shared" ref="K461:K462" si="346">B461-B451</f>
        <v>-1.2379999998020477</v>
      </c>
      <c r="L461" s="302">
        <f t="shared" ref="L461:L462" si="347">D461-D451</f>
        <v>-0.81800000015143048</v>
      </c>
      <c r="M461" s="302">
        <f t="shared" ref="M461:M462" si="348">F461-F451</f>
        <v>-0.77099999965789046</v>
      </c>
      <c r="N461" s="302">
        <f t="shared" ref="N461:N462" si="349">SUM(K461:M461)</f>
        <v>-2.8269999996113686</v>
      </c>
    </row>
    <row r="462" spans="1:14" x14ac:dyDescent="0.2">
      <c r="A462" s="282" t="s">
        <v>354</v>
      </c>
      <c r="B462" s="302">
        <f>SUM(B460:B461)</f>
        <v>18.862000000010241</v>
      </c>
      <c r="C462" s="299" t="str">
        <f>CONCATENATE("(",ROUND((B462/$H462)*100,1),")")</f>
        <v>(35.1)</v>
      </c>
      <c r="D462" s="302">
        <f>SUM(D460:D461)</f>
        <v>22.726000000031661</v>
      </c>
      <c r="E462" s="299" t="str">
        <f>CONCATENATE("(",ROUND((D462/$H462)*100,1),")")</f>
        <v>(42.3)</v>
      </c>
      <c r="F462" s="302">
        <f>SUM(F460:F461)</f>
        <v>12.09900000039989</v>
      </c>
      <c r="G462" s="299" t="str">
        <f>CONCATENATE("(",ROUND((F462/$H462)*100,1),")")</f>
        <v>(22.5)</v>
      </c>
      <c r="H462" s="302">
        <f>SUM(H460:H461)</f>
        <v>53.687000000441792</v>
      </c>
      <c r="I462" s="299" t="str">
        <f>CONCATENATE("(",ROUND((H462/$H462)*100,1),")")</f>
        <v>(100)</v>
      </c>
      <c r="K462" s="302">
        <f t="shared" si="346"/>
        <v>-1.4919999997926965</v>
      </c>
      <c r="L462" s="302">
        <f t="shared" si="347"/>
        <v>-0.50100000012364632</v>
      </c>
      <c r="M462" s="302">
        <f t="shared" si="348"/>
        <v>-1.1289999994729811</v>
      </c>
      <c r="N462" s="302">
        <f t="shared" si="349"/>
        <v>-3.1219999993893239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1"/>
      <c r="E466" s="181"/>
      <c r="G466" s="181"/>
      <c r="I466" s="181"/>
    </row>
    <row r="467" spans="1:14" x14ac:dyDescent="0.2">
      <c r="A467" s="288"/>
      <c r="B467" s="289" t="s">
        <v>379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377</v>
      </c>
    </row>
    <row r="469" spans="1:14" x14ac:dyDescent="0.2">
      <c r="A469" s="181" t="s">
        <v>378</v>
      </c>
      <c r="B469" s="369" t="s">
        <v>376</v>
      </c>
      <c r="C469" s="369"/>
      <c r="D469" s="369" t="s">
        <v>375</v>
      </c>
      <c r="E469" s="369"/>
      <c r="F469" s="369" t="s">
        <v>374</v>
      </c>
      <c r="G469" s="369"/>
      <c r="H469" s="369" t="s">
        <v>32</v>
      </c>
      <c r="I469" s="369"/>
      <c r="J469" s="181"/>
      <c r="K469" s="297" t="s">
        <v>339</v>
      </c>
      <c r="L469" s="297" t="s">
        <v>341</v>
      </c>
      <c r="M469" s="297" t="s">
        <v>337</v>
      </c>
      <c r="N469" s="297" t="s">
        <v>32</v>
      </c>
    </row>
    <row r="470" spans="1:14" x14ac:dyDescent="0.2">
      <c r="A470" s="292">
        <f>$A$8</f>
        <v>2020</v>
      </c>
      <c r="B470" s="287" t="s">
        <v>60</v>
      </c>
      <c r="C470" s="19" t="s">
        <v>373</v>
      </c>
      <c r="D470" s="287" t="s">
        <v>60</v>
      </c>
      <c r="E470" s="19" t="s">
        <v>373</v>
      </c>
      <c r="F470" s="287" t="s">
        <v>60</v>
      </c>
      <c r="G470" s="19" t="s">
        <v>373</v>
      </c>
      <c r="H470" s="287" t="s">
        <v>60</v>
      </c>
      <c r="I470" s="19" t="s">
        <v>373</v>
      </c>
      <c r="J470" s="181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355</v>
      </c>
      <c r="B471" s="302">
        <f>'Ind T6'!L565</f>
        <v>12.523999999882706</v>
      </c>
      <c r="C471" s="299" t="str">
        <f>CONCATENATE("(",ROUND((B471/$H473)*100,1),")")</f>
        <v>(18.2)</v>
      </c>
      <c r="D471" s="302">
        <f>'Ind T6'!M565</f>
        <v>4.7330000000113008</v>
      </c>
      <c r="E471" s="299" t="str">
        <f>CONCATENATE("(",ROUND((D471/$H473)*100,1),")")</f>
        <v>(6.9)</v>
      </c>
      <c r="F471" s="302">
        <f>'Ind T6'!N565</f>
        <v>6.822000000081565</v>
      </c>
      <c r="G471" s="299" t="str">
        <f>CONCATENATE("(",ROUND((F471/$H473)*100,1),")")</f>
        <v>(9.9)</v>
      </c>
      <c r="H471" s="302">
        <f>SUM(B471,D471,F471)</f>
        <v>24.078999999975572</v>
      </c>
      <c r="I471" s="299" t="str">
        <f>CONCATENATE("(",ROUND((H471/$H473)*100,1),")")</f>
        <v>(35)</v>
      </c>
      <c r="K471" s="302">
        <f>B476-B471</f>
        <v>-0.34199999994120311</v>
      </c>
      <c r="L471" s="302">
        <f>D476-D471</f>
        <v>-0.2910000000030335</v>
      </c>
      <c r="M471" s="302">
        <f>F476-F471</f>
        <v>-0.19499999987387806</v>
      </c>
      <c r="N471" s="302">
        <f>SUM(K471:M471)</f>
        <v>-0.82799999981811467</v>
      </c>
    </row>
    <row r="472" spans="1:14" x14ac:dyDescent="0.2">
      <c r="A472" s="282" t="s">
        <v>356</v>
      </c>
      <c r="B472" s="302">
        <f>'Ind T6'!L564</f>
        <v>10.565999999898494</v>
      </c>
      <c r="C472" s="299" t="str">
        <f>CONCATENATE("(",ROUND((B472/$H473)*100,1),")")</f>
        <v>(15.3)</v>
      </c>
      <c r="D472" s="302">
        <f>'Ind T6'!M564</f>
        <v>10.597000000164861</v>
      </c>
      <c r="E472" s="299" t="str">
        <f>CONCATENATE("(",ROUND((D472/$H473)*100,1),")")</f>
        <v>(15.4)</v>
      </c>
      <c r="F472" s="302">
        <f>'Ind T6'!N564</f>
        <v>23.63799999943847</v>
      </c>
      <c r="G472" s="299" t="str">
        <f>CONCATENATE("(",ROUND((F472/$H473)*100,1),")")</f>
        <v>(34.3)</v>
      </c>
      <c r="H472" s="302">
        <f t="shared" ref="H472" si="350">SUM(B472,D472,F472)</f>
        <v>44.800999999501826</v>
      </c>
      <c r="I472" s="299" t="str">
        <f>CONCATENATE("(",ROUND((H472/$H473)*100,1),")")</f>
        <v>(65)</v>
      </c>
      <c r="K472" s="302">
        <f t="shared" ref="K472:K473" si="351">B477-B472</f>
        <v>-0.92599999969135993</v>
      </c>
      <c r="L472" s="302">
        <f t="shared" ref="L472:L473" si="352">D477-D472</f>
        <v>-0.75700000007584656</v>
      </c>
      <c r="M472" s="302">
        <f t="shared" ref="M472:M473" si="353">F477-F472</f>
        <v>-1.3059999994788356</v>
      </c>
      <c r="N472" s="302">
        <f t="shared" ref="N472:N473" si="354">SUM(K472:M472)</f>
        <v>-2.9889999992460421</v>
      </c>
    </row>
    <row r="473" spans="1:14" x14ac:dyDescent="0.2">
      <c r="A473" s="282" t="s">
        <v>354</v>
      </c>
      <c r="B473" s="302">
        <f>SUM(B471:B472)</f>
        <v>23.089999999781199</v>
      </c>
      <c r="C473" s="299" t="str">
        <f>CONCATENATE("(",ROUND((B473/$H473)*100,1),")")</f>
        <v>(33.5)</v>
      </c>
      <c r="D473" s="302">
        <f>SUM(D471:D472)</f>
        <v>15.330000000176163</v>
      </c>
      <c r="E473" s="299" t="str">
        <f>CONCATENATE("(",ROUND((D473/$H473)*100,1),")")</f>
        <v>(22.3)</v>
      </c>
      <c r="F473" s="302">
        <f>SUM(F471:F472)</f>
        <v>30.459999999520036</v>
      </c>
      <c r="G473" s="299" t="str">
        <f>CONCATENATE("(",ROUND((F473/$H473)*100,1),")")</f>
        <v>(44.2)</v>
      </c>
      <c r="H473" s="302">
        <f>SUM(H471:H472)</f>
        <v>68.879999999477405</v>
      </c>
      <c r="I473" s="299" t="str">
        <f>CONCATENATE("(",ROUND((H473/$H473)*100,1),")")</f>
        <v>(100)</v>
      </c>
      <c r="K473" s="302">
        <f t="shared" si="351"/>
        <v>-1.2679999996325613</v>
      </c>
      <c r="L473" s="302">
        <f t="shared" si="352"/>
        <v>-1.0480000000788809</v>
      </c>
      <c r="M473" s="302">
        <f t="shared" si="353"/>
        <v>-1.5009999993527146</v>
      </c>
      <c r="N473" s="302">
        <f t="shared" si="354"/>
        <v>-3.8169999990641568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355</v>
      </c>
      <c r="B476" s="302">
        <f>'Ind T6'!Q565</f>
        <v>12.181999999941503</v>
      </c>
      <c r="C476" s="299" t="str">
        <f>CONCATENATE("(",ROUND((B476/$H478)*100,1),")")</f>
        <v>(18.7)</v>
      </c>
      <c r="D476" s="302">
        <f>'Ind T6'!R565</f>
        <v>4.4420000000082673</v>
      </c>
      <c r="E476" s="299" t="str">
        <f>CONCATENATE("(",ROUND((D476/$H478)*100,1),")")</f>
        <v>(6.8)</v>
      </c>
      <c r="F476" s="302">
        <f>'Ind T6'!S565</f>
        <v>6.627000000207687</v>
      </c>
      <c r="G476" s="299" t="str">
        <f>CONCATENATE("(",ROUND((F476/$H478)*100,1),")")</f>
        <v>(10.2)</v>
      </c>
      <c r="H476" s="302">
        <f>SUM(B476,D476,F476)</f>
        <v>23.251000000157457</v>
      </c>
      <c r="I476" s="299" t="str">
        <f>CONCATENATE("(",ROUND((H476/$H478)*100,1),")")</f>
        <v>(35.7)</v>
      </c>
      <c r="K476" s="302">
        <f>B481-B476</f>
        <v>0.44399999997546225</v>
      </c>
      <c r="L476" s="302">
        <f>D481-D476</f>
        <v>-3.5000000005734222E-2</v>
      </c>
      <c r="M476" s="302">
        <f>F481-F476</f>
        <v>0.21299999993474827</v>
      </c>
      <c r="N476" s="302">
        <f>SUM(K476:M476)</f>
        <v>0.6219999999044763</v>
      </c>
    </row>
    <row r="477" spans="1:14" x14ac:dyDescent="0.2">
      <c r="A477" s="282" t="s">
        <v>356</v>
      </c>
      <c r="B477" s="302">
        <f>'Ind T6'!Q564</f>
        <v>9.6400000002071344</v>
      </c>
      <c r="C477" s="299" t="str">
        <f>CONCATENATE("(",ROUND((B477/$H478)*100,1),")")</f>
        <v>(14.8)</v>
      </c>
      <c r="D477" s="302">
        <f>'Ind T6'!R564</f>
        <v>9.8400000000890149</v>
      </c>
      <c r="E477" s="299" t="str">
        <f>CONCATENATE("(",ROUND((D477/$H478)*100,1),")")</f>
        <v>(15.1)</v>
      </c>
      <c r="F477" s="302">
        <f>'Ind T6'!S564</f>
        <v>22.331999999959635</v>
      </c>
      <c r="G477" s="299" t="str">
        <f>CONCATENATE("(",ROUND((F477/$H478)*100,1),")")</f>
        <v>(34.3)</v>
      </c>
      <c r="H477" s="302">
        <f t="shared" ref="H477" si="355">SUM(B477,D477,F477)</f>
        <v>41.812000000255786</v>
      </c>
      <c r="I477" s="299" t="str">
        <f>CONCATENATE("(",ROUND((H477/$H478)*100,1),")")</f>
        <v>(64.3)</v>
      </c>
      <c r="K477" s="302">
        <f t="shared" ref="K477:K478" si="356">B482-B477</f>
        <v>-0.53600000022553118</v>
      </c>
      <c r="L477" s="302">
        <f t="shared" ref="L477:L478" si="357">D482-D477</f>
        <v>-0.41800000015726191</v>
      </c>
      <c r="M477" s="302">
        <f t="shared" ref="M477:M478" si="358">F482-F477</f>
        <v>-0.5859999998748826</v>
      </c>
      <c r="N477" s="302">
        <f t="shared" ref="N477:N478" si="359">SUM(K477:M477)</f>
        <v>-1.5400000002576757</v>
      </c>
    </row>
    <row r="478" spans="1:14" x14ac:dyDescent="0.2">
      <c r="A478" s="282" t="s">
        <v>354</v>
      </c>
      <c r="B478" s="302">
        <f>SUM(B476:B477)</f>
        <v>21.822000000148638</v>
      </c>
      <c r="C478" s="299" t="str">
        <f>CONCATENATE("(",ROUND((B478/$H478)*100,1),")")</f>
        <v>(33.5)</v>
      </c>
      <c r="D478" s="302">
        <f>SUM(D476:D477)</f>
        <v>14.282000000097282</v>
      </c>
      <c r="E478" s="299" t="str">
        <f>CONCATENATE("(",ROUND((D478/$H478)*100,1),")")</f>
        <v>(22)</v>
      </c>
      <c r="F478" s="302">
        <f>SUM(F476:F477)</f>
        <v>28.959000000167322</v>
      </c>
      <c r="G478" s="299" t="str">
        <f>CONCATENATE("(",ROUND((F478/$H478)*100,1),")")</f>
        <v>(44.5)</v>
      </c>
      <c r="H478" s="302">
        <f>SUM(H476:H477)</f>
        <v>65.06300000041324</v>
      </c>
      <c r="I478" s="299" t="str">
        <f>CONCATENATE("(",ROUND((H478/$H478)*100,1),")")</f>
        <v>(100)</v>
      </c>
      <c r="K478" s="302">
        <f t="shared" si="356"/>
        <v>-9.2000000250070713E-2</v>
      </c>
      <c r="L478" s="302">
        <f t="shared" si="357"/>
        <v>-0.45300000016299613</v>
      </c>
      <c r="M478" s="302">
        <f t="shared" si="358"/>
        <v>-0.37299999994013433</v>
      </c>
      <c r="N478" s="302">
        <f t="shared" si="359"/>
        <v>-0.91800000035320117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355</v>
      </c>
      <c r="B481" s="302">
        <f>'Ind T6'!V565</f>
        <v>12.625999999916965</v>
      </c>
      <c r="C481" s="299" t="str">
        <f>CONCATENATE("(",ROUND((B481/$H483)*100,1),")")</f>
        <v>(19.7)</v>
      </c>
      <c r="D481" s="302">
        <f>'Ind T6'!W565</f>
        <v>4.4070000000025331</v>
      </c>
      <c r="E481" s="299" t="str">
        <f>CONCATENATE("(",ROUND((D481/$H483)*100,1),")")</f>
        <v>(6.9)</v>
      </c>
      <c r="F481" s="302">
        <f>'Ind T6'!X565</f>
        <v>6.8400000001424353</v>
      </c>
      <c r="G481" s="299" t="str">
        <f>CONCATENATE("(",ROUND((F481/$H483)*100,1),")")</f>
        <v>(10.7)</v>
      </c>
      <c r="H481" s="302">
        <f>SUM(B481,D481,F481)</f>
        <v>23.873000000061932</v>
      </c>
      <c r="I481" s="299" t="str">
        <f>CONCATENATE("(",ROUND((H481/$H483)*100,1),")")</f>
        <v>(37.2)</v>
      </c>
      <c r="K481" s="302">
        <f>B481-B471</f>
        <v>0.10200000003425913</v>
      </c>
      <c r="L481" s="302">
        <f>D481-D471</f>
        <v>-0.32600000000876772</v>
      </c>
      <c r="M481" s="302">
        <f>F481-F471</f>
        <v>1.8000000060870214E-2</v>
      </c>
      <c r="N481" s="302">
        <f>SUM(K481:M481)</f>
        <v>-0.20599999991363838</v>
      </c>
    </row>
    <row r="482" spans="1:14" x14ac:dyDescent="0.2">
      <c r="A482" s="282" t="s">
        <v>356</v>
      </c>
      <c r="B482" s="302">
        <f>'Ind T6'!V564</f>
        <v>9.1039999999816033</v>
      </c>
      <c r="C482" s="299" t="str">
        <f>CONCATENATE("(",ROUND((B482/$H483)*100,1),")")</f>
        <v>(14.2)</v>
      </c>
      <c r="D482" s="302">
        <f>'Ind T6'!W564</f>
        <v>9.421999999931753</v>
      </c>
      <c r="E482" s="299" t="str">
        <f>CONCATENATE("(",ROUND((D482/$H483)*100,1),")")</f>
        <v>(14.7)</v>
      </c>
      <c r="F482" s="302">
        <f>'Ind T6'!X564</f>
        <v>21.746000000084752</v>
      </c>
      <c r="G482" s="299" t="str">
        <f>CONCATENATE("(",ROUND((F482/$H483)*100,1),")")</f>
        <v>(33.9)</v>
      </c>
      <c r="H482" s="302">
        <f t="shared" ref="H482" si="360">SUM(B482,D482,F482)</f>
        <v>40.271999999998108</v>
      </c>
      <c r="I482" s="299" t="str">
        <f>CONCATENATE("(",ROUND((H482/$H483)*100,1),")")</f>
        <v>(62.8)</v>
      </c>
      <c r="K482" s="302">
        <f t="shared" ref="K482:K483" si="361">B482-B472</f>
        <v>-1.4619999999168911</v>
      </c>
      <c r="L482" s="302">
        <f t="shared" ref="L482:L483" si="362">D482-D472</f>
        <v>-1.1750000002331085</v>
      </c>
      <c r="M482" s="302">
        <f t="shared" ref="M482:M483" si="363">F482-F472</f>
        <v>-1.8919999993537182</v>
      </c>
      <c r="N482" s="302">
        <f t="shared" ref="N482:N483" si="364">SUM(K482:M482)</f>
        <v>-4.5289999995037178</v>
      </c>
    </row>
    <row r="483" spans="1:14" x14ac:dyDescent="0.2">
      <c r="A483" s="282" t="s">
        <v>354</v>
      </c>
      <c r="B483" s="302">
        <f>SUM(B481:B482)</f>
        <v>21.729999999898567</v>
      </c>
      <c r="C483" s="299" t="str">
        <f>CONCATENATE("(",ROUND((B483/$H483)*100,1),")")</f>
        <v>(33.9)</v>
      </c>
      <c r="D483" s="302">
        <f>SUM(D481:D482)</f>
        <v>13.828999999934286</v>
      </c>
      <c r="E483" s="299" t="str">
        <f>CONCATENATE("(",ROUND((D483/$H483)*100,1),")")</f>
        <v>(21.6)</v>
      </c>
      <c r="F483" s="302">
        <f>SUM(F481:F482)</f>
        <v>28.586000000227187</v>
      </c>
      <c r="G483" s="299" t="str">
        <f>CONCATENATE("(",ROUND((F483/$H483)*100,1),")")</f>
        <v>(44.6)</v>
      </c>
      <c r="H483" s="302">
        <f>SUM(H481:H482)</f>
        <v>64.145000000060037</v>
      </c>
      <c r="I483" s="299" t="str">
        <f>CONCATENATE("(",ROUND((H483/$H483)*100,1),")")</f>
        <v>(100)</v>
      </c>
      <c r="K483" s="302">
        <f t="shared" si="361"/>
        <v>-1.359999999882632</v>
      </c>
      <c r="L483" s="302">
        <f t="shared" si="362"/>
        <v>-1.5010000002418771</v>
      </c>
      <c r="M483" s="302">
        <f t="shared" si="363"/>
        <v>-1.8739999992928489</v>
      </c>
      <c r="N483" s="302">
        <f t="shared" si="364"/>
        <v>-4.7349999994173579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1"/>
      <c r="B488" s="285"/>
      <c r="C488" s="181"/>
      <c r="D488" s="285"/>
      <c r="E488" s="181"/>
      <c r="F488" s="285"/>
      <c r="G488" s="181"/>
      <c r="I488" s="181"/>
    </row>
    <row r="489" spans="1:14" x14ac:dyDescent="0.2">
      <c r="N489" s="287"/>
    </row>
    <row r="490" spans="1:14" x14ac:dyDescent="0.2">
      <c r="A490" s="181"/>
      <c r="B490" s="369"/>
      <c r="C490" s="369"/>
      <c r="D490" s="369"/>
      <c r="E490" s="369"/>
      <c r="F490" s="369"/>
      <c r="G490" s="369"/>
      <c r="H490" s="369"/>
      <c r="I490" s="369"/>
      <c r="J490" s="181"/>
      <c r="K490" s="287"/>
      <c r="L490" s="287"/>
      <c r="M490" s="287"/>
      <c r="N490" s="287"/>
    </row>
    <row r="491" spans="1:14" x14ac:dyDescent="0.2">
      <c r="A491" s="292"/>
      <c r="B491" s="287"/>
      <c r="C491" s="19"/>
      <c r="D491" s="287"/>
      <c r="E491" s="19"/>
      <c r="F491" s="287"/>
      <c r="G491" s="19"/>
      <c r="H491" s="287"/>
      <c r="I491" s="19"/>
      <c r="J491" s="181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1"/>
      <c r="B509" s="285"/>
      <c r="C509" s="181"/>
      <c r="D509" s="285"/>
      <c r="E509" s="181"/>
      <c r="F509" s="285"/>
      <c r="G509" s="181"/>
      <c r="I509" s="181"/>
    </row>
    <row r="510" spans="1:14" x14ac:dyDescent="0.2">
      <c r="N510" s="287"/>
    </row>
    <row r="511" spans="1:14" x14ac:dyDescent="0.2">
      <c r="A511" s="181"/>
      <c r="B511" s="369"/>
      <c r="C511" s="369"/>
      <c r="D511" s="369"/>
      <c r="E511" s="369"/>
      <c r="F511" s="369"/>
      <c r="G511" s="369"/>
      <c r="H511" s="369"/>
      <c r="I511" s="369"/>
      <c r="J511" s="181"/>
      <c r="K511" s="287"/>
      <c r="L511" s="287"/>
      <c r="M511" s="287"/>
      <c r="N511" s="287"/>
    </row>
    <row r="512" spans="1:14" x14ac:dyDescent="0.2">
      <c r="A512" s="292"/>
      <c r="B512" s="287"/>
      <c r="C512" s="19"/>
      <c r="D512" s="287"/>
      <c r="E512" s="19"/>
      <c r="F512" s="287"/>
      <c r="G512" s="19"/>
      <c r="H512" s="287"/>
      <c r="I512" s="19"/>
      <c r="J512" s="181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1"/>
      <c r="B530" s="285"/>
      <c r="C530" s="181"/>
      <c r="D530" s="285"/>
      <c r="E530" s="181"/>
      <c r="F530" s="285"/>
      <c r="G530" s="181"/>
      <c r="H530" s="285"/>
      <c r="I530" s="181"/>
    </row>
    <row r="531" spans="1:14" x14ac:dyDescent="0.2">
      <c r="N531" s="287"/>
    </row>
    <row r="532" spans="1:14" x14ac:dyDescent="0.2">
      <c r="A532" s="181"/>
      <c r="B532" s="285"/>
      <c r="C532" s="181"/>
      <c r="D532" s="285"/>
      <c r="E532" s="181"/>
      <c r="F532" s="285"/>
      <c r="G532" s="181"/>
      <c r="H532" s="285"/>
      <c r="I532" s="181"/>
      <c r="J532" s="181"/>
      <c r="K532" s="287"/>
      <c r="L532" s="287"/>
      <c r="M532" s="287"/>
      <c r="N532" s="287"/>
    </row>
    <row r="533" spans="1:14" x14ac:dyDescent="0.2">
      <c r="A533" s="292"/>
      <c r="B533" s="287"/>
      <c r="C533" s="19"/>
      <c r="D533" s="287"/>
      <c r="E533" s="19"/>
      <c r="F533" s="287"/>
      <c r="G533" s="19"/>
      <c r="H533" s="287"/>
      <c r="I533" s="19"/>
      <c r="J533" s="181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1"/>
      <c r="E557" s="181"/>
      <c r="G557" s="181"/>
      <c r="I557" s="181"/>
    </row>
    <row r="558" spans="1:9" x14ac:dyDescent="0.2">
      <c r="A558" s="181"/>
      <c r="B558" s="285"/>
      <c r="C558" s="181"/>
      <c r="D558" s="285"/>
      <c r="E558" s="181"/>
      <c r="F558" s="285"/>
      <c r="G558" s="181"/>
      <c r="H558" s="285"/>
      <c r="I558" s="181"/>
    </row>
    <row r="559" spans="1:9" x14ac:dyDescent="0.2">
      <c r="A559" s="181"/>
      <c r="B559" s="285"/>
      <c r="C559" s="181"/>
      <c r="D559" s="285"/>
      <c r="E559" s="181"/>
      <c r="F559" s="285"/>
      <c r="G559" s="181"/>
      <c r="H559" s="285"/>
      <c r="I559" s="181"/>
    </row>
    <row r="560" spans="1:9" x14ac:dyDescent="0.2">
      <c r="A560" s="181"/>
      <c r="B560" s="285"/>
      <c r="C560" s="181"/>
      <c r="D560" s="285"/>
      <c r="E560" s="181"/>
      <c r="F560" s="285"/>
      <c r="G560" s="181"/>
      <c r="H560" s="285"/>
      <c r="I560" s="181"/>
    </row>
    <row r="561" spans="1:9" x14ac:dyDescent="0.2">
      <c r="A561" s="181"/>
      <c r="B561" s="285"/>
      <c r="C561" s="181"/>
      <c r="D561" s="285"/>
      <c r="E561" s="181"/>
      <c r="F561" s="285"/>
      <c r="G561" s="181"/>
      <c r="H561" s="285"/>
      <c r="I561" s="181"/>
    </row>
    <row r="562" spans="1:9" x14ac:dyDescent="0.2">
      <c r="A562" s="181"/>
      <c r="B562" s="285"/>
      <c r="C562" s="181"/>
      <c r="D562" s="285"/>
      <c r="E562" s="181"/>
      <c r="F562" s="285"/>
      <c r="G562" s="181"/>
      <c r="H562" s="285"/>
      <c r="I562" s="181"/>
    </row>
    <row r="563" spans="1:9" x14ac:dyDescent="0.2">
      <c r="A563" s="181"/>
      <c r="B563" s="285"/>
      <c r="C563" s="181"/>
      <c r="D563" s="285"/>
      <c r="E563" s="181"/>
      <c r="F563" s="285"/>
      <c r="G563" s="181"/>
      <c r="H563" s="285"/>
      <c r="I563" s="181"/>
    </row>
    <row r="564" spans="1:9" x14ac:dyDescent="0.2">
      <c r="A564" s="181"/>
      <c r="B564" s="285"/>
      <c r="C564" s="181"/>
      <c r="D564" s="285"/>
      <c r="E564" s="181"/>
      <c r="F564" s="285"/>
      <c r="G564" s="181"/>
      <c r="H564" s="285"/>
      <c r="I564" s="181"/>
    </row>
    <row r="565" spans="1:9" x14ac:dyDescent="0.2">
      <c r="A565" s="181"/>
      <c r="B565" s="285"/>
      <c r="C565" s="181"/>
      <c r="D565" s="285"/>
      <c r="E565" s="181"/>
      <c r="F565" s="285"/>
      <c r="G565" s="181"/>
      <c r="H565" s="285"/>
      <c r="I565" s="181"/>
    </row>
    <row r="566" spans="1:9" x14ac:dyDescent="0.2">
      <c r="A566" s="181"/>
      <c r="B566" s="285"/>
      <c r="C566" s="181"/>
      <c r="D566" s="285"/>
      <c r="E566" s="181"/>
      <c r="F566" s="285"/>
      <c r="G566" s="181"/>
      <c r="H566" s="285"/>
      <c r="I566" s="181"/>
    </row>
    <row r="567" spans="1:9" x14ac:dyDescent="0.2">
      <c r="A567" s="181"/>
      <c r="B567" s="285"/>
      <c r="C567" s="181"/>
      <c r="D567" s="285"/>
      <c r="E567" s="181"/>
      <c r="F567" s="285"/>
      <c r="G567" s="181"/>
      <c r="H567" s="285"/>
      <c r="I567" s="181"/>
    </row>
    <row r="568" spans="1:9" x14ac:dyDescent="0.2">
      <c r="A568" s="181"/>
      <c r="B568" s="285"/>
      <c r="C568" s="181"/>
      <c r="D568" s="285"/>
      <c r="E568" s="181"/>
      <c r="F568" s="285"/>
      <c r="G568" s="181"/>
      <c r="H568" s="285"/>
      <c r="I568" s="181"/>
    </row>
    <row r="569" spans="1:9" x14ac:dyDescent="0.2">
      <c r="A569" s="181"/>
      <c r="B569" s="285"/>
      <c r="C569" s="181"/>
      <c r="D569" s="285"/>
      <c r="E569" s="181"/>
      <c r="F569" s="285"/>
      <c r="G569" s="181"/>
      <c r="H569" s="285"/>
      <c r="I569" s="181"/>
    </row>
    <row r="570" spans="1:9" x14ac:dyDescent="0.2">
      <c r="A570" s="181"/>
      <c r="B570" s="285"/>
      <c r="C570" s="181"/>
      <c r="D570" s="285"/>
      <c r="E570" s="181"/>
      <c r="F570" s="285"/>
      <c r="G570" s="181"/>
      <c r="H570" s="285"/>
      <c r="I570" s="181"/>
    </row>
    <row r="571" spans="1:9" x14ac:dyDescent="0.2">
      <c r="A571" s="181"/>
      <c r="B571" s="285"/>
      <c r="C571" s="181"/>
      <c r="D571" s="285"/>
      <c r="E571" s="181"/>
      <c r="F571" s="285"/>
      <c r="G571" s="181"/>
      <c r="H571" s="285"/>
      <c r="I571" s="181"/>
    </row>
    <row r="572" spans="1:9" x14ac:dyDescent="0.2">
      <c r="A572" s="181"/>
      <c r="B572" s="285"/>
      <c r="C572" s="181"/>
      <c r="D572" s="285"/>
      <c r="E572" s="181"/>
      <c r="F572" s="285"/>
      <c r="G572" s="181"/>
      <c r="H572" s="285"/>
      <c r="I572" s="181"/>
    </row>
    <row r="573" spans="1:9" x14ac:dyDescent="0.2">
      <c r="A573" s="181"/>
      <c r="B573" s="285"/>
      <c r="C573" s="181"/>
      <c r="D573" s="285"/>
      <c r="E573" s="181"/>
      <c r="F573" s="285"/>
      <c r="G573" s="181"/>
      <c r="H573" s="285"/>
      <c r="I573" s="181"/>
    </row>
    <row r="574" spans="1:9" x14ac:dyDescent="0.2">
      <c r="A574" s="181"/>
      <c r="B574" s="285"/>
      <c r="C574" s="181"/>
      <c r="D574" s="285"/>
      <c r="E574" s="181"/>
      <c r="F574" s="285"/>
      <c r="G574" s="181"/>
      <c r="H574" s="285"/>
      <c r="I574" s="181"/>
    </row>
    <row r="575" spans="1:9" x14ac:dyDescent="0.2">
      <c r="A575" s="181"/>
      <c r="B575" s="285"/>
      <c r="C575" s="181"/>
      <c r="D575" s="285"/>
      <c r="E575" s="181"/>
      <c r="F575" s="285"/>
      <c r="G575" s="181"/>
      <c r="H575" s="285"/>
      <c r="I575" s="181"/>
    </row>
    <row r="576" spans="1:9" x14ac:dyDescent="0.2">
      <c r="A576" s="181"/>
      <c r="B576" s="285"/>
      <c r="C576" s="181"/>
      <c r="D576" s="285"/>
      <c r="E576" s="181"/>
      <c r="F576" s="285"/>
      <c r="G576" s="181"/>
      <c r="H576" s="285"/>
      <c r="I576" s="181"/>
    </row>
    <row r="577" spans="1:8" x14ac:dyDescent="0.2">
      <c r="A577" s="181"/>
      <c r="B577" s="285"/>
      <c r="D577" s="285"/>
      <c r="F577" s="285"/>
      <c r="H577" s="285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9:I484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/>
  <dimension ref="A1:Y1061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40.71093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8" t="str">
        <f>CONCATENATE("Industry Table 6  Employment status by Industry (SIC 2007) and Gender, ",B$5,"-",V$5,", ",Info!B5)</f>
        <v>Industry Table 6  Employment status by Industry (SIC 2007) and Gender, 2015-2035, East Midlands</v>
      </c>
    </row>
    <row r="2" spans="1:25" x14ac:dyDescent="0.2">
      <c r="A2" s="1" t="s">
        <v>533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35</v>
      </c>
    </row>
    <row r="5" spans="1:25" ht="15" x14ac:dyDescent="0.25">
      <c r="A5" s="265" t="str">
        <f>"Industry 1 : "&amp; name!B4</f>
        <v>Industry 1 : Agriculture</v>
      </c>
      <c r="B5" s="371">
        <v>2015</v>
      </c>
      <c r="C5" s="371"/>
      <c r="D5" s="371"/>
      <c r="E5" s="371"/>
      <c r="F5" s="317"/>
      <c r="G5" s="371">
        <v>2019</v>
      </c>
      <c r="H5" s="371"/>
      <c r="I5" s="371"/>
      <c r="J5" s="371"/>
      <c r="K5" s="318"/>
      <c r="L5" s="371">
        <v>2020</v>
      </c>
      <c r="M5" s="371"/>
      <c r="N5" s="371"/>
      <c r="O5" s="371"/>
      <c r="P5" s="318"/>
      <c r="Q5" s="371">
        <v>2025</v>
      </c>
      <c r="R5" s="371"/>
      <c r="S5" s="371"/>
      <c r="T5" s="371"/>
      <c r="U5" s="317"/>
      <c r="V5" s="371">
        <v>2035</v>
      </c>
      <c r="W5" s="371"/>
      <c r="X5" s="371"/>
      <c r="Y5" s="371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32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32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32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32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32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1" t="str">
        <f>name!A4</f>
        <v>Agriculture, etc</v>
      </c>
      <c r="C8" s="263"/>
    </row>
    <row r="9" spans="1:25" x14ac:dyDescent="0.2">
      <c r="A9" s="260" t="s">
        <v>356</v>
      </c>
      <c r="B9" s="300">
        <v>4.110999999974438</v>
      </c>
      <c r="C9" s="300">
        <v>3.207000000033239</v>
      </c>
      <c r="D9" s="300">
        <v>1.6440000000590511</v>
      </c>
      <c r="E9" s="300">
        <f>SUM(B9:D9)</f>
        <v>8.9620000000667286</v>
      </c>
      <c r="F9" s="300"/>
      <c r="G9" s="300">
        <v>3.1619999999739576</v>
      </c>
      <c r="H9" s="300">
        <v>4.3319999999868593</v>
      </c>
      <c r="I9" s="300">
        <v>6.4780000001707521</v>
      </c>
      <c r="J9" s="300">
        <f>SUM(G9:I9)</f>
        <v>13.972000000131569</v>
      </c>
      <c r="K9" s="300"/>
      <c r="L9" s="300">
        <v>6.6249999999698268</v>
      </c>
      <c r="M9" s="300">
        <v>1.4010000000148548</v>
      </c>
      <c r="N9" s="300">
        <v>3.4189999999219314</v>
      </c>
      <c r="O9" s="300">
        <f>SUM(L9:N9)</f>
        <v>11.444999999906614</v>
      </c>
      <c r="P9" s="300"/>
      <c r="Q9" s="300">
        <v>6.4940000000900664</v>
      </c>
      <c r="R9" s="300">
        <v>1.3310000000081035</v>
      </c>
      <c r="S9" s="300">
        <v>3.3989999999697917</v>
      </c>
      <c r="T9" s="300">
        <f>SUM(Q9:S9)</f>
        <v>11.224000000067962</v>
      </c>
      <c r="U9" s="300"/>
      <c r="V9" s="300">
        <v>6.1320000000022299</v>
      </c>
      <c r="W9" s="300">
        <v>1.1689999999964193</v>
      </c>
      <c r="X9" s="300">
        <v>3.3089999999651121</v>
      </c>
      <c r="Y9" s="300">
        <f>SUM(V9:X9)</f>
        <v>10.609999999963762</v>
      </c>
    </row>
    <row r="10" spans="1:25" x14ac:dyDescent="0.2">
      <c r="A10" s="260" t="s">
        <v>355</v>
      </c>
      <c r="B10" s="300">
        <v>8.6419999999214312</v>
      </c>
      <c r="C10" s="300">
        <v>2.1089999999959725</v>
      </c>
      <c r="D10" s="300">
        <v>7.997999999921114</v>
      </c>
      <c r="E10" s="300">
        <f t="shared" ref="E10:E11" si="0">SUM(B10:D10)</f>
        <v>18.748999999838517</v>
      </c>
      <c r="F10" s="300"/>
      <c r="G10" s="300">
        <v>7.5040000000109943</v>
      </c>
      <c r="H10" s="300">
        <v>0.15300000000017352</v>
      </c>
      <c r="I10" s="300">
        <v>6.7980000000521974</v>
      </c>
      <c r="J10" s="300">
        <f t="shared" ref="J10:J11" si="1">SUM(G10:I10)</f>
        <v>14.455000000063364</v>
      </c>
      <c r="K10" s="300"/>
      <c r="L10" s="300">
        <v>18.186000000068248</v>
      </c>
      <c r="M10" s="300">
        <v>2.2400000000095135</v>
      </c>
      <c r="N10" s="300">
        <v>8.8319999998350038</v>
      </c>
      <c r="O10" s="300">
        <f t="shared" ref="O10:O11" si="2">SUM(L10:N10)</f>
        <v>29.257999999912762</v>
      </c>
      <c r="P10" s="300"/>
      <c r="Q10" s="300">
        <v>18.425000000103992</v>
      </c>
      <c r="R10" s="300">
        <v>2.2110000000062966</v>
      </c>
      <c r="S10" s="300">
        <v>8.3979999996129298</v>
      </c>
      <c r="T10" s="300">
        <f t="shared" ref="T10:T11" si="3">SUM(Q10:S10)</f>
        <v>29.033999999723221</v>
      </c>
      <c r="U10" s="300"/>
      <c r="V10" s="300">
        <v>18.881000000079741</v>
      </c>
      <c r="W10" s="300">
        <v>2.1020000000104782</v>
      </c>
      <c r="X10" s="300">
        <v>7.3469999996930779</v>
      </c>
      <c r="Y10" s="300">
        <f t="shared" ref="Y10:Y11" si="4">SUM(V10:X10)</f>
        <v>28.329999999783297</v>
      </c>
    </row>
    <row r="11" spans="1:25" x14ac:dyDescent="0.2">
      <c r="A11" s="264" t="s">
        <v>354</v>
      </c>
      <c r="B11" s="301">
        <f>SUM(B9:B10)</f>
        <v>12.75299999989587</v>
      </c>
      <c r="C11" s="301">
        <f t="shared" ref="C11:D11" si="5">SUM(C9:C10)</f>
        <v>5.3160000000292111</v>
      </c>
      <c r="D11" s="301">
        <f t="shared" si="5"/>
        <v>9.6419999999801647</v>
      </c>
      <c r="E11" s="301">
        <f t="shared" si="0"/>
        <v>27.710999999905248</v>
      </c>
      <c r="F11" s="301"/>
      <c r="G11" s="301">
        <f>SUM(G9:G10)</f>
        <v>10.665999999984951</v>
      </c>
      <c r="H11" s="301">
        <f t="shared" ref="H11" si="6">SUM(H9:H10)</f>
        <v>4.4849999999870329</v>
      </c>
      <c r="I11" s="301">
        <f t="shared" ref="I11" si="7">SUM(I9:I10)</f>
        <v>13.27600000022295</v>
      </c>
      <c r="J11" s="301">
        <f t="shared" si="1"/>
        <v>28.427000000194933</v>
      </c>
      <c r="K11" s="301"/>
      <c r="L11" s="301">
        <f>SUM(L9:L10)</f>
        <v>24.811000000038074</v>
      </c>
      <c r="M11" s="301">
        <f t="shared" ref="M11" si="8">SUM(M9:M10)</f>
        <v>3.6410000000243681</v>
      </c>
      <c r="N11" s="301">
        <f t="shared" ref="N11" si="9">SUM(N9:N10)</f>
        <v>12.250999999756935</v>
      </c>
      <c r="O11" s="301">
        <f t="shared" si="2"/>
        <v>40.702999999819376</v>
      </c>
      <c r="P11" s="301"/>
      <c r="Q11" s="301">
        <f>SUM(Q9:Q10)</f>
        <v>24.91900000019406</v>
      </c>
      <c r="R11" s="301">
        <f t="shared" ref="R11" si="10">SUM(R9:R10)</f>
        <v>3.5420000000143999</v>
      </c>
      <c r="S11" s="301">
        <f t="shared" ref="S11" si="11">SUM(S9:S10)</f>
        <v>11.796999999582722</v>
      </c>
      <c r="T11" s="301">
        <f t="shared" si="3"/>
        <v>40.257999999791181</v>
      </c>
      <c r="U11" s="301"/>
      <c r="V11" s="301">
        <f>SUM(V9:V10)</f>
        <v>25.01300000008197</v>
      </c>
      <c r="W11" s="301">
        <f t="shared" ref="W11" si="12">SUM(W9:W10)</f>
        <v>3.2710000000068975</v>
      </c>
      <c r="X11" s="301">
        <f t="shared" ref="X11" si="13">SUM(X9:X10)</f>
        <v>10.65599999965819</v>
      </c>
      <c r="Y11" s="301">
        <f t="shared" si="4"/>
        <v>38.939999999747059</v>
      </c>
    </row>
    <row r="13" spans="1:25" x14ac:dyDescent="0.2">
      <c r="A13" s="261"/>
    </row>
    <row r="14" spans="1:25" x14ac:dyDescent="0.2">
      <c r="C14" s="263"/>
    </row>
    <row r="15" spans="1:25" ht="15" x14ac:dyDescent="0.25">
      <c r="A15" s="265" t="str">
        <f>"Industry 2 : "&amp; name!B5</f>
        <v>Industry 2 : Mining and quarrying</v>
      </c>
      <c r="B15" s="371">
        <f>$B$5</f>
        <v>2015</v>
      </c>
      <c r="C15" s="371"/>
      <c r="D15" s="371"/>
      <c r="E15" s="371"/>
      <c r="F15" s="320"/>
      <c r="G15" s="371">
        <f>$G$5</f>
        <v>2019</v>
      </c>
      <c r="H15" s="371"/>
      <c r="I15" s="371"/>
      <c r="J15" s="371"/>
      <c r="K15" s="320"/>
      <c r="L15" s="371">
        <f>$L$5</f>
        <v>2020</v>
      </c>
      <c r="M15" s="371"/>
      <c r="N15" s="371"/>
      <c r="O15" s="371"/>
      <c r="P15" s="318"/>
      <c r="Q15" s="371">
        <f>$Q$5</f>
        <v>2025</v>
      </c>
      <c r="R15" s="371"/>
      <c r="S15" s="371"/>
      <c r="T15" s="371"/>
      <c r="U15" s="320"/>
      <c r="V15" s="371">
        <f>$V$5</f>
        <v>2035</v>
      </c>
      <c r="W15" s="371"/>
      <c r="X15" s="371"/>
      <c r="Y15" s="371"/>
    </row>
    <row r="16" spans="1:25" x14ac:dyDescent="0.2">
      <c r="A16" s="264"/>
      <c r="B16" s="268" t="str">
        <f>$B$6</f>
        <v>FT</v>
      </c>
      <c r="C16" s="268" t="str">
        <f>$C$6</f>
        <v>PT</v>
      </c>
      <c r="D16" s="268" t="str">
        <f>$D$6</f>
        <v>SE</v>
      </c>
      <c r="E16" s="268" t="str">
        <f>$E$6</f>
        <v>Total</v>
      </c>
      <c r="F16" s="268"/>
      <c r="G16" s="268" t="str">
        <f>$B$6</f>
        <v>FT</v>
      </c>
      <c r="H16" s="268" t="str">
        <f>$C$6</f>
        <v>PT</v>
      </c>
      <c r="I16" s="268" t="str">
        <f>$D$6</f>
        <v>SE</v>
      </c>
      <c r="J16" s="268" t="str">
        <f>$E$6</f>
        <v>Total</v>
      </c>
      <c r="K16" s="268"/>
      <c r="L16" s="268" t="str">
        <f>$L$6</f>
        <v>FT</v>
      </c>
      <c r="M16" s="268" t="str">
        <f>$M$6</f>
        <v>PT</v>
      </c>
      <c r="N16" s="268" t="str">
        <f>$N$6</f>
        <v>SE</v>
      </c>
      <c r="O16" s="268" t="str">
        <f>$O$6</f>
        <v>Total</v>
      </c>
      <c r="P16" s="268"/>
      <c r="Q16" s="268" t="str">
        <f>$L$6</f>
        <v>FT</v>
      </c>
      <c r="R16" s="268" t="str">
        <f>$M$6</f>
        <v>PT</v>
      </c>
      <c r="S16" s="268" t="str">
        <f>$N$6</f>
        <v>SE</v>
      </c>
      <c r="T16" s="268" t="str">
        <f>$O$6</f>
        <v>Total</v>
      </c>
      <c r="U16" s="268"/>
      <c r="V16" s="268" t="str">
        <f>$V$6</f>
        <v>FT</v>
      </c>
      <c r="W16" s="268" t="str">
        <f>$W$6</f>
        <v>PT</v>
      </c>
      <c r="X16" s="268" t="str">
        <f>$X$6</f>
        <v>SE</v>
      </c>
      <c r="Y16" s="268" t="str">
        <f>$Y$6</f>
        <v>Total</v>
      </c>
    </row>
    <row r="17" spans="1:25" x14ac:dyDescent="0.2"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  <c r="V17" s="319"/>
      <c r="W17" s="319"/>
      <c r="X17" s="319"/>
      <c r="Y17" s="319"/>
    </row>
    <row r="18" spans="1:25" x14ac:dyDescent="0.2">
      <c r="A18" s="261" t="str">
        <f>name!A5</f>
        <v>Coal, oil &amp; gas; Mining &amp; related</v>
      </c>
      <c r="C18" s="263"/>
    </row>
    <row r="19" spans="1:25" x14ac:dyDescent="0.2">
      <c r="A19" s="260" t="s">
        <v>356</v>
      </c>
      <c r="B19" s="300">
        <v>0.51499999999561152</v>
      </c>
      <c r="C19" s="300">
        <v>0.297999999998037</v>
      </c>
      <c r="D19" s="300">
        <v>9.999999999885708E-4</v>
      </c>
      <c r="E19" s="300">
        <f>SUM(B19:D19)</f>
        <v>0.81399999999363715</v>
      </c>
      <c r="F19" s="300"/>
      <c r="G19" s="300">
        <v>0.55899999999923622</v>
      </c>
      <c r="H19" s="300">
        <v>0.12899999999962933</v>
      </c>
      <c r="I19" s="300">
        <v>1.0000000000193734E-3</v>
      </c>
      <c r="J19" s="300">
        <f>SUM(G19:I19)</f>
        <v>0.68899999999888484</v>
      </c>
      <c r="K19" s="300"/>
      <c r="L19" s="300">
        <v>0.4209999999985769</v>
      </c>
      <c r="M19" s="300">
        <v>0.12199999999956494</v>
      </c>
      <c r="N19" s="300">
        <v>0</v>
      </c>
      <c r="O19" s="300">
        <f>SUM(L19:N19)</f>
        <v>0.54299999999814186</v>
      </c>
      <c r="P19" s="300"/>
      <c r="Q19" s="300">
        <v>0.34100000000140029</v>
      </c>
      <c r="R19" s="300">
        <v>0.10099999999903367</v>
      </c>
      <c r="S19" s="300">
        <v>0</v>
      </c>
      <c r="T19" s="300">
        <f>SUM(Q19:S19)</f>
        <v>0.44200000000043393</v>
      </c>
      <c r="U19" s="300"/>
      <c r="V19" s="300">
        <v>0.24899999999689346</v>
      </c>
      <c r="W19" s="300">
        <v>7.8999999999390558E-2</v>
      </c>
      <c r="X19" s="300">
        <v>0</v>
      </c>
      <c r="Y19" s="300">
        <f>SUM(V19:X19)</f>
        <v>0.32799999999628404</v>
      </c>
    </row>
    <row r="20" spans="1:25" x14ac:dyDescent="0.2">
      <c r="A20" s="260" t="s">
        <v>355</v>
      </c>
      <c r="B20" s="300">
        <v>4.6699999999601634</v>
      </c>
      <c r="C20" s="300">
        <v>0.10000000000015911</v>
      </c>
      <c r="D20" s="300">
        <v>0</v>
      </c>
      <c r="E20" s="300">
        <f t="shared" ref="E20:E21" si="14">SUM(B20:D20)</f>
        <v>4.7699999999603229</v>
      </c>
      <c r="F20" s="300"/>
      <c r="G20" s="300">
        <v>3.326999999998951</v>
      </c>
      <c r="H20" s="300">
        <v>2.3999999999937075E-2</v>
      </c>
      <c r="I20" s="300">
        <v>0</v>
      </c>
      <c r="J20" s="300">
        <f t="shared" ref="J20:J21" si="15">SUM(G20:I20)</f>
        <v>3.350999999998888</v>
      </c>
      <c r="K20" s="300"/>
      <c r="L20" s="300">
        <v>3.2870000000072022</v>
      </c>
      <c r="M20" s="300">
        <v>0.23099999999904142</v>
      </c>
      <c r="N20" s="300">
        <v>0</v>
      </c>
      <c r="O20" s="300">
        <f t="shared" ref="O20:O21" si="16">SUM(L20:N20)</f>
        <v>3.5180000000062437</v>
      </c>
      <c r="P20" s="300"/>
      <c r="Q20" s="300">
        <v>2.6770000000162244</v>
      </c>
      <c r="R20" s="300">
        <v>0.19599999999962545</v>
      </c>
      <c r="S20" s="300">
        <v>0</v>
      </c>
      <c r="T20" s="300">
        <f t="shared" ref="T20:T21" si="17">SUM(Q20:S20)</f>
        <v>2.8730000000158498</v>
      </c>
      <c r="U20" s="300"/>
      <c r="V20" s="300">
        <v>2.0180000000134188</v>
      </c>
      <c r="W20" s="300">
        <v>0.15699999999972725</v>
      </c>
      <c r="X20" s="300">
        <v>0</v>
      </c>
      <c r="Y20" s="300">
        <f t="shared" ref="Y20:Y21" si="18">SUM(V20:X20)</f>
        <v>2.1750000000131462</v>
      </c>
    </row>
    <row r="21" spans="1:25" x14ac:dyDescent="0.2">
      <c r="A21" s="264" t="s">
        <v>354</v>
      </c>
      <c r="B21" s="301">
        <f>SUM(B19:B20)</f>
        <v>5.1849999999557745</v>
      </c>
      <c r="C21" s="301">
        <f t="shared" ref="C21" si="19">SUM(C19:C20)</f>
        <v>0.39799999999819613</v>
      </c>
      <c r="D21" s="301">
        <f t="shared" ref="D21" si="20">SUM(D19:D20)</f>
        <v>9.999999999885708E-4</v>
      </c>
      <c r="E21" s="301">
        <f t="shared" si="14"/>
        <v>5.5839999999539591</v>
      </c>
      <c r="F21" s="301"/>
      <c r="G21" s="301">
        <f>SUM(G19:G20)</f>
        <v>3.8859999999981873</v>
      </c>
      <c r="H21" s="301">
        <f t="shared" ref="H21" si="21">SUM(H19:H20)</f>
        <v>0.1529999999995664</v>
      </c>
      <c r="I21" s="301">
        <f t="shared" ref="I21" si="22">SUM(I19:I20)</f>
        <v>1.0000000000193734E-3</v>
      </c>
      <c r="J21" s="301">
        <f t="shared" si="15"/>
        <v>4.0399999999977725</v>
      </c>
      <c r="K21" s="301"/>
      <c r="L21" s="301">
        <f>SUM(L19:L20)</f>
        <v>3.7080000000057791</v>
      </c>
      <c r="M21" s="301">
        <f t="shared" ref="M21" si="23">SUM(M19:M20)</f>
        <v>0.35299999999860637</v>
      </c>
      <c r="N21" s="301">
        <f t="shared" ref="N21" si="24">SUM(N19:N20)</f>
        <v>0</v>
      </c>
      <c r="O21" s="301">
        <f t="shared" si="16"/>
        <v>4.0610000000043858</v>
      </c>
      <c r="P21" s="301"/>
      <c r="Q21" s="301">
        <f>SUM(Q19:Q20)</f>
        <v>3.0180000000176248</v>
      </c>
      <c r="R21" s="301">
        <f t="shared" ref="R21" si="25">SUM(R19:R20)</f>
        <v>0.29699999999865911</v>
      </c>
      <c r="S21" s="301">
        <f t="shared" ref="S21" si="26">SUM(S19:S20)</f>
        <v>0</v>
      </c>
      <c r="T21" s="301">
        <f t="shared" si="17"/>
        <v>3.3150000000162838</v>
      </c>
      <c r="U21" s="301"/>
      <c r="V21" s="301">
        <f>SUM(V19:V20)</f>
        <v>2.2670000000103121</v>
      </c>
      <c r="W21" s="301">
        <f t="shared" ref="W21" si="27">SUM(W19:W20)</f>
        <v>0.2359999999991178</v>
      </c>
      <c r="X21" s="301">
        <f t="shared" ref="X21" si="28">SUM(X19:X20)</f>
        <v>0</v>
      </c>
      <c r="Y21" s="301">
        <f t="shared" si="18"/>
        <v>2.5030000000094299</v>
      </c>
    </row>
    <row r="22" spans="1:25" x14ac:dyDescent="0.2">
      <c r="A22" s="262"/>
    </row>
    <row r="23" spans="1:25" x14ac:dyDescent="0.2">
      <c r="A23" s="262"/>
    </row>
    <row r="24" spans="1:25" x14ac:dyDescent="0.2">
      <c r="A24" s="262"/>
    </row>
    <row r="25" spans="1:25" ht="15" x14ac:dyDescent="0.25">
      <c r="A25" s="265" t="str">
        <f>"Industry 3 : "&amp; name!B6</f>
        <v>Industry 3 : Food drink and tobacco</v>
      </c>
      <c r="B25" s="371">
        <f>$B$5</f>
        <v>2015</v>
      </c>
      <c r="C25" s="371"/>
      <c r="D25" s="371"/>
      <c r="E25" s="371"/>
      <c r="F25" s="320"/>
      <c r="G25" s="371">
        <f>$G$5</f>
        <v>2019</v>
      </c>
      <c r="H25" s="371"/>
      <c r="I25" s="371"/>
      <c r="J25" s="371"/>
      <c r="K25" s="320"/>
      <c r="L25" s="371">
        <f>$L$5</f>
        <v>2020</v>
      </c>
      <c r="M25" s="371"/>
      <c r="N25" s="371"/>
      <c r="O25" s="371"/>
      <c r="P25" s="318"/>
      <c r="Q25" s="371">
        <f>$Q$5</f>
        <v>2025</v>
      </c>
      <c r="R25" s="371"/>
      <c r="S25" s="371"/>
      <c r="T25" s="371"/>
      <c r="U25" s="320"/>
      <c r="V25" s="371">
        <f>$V$5</f>
        <v>2035</v>
      </c>
      <c r="W25" s="371"/>
      <c r="X25" s="371"/>
      <c r="Y25" s="371"/>
    </row>
    <row r="26" spans="1:25" x14ac:dyDescent="0.2">
      <c r="A26" s="264"/>
      <c r="B26" s="268" t="str">
        <f>$B$6</f>
        <v>FT</v>
      </c>
      <c r="C26" s="268" t="str">
        <f>$C$6</f>
        <v>PT</v>
      </c>
      <c r="D26" s="268" t="str">
        <f>$D$6</f>
        <v>SE</v>
      </c>
      <c r="E26" s="268" t="str">
        <f>$E$6</f>
        <v>Total</v>
      </c>
      <c r="F26" s="268"/>
      <c r="G26" s="268" t="str">
        <f>$B$6</f>
        <v>FT</v>
      </c>
      <c r="H26" s="268" t="str">
        <f>$C$6</f>
        <v>PT</v>
      </c>
      <c r="I26" s="268" t="str">
        <f>$D$6</f>
        <v>SE</v>
      </c>
      <c r="J26" s="268" t="str">
        <f>$E$6</f>
        <v>Total</v>
      </c>
      <c r="K26" s="268"/>
      <c r="L26" s="268" t="str">
        <f>$L$6</f>
        <v>FT</v>
      </c>
      <c r="M26" s="268" t="str">
        <f>$M$6</f>
        <v>PT</v>
      </c>
      <c r="N26" s="268" t="str">
        <f>$N$6</f>
        <v>SE</v>
      </c>
      <c r="O26" s="268" t="str">
        <f>$O$6</f>
        <v>Total</v>
      </c>
      <c r="P26" s="268"/>
      <c r="Q26" s="268" t="str">
        <f>$L$6</f>
        <v>FT</v>
      </c>
      <c r="R26" s="268" t="str">
        <f>$M$6</f>
        <v>PT</v>
      </c>
      <c r="S26" s="268" t="str">
        <f>$N$6</f>
        <v>SE</v>
      </c>
      <c r="T26" s="268" t="str">
        <f>$O$6</f>
        <v>Total</v>
      </c>
      <c r="U26" s="268"/>
      <c r="V26" s="268" t="str">
        <f>$V$6</f>
        <v>FT</v>
      </c>
      <c r="W26" s="268" t="str">
        <f>$W$6</f>
        <v>PT</v>
      </c>
      <c r="X26" s="268" t="str">
        <f>$X$6</f>
        <v>SE</v>
      </c>
      <c r="Y26" s="268" t="str">
        <f>$Y$6</f>
        <v>Total</v>
      </c>
    </row>
    <row r="27" spans="1:25" x14ac:dyDescent="0.2"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</row>
    <row r="28" spans="1:25" x14ac:dyDescent="0.2">
      <c r="A28" s="261" t="str">
        <f>name!A6</f>
        <v>Food products</v>
      </c>
      <c r="C28" s="263"/>
    </row>
    <row r="29" spans="1:25" x14ac:dyDescent="0.2">
      <c r="A29" s="260" t="s">
        <v>356</v>
      </c>
      <c r="B29" s="300">
        <v>15.641000000046057</v>
      </c>
      <c r="C29" s="300">
        <v>3.6290000001098255</v>
      </c>
      <c r="D29" s="300">
        <v>0.74100000001076993</v>
      </c>
      <c r="E29" s="300">
        <f>SUM(B29:D29)</f>
        <v>20.011000000166653</v>
      </c>
      <c r="F29" s="300"/>
      <c r="G29" s="300">
        <v>16.719999999661049</v>
      </c>
      <c r="H29" s="300">
        <v>3.7380000000135354</v>
      </c>
      <c r="I29" s="300">
        <v>0.77100000001315938</v>
      </c>
      <c r="J29" s="300">
        <f>SUM(G29:I29)</f>
        <v>21.228999999687744</v>
      </c>
      <c r="K29" s="300"/>
      <c r="L29" s="300">
        <v>14.754999999986074</v>
      </c>
      <c r="M29" s="300">
        <v>4.1440000001149784</v>
      </c>
      <c r="N29" s="300">
        <v>0.25499999999532952</v>
      </c>
      <c r="O29" s="300">
        <f>SUM(L29:N29)</f>
        <v>19.154000000096385</v>
      </c>
      <c r="P29" s="300"/>
      <c r="Q29" s="300">
        <v>16.62500000035444</v>
      </c>
      <c r="R29" s="300">
        <v>4.4920000001075504</v>
      </c>
      <c r="S29" s="300">
        <v>0.28499999999964371</v>
      </c>
      <c r="T29" s="300">
        <f>SUM(Q29:S29)</f>
        <v>21.402000000461637</v>
      </c>
      <c r="U29" s="300"/>
      <c r="V29" s="300">
        <v>19.399999999879771</v>
      </c>
      <c r="W29" s="300">
        <v>4.8709999999441642</v>
      </c>
      <c r="X29" s="300">
        <v>0.32399999999908607</v>
      </c>
      <c r="Y29" s="300">
        <f>SUM(V29:X29)</f>
        <v>24.59499999982302</v>
      </c>
    </row>
    <row r="30" spans="1:25" x14ac:dyDescent="0.2">
      <c r="A30" s="260" t="s">
        <v>355</v>
      </c>
      <c r="B30" s="300">
        <v>33.434999999601246</v>
      </c>
      <c r="C30" s="300">
        <v>1.5080000000006613</v>
      </c>
      <c r="D30" s="300">
        <v>0.74600000000571731</v>
      </c>
      <c r="E30" s="300">
        <f t="shared" ref="E30:E31" si="29">SUM(B30:D30)</f>
        <v>35.688999999607624</v>
      </c>
      <c r="F30" s="300"/>
      <c r="G30" s="300">
        <v>33.483000000079137</v>
      </c>
      <c r="H30" s="300">
        <v>2.7140000000291495</v>
      </c>
      <c r="I30" s="300">
        <v>0.25900000000119988</v>
      </c>
      <c r="J30" s="300">
        <f t="shared" ref="J30:J31" si="30">SUM(G30:I30)</f>
        <v>36.456000000109491</v>
      </c>
      <c r="K30" s="300"/>
      <c r="L30" s="300">
        <v>33.280000000239468</v>
      </c>
      <c r="M30" s="300">
        <v>3.1100000000091166</v>
      </c>
      <c r="N30" s="300">
        <v>0.41099999999646852</v>
      </c>
      <c r="O30" s="300">
        <f t="shared" ref="O30:O31" si="31">SUM(L30:N30)</f>
        <v>36.801000000245054</v>
      </c>
      <c r="P30" s="300"/>
      <c r="Q30" s="300">
        <v>35.757000000307798</v>
      </c>
      <c r="R30" s="300">
        <v>3.3780000000156787</v>
      </c>
      <c r="S30" s="300">
        <v>0.45099999999648482</v>
      </c>
      <c r="T30" s="300">
        <f t="shared" ref="T30:T31" si="32">SUM(Q30:S30)</f>
        <v>39.586000000319963</v>
      </c>
      <c r="U30" s="300"/>
      <c r="V30" s="300">
        <v>38.213000000328542</v>
      </c>
      <c r="W30" s="300">
        <v>3.6910000000187879</v>
      </c>
      <c r="X30" s="300">
        <v>0.50399999999566536</v>
      </c>
      <c r="Y30" s="300">
        <f t="shared" ref="Y30:Y31" si="33">SUM(V30:X30)</f>
        <v>42.408000000342994</v>
      </c>
    </row>
    <row r="31" spans="1:25" x14ac:dyDescent="0.2">
      <c r="A31" s="260" t="s">
        <v>354</v>
      </c>
      <c r="B31" s="300">
        <f>SUM(B29:B30)</f>
        <v>49.075999999647301</v>
      </c>
      <c r="C31" s="300">
        <f t="shared" ref="C31" si="34">SUM(C29:C30)</f>
        <v>5.1370000001104863</v>
      </c>
      <c r="D31" s="300">
        <f t="shared" ref="D31" si="35">SUM(D29:D30)</f>
        <v>1.4870000000164874</v>
      </c>
      <c r="E31" s="300">
        <f t="shared" si="29"/>
        <v>55.699999999774271</v>
      </c>
      <c r="F31" s="300"/>
      <c r="G31" s="300">
        <f>SUM(G29:G30)</f>
        <v>50.202999999740186</v>
      </c>
      <c r="H31" s="300">
        <f t="shared" ref="H31" si="36">SUM(H29:H30)</f>
        <v>6.4520000000426849</v>
      </c>
      <c r="I31" s="300">
        <f t="shared" ref="I31" si="37">SUM(I29:I30)</f>
        <v>1.0300000000143592</v>
      </c>
      <c r="J31" s="300">
        <f t="shared" si="30"/>
        <v>57.684999999797235</v>
      </c>
      <c r="K31" s="300"/>
      <c r="L31" s="300">
        <f>SUM(L29:L30)</f>
        <v>48.035000000225544</v>
      </c>
      <c r="M31" s="300">
        <f t="shared" ref="M31" si="38">SUM(M29:M30)</f>
        <v>7.254000000124095</v>
      </c>
      <c r="N31" s="300">
        <f t="shared" ref="N31" si="39">SUM(N29:N30)</f>
        <v>0.66599999999179804</v>
      </c>
      <c r="O31" s="300">
        <f t="shared" si="31"/>
        <v>55.955000000341435</v>
      </c>
      <c r="P31" s="300"/>
      <c r="Q31" s="300">
        <f>SUM(Q29:Q30)</f>
        <v>52.382000000662238</v>
      </c>
      <c r="R31" s="300">
        <f t="shared" ref="R31" si="40">SUM(R29:R30)</f>
        <v>7.8700000001232286</v>
      </c>
      <c r="S31" s="300">
        <f t="shared" ref="S31" si="41">SUM(S29:S30)</f>
        <v>0.73599999999612853</v>
      </c>
      <c r="T31" s="300">
        <f t="shared" si="32"/>
        <v>60.988000000781597</v>
      </c>
      <c r="U31" s="300"/>
      <c r="V31" s="300">
        <f>SUM(V29:V30)</f>
        <v>57.613000000208316</v>
      </c>
      <c r="W31" s="300">
        <f t="shared" ref="W31" si="42">SUM(W29:W30)</f>
        <v>8.5619999999629517</v>
      </c>
      <c r="X31" s="300">
        <f t="shared" ref="X31" si="43">SUM(X29:X30)</f>
        <v>0.82799999999475138</v>
      </c>
      <c r="Y31" s="300">
        <f t="shared" si="33"/>
        <v>67.003000000166011</v>
      </c>
    </row>
    <row r="32" spans="1:25" x14ac:dyDescent="0.2"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  <c r="V32" s="319"/>
      <c r="W32" s="319"/>
      <c r="X32" s="319"/>
      <c r="Y32" s="319"/>
    </row>
    <row r="33" spans="1:25" x14ac:dyDescent="0.2">
      <c r="A33" s="261" t="str">
        <f>name!A7</f>
        <v>Beverages and tobacco</v>
      </c>
      <c r="C33" s="263"/>
    </row>
    <row r="34" spans="1:25" x14ac:dyDescent="0.2">
      <c r="A34" s="260" t="s">
        <v>356</v>
      </c>
      <c r="B34" s="300">
        <v>7.0999999999654728E-2</v>
      </c>
      <c r="C34" s="300">
        <v>0.38600000000563761</v>
      </c>
      <c r="D34" s="300">
        <v>1.9000000000167737E-2</v>
      </c>
      <c r="E34" s="300">
        <f>SUM(B34:D34)</f>
        <v>0.47600000000546006</v>
      </c>
      <c r="F34" s="300"/>
      <c r="G34" s="300">
        <v>7.0999999999266455E-2</v>
      </c>
      <c r="H34" s="300">
        <v>0.11100000000002534</v>
      </c>
      <c r="I34" s="300">
        <v>4.0000000000325955E-3</v>
      </c>
      <c r="J34" s="300">
        <f>SUM(G34:I34)</f>
        <v>0.18599999999932437</v>
      </c>
      <c r="K34" s="300"/>
      <c r="L34" s="300">
        <v>6.2999999999830927E-2</v>
      </c>
      <c r="M34" s="300">
        <v>0.12300000000164159</v>
      </c>
      <c r="N34" s="300">
        <v>4.99999999997627E-3</v>
      </c>
      <c r="O34" s="300">
        <f>SUM(L34:N34)</f>
        <v>0.19100000000144879</v>
      </c>
      <c r="P34" s="300"/>
      <c r="Q34" s="300">
        <v>7.1000000000963917E-2</v>
      </c>
      <c r="R34" s="300">
        <v>0.13300000000138901</v>
      </c>
      <c r="S34" s="300">
        <v>4.999999999987615E-3</v>
      </c>
      <c r="T34" s="300">
        <f>SUM(Q34:S34)</f>
        <v>0.20900000000234054</v>
      </c>
      <c r="U34" s="300"/>
      <c r="V34" s="300">
        <v>8.2999999999599713E-2</v>
      </c>
      <c r="W34" s="300">
        <v>0.14499999999923763</v>
      </c>
      <c r="X34" s="300">
        <v>5.9999999999577761E-3</v>
      </c>
      <c r="Y34" s="300">
        <f>SUM(V34:X34)</f>
        <v>0.23399999999879514</v>
      </c>
    </row>
    <row r="35" spans="1:25" x14ac:dyDescent="0.2">
      <c r="A35" s="260" t="s">
        <v>355</v>
      </c>
      <c r="B35" s="300">
        <v>1.1979999999962316</v>
      </c>
      <c r="C35" s="300">
        <v>9.9000000000808011E-2</v>
      </c>
      <c r="D35" s="300">
        <v>3.4000000000384605E-2</v>
      </c>
      <c r="E35" s="300">
        <f t="shared" ref="E35:E36" si="44">SUM(B35:D35)</f>
        <v>1.3309999999974242</v>
      </c>
      <c r="F35" s="300"/>
      <c r="G35" s="300">
        <v>0.92199999999959015</v>
      </c>
      <c r="H35" s="300">
        <v>5.1999999999623736E-2</v>
      </c>
      <c r="I35" s="300">
        <v>8.0000000000049962E-3</v>
      </c>
      <c r="J35" s="300">
        <f t="shared" ref="J35:J36" si="45">SUM(G35:I35)</f>
        <v>0.98199999999921894</v>
      </c>
      <c r="K35" s="300"/>
      <c r="L35" s="300">
        <v>0.91599999999918924</v>
      </c>
      <c r="M35" s="300">
        <v>5.9999999998819234E-2</v>
      </c>
      <c r="N35" s="300">
        <v>3.3999999999580567E-2</v>
      </c>
      <c r="O35" s="300">
        <f t="shared" ref="O35:O36" si="46">SUM(L35:N35)</f>
        <v>1.009999999997589</v>
      </c>
      <c r="P35" s="300"/>
      <c r="Q35" s="300">
        <v>0.98400000000135435</v>
      </c>
      <c r="R35" s="300">
        <v>6.4999999999133667E-2</v>
      </c>
      <c r="S35" s="300">
        <v>3.6999999999779938E-2</v>
      </c>
      <c r="T35" s="300">
        <f t="shared" ref="T35:T36" si="47">SUM(Q35:S35)</f>
        <v>1.0860000000002679</v>
      </c>
      <c r="U35" s="300"/>
      <c r="V35" s="300">
        <v>1.0520000000011098</v>
      </c>
      <c r="W35" s="300">
        <v>7.0999999998687863E-2</v>
      </c>
      <c r="X35" s="300">
        <v>4.5999999999612982E-2</v>
      </c>
      <c r="Y35" s="300">
        <f t="shared" ref="Y35:Y36" si="48">SUM(V35:X35)</f>
        <v>1.1689999999994107</v>
      </c>
    </row>
    <row r="36" spans="1:25" x14ac:dyDescent="0.2">
      <c r="A36" s="260" t="s">
        <v>354</v>
      </c>
      <c r="B36" s="300">
        <f>SUM(B34:B35)</f>
        <v>1.2689999999958863</v>
      </c>
      <c r="C36" s="300">
        <f t="shared" ref="C36" si="49">SUM(C34:C35)</f>
        <v>0.48500000000644561</v>
      </c>
      <c r="D36" s="300">
        <f t="shared" ref="D36" si="50">SUM(D34:D35)</f>
        <v>5.3000000000552341E-2</v>
      </c>
      <c r="E36" s="300">
        <f t="shared" si="44"/>
        <v>1.8070000000028843</v>
      </c>
      <c r="F36" s="300"/>
      <c r="G36" s="300">
        <f>SUM(G34:G35)</f>
        <v>0.99299999999885658</v>
      </c>
      <c r="H36" s="300">
        <f t="shared" ref="H36" si="51">SUM(H34:H35)</f>
        <v>0.16299999999964909</v>
      </c>
      <c r="I36" s="300">
        <f t="shared" ref="I36" si="52">SUM(I34:I35)</f>
        <v>1.2000000000037592E-2</v>
      </c>
      <c r="J36" s="300">
        <f t="shared" si="45"/>
        <v>1.1679999999985433</v>
      </c>
      <c r="K36" s="300"/>
      <c r="L36" s="300">
        <f>SUM(L34:L35)</f>
        <v>0.97899999999902021</v>
      </c>
      <c r="M36" s="300">
        <f t="shared" ref="M36" si="53">SUM(M34:M35)</f>
        <v>0.18300000000046082</v>
      </c>
      <c r="N36" s="300">
        <f t="shared" ref="N36" si="54">SUM(N34:N35)</f>
        <v>3.8999999999556834E-2</v>
      </c>
      <c r="O36" s="300">
        <f t="shared" si="46"/>
        <v>1.2009999999990377</v>
      </c>
      <c r="P36" s="300"/>
      <c r="Q36" s="300">
        <f>SUM(Q34:Q35)</f>
        <v>1.0550000000023183</v>
      </c>
      <c r="R36" s="300">
        <f t="shared" ref="R36" si="55">SUM(R34:R35)</f>
        <v>0.19800000000052267</v>
      </c>
      <c r="S36" s="300">
        <f t="shared" ref="S36" si="56">SUM(S34:S35)</f>
        <v>4.1999999999767557E-2</v>
      </c>
      <c r="T36" s="300">
        <f t="shared" si="47"/>
        <v>1.2950000000026085</v>
      </c>
      <c r="U36" s="300"/>
      <c r="V36" s="300">
        <f>SUM(V34:V35)</f>
        <v>1.1350000000007094</v>
      </c>
      <c r="W36" s="300">
        <f t="shared" ref="W36" si="57">SUM(W34:W35)</f>
        <v>0.21599999999792549</v>
      </c>
      <c r="X36" s="300">
        <f t="shared" ref="X36" si="58">SUM(X34:X35)</f>
        <v>5.1999999999570758E-2</v>
      </c>
      <c r="Y36" s="300">
        <f t="shared" si="48"/>
        <v>1.4029999999982057</v>
      </c>
    </row>
    <row r="37" spans="1:25" x14ac:dyDescent="0.2">
      <c r="C37" s="263"/>
    </row>
    <row r="38" spans="1:25" x14ac:dyDescent="0.2">
      <c r="A38" s="261" t="s">
        <v>372</v>
      </c>
    </row>
    <row r="39" spans="1:25" x14ac:dyDescent="0.2">
      <c r="A39" s="260" t="s">
        <v>356</v>
      </c>
      <c r="B39" s="300">
        <f>SUM(B29,B34)</f>
        <v>15.712000000045713</v>
      </c>
      <c r="C39" s="300">
        <f t="shared" ref="C39:D40" si="59">SUM(C29,C34)</f>
        <v>4.0150000001154629</v>
      </c>
      <c r="D39" s="300">
        <f t="shared" si="59"/>
        <v>0.7600000000109377</v>
      </c>
      <c r="E39" s="300">
        <f>SUM(B39:D39)</f>
        <v>20.487000000172113</v>
      </c>
      <c r="F39" s="300"/>
      <c r="G39" s="300">
        <f>SUM(G29,G34)</f>
        <v>16.790999999660315</v>
      </c>
      <c r="H39" s="300">
        <f t="shared" ref="H39:I39" si="60">SUM(H29,H34)</f>
        <v>3.8490000000135609</v>
      </c>
      <c r="I39" s="300">
        <f t="shared" si="60"/>
        <v>0.77500000001319203</v>
      </c>
      <c r="J39" s="300">
        <f>SUM(G39:I39)</f>
        <v>21.414999999687069</v>
      </c>
      <c r="K39" s="300"/>
      <c r="L39" s="300">
        <f>SUM(L29,L34)</f>
        <v>14.817999999985904</v>
      </c>
      <c r="M39" s="300">
        <f t="shared" ref="M39:N39" si="61">SUM(M29,M34)</f>
        <v>4.26700000011662</v>
      </c>
      <c r="N39" s="300">
        <f t="shared" si="61"/>
        <v>0.25999999999530576</v>
      </c>
      <c r="O39" s="300">
        <f>SUM(L39:N39)</f>
        <v>19.34500000009783</v>
      </c>
      <c r="P39" s="300"/>
      <c r="Q39" s="300">
        <f>SUM(Q29,Q34)</f>
        <v>16.696000000355404</v>
      </c>
      <c r="R39" s="300">
        <f t="shared" ref="R39:S39" si="62">SUM(R29,R34)</f>
        <v>4.6250000001089395</v>
      </c>
      <c r="S39" s="300">
        <f t="shared" si="62"/>
        <v>0.28999999999963133</v>
      </c>
      <c r="T39" s="300">
        <f>SUM(Q39:S39)</f>
        <v>21.611000000463974</v>
      </c>
      <c r="U39" s="300"/>
      <c r="V39" s="300">
        <f>SUM(V29,V34)</f>
        <v>19.482999999879372</v>
      </c>
      <c r="W39" s="300">
        <f t="shared" ref="W39:X39" si="63">SUM(W29,W34)</f>
        <v>5.0159999999434017</v>
      </c>
      <c r="X39" s="300">
        <f t="shared" si="63"/>
        <v>0.32999999999904384</v>
      </c>
      <c r="Y39" s="300">
        <f>SUM(V39:X39)</f>
        <v>24.828999999821814</v>
      </c>
    </row>
    <row r="40" spans="1:25" x14ac:dyDescent="0.2">
      <c r="A40" s="260" t="s">
        <v>355</v>
      </c>
      <c r="B40" s="300">
        <f>SUM(B30,B35)</f>
        <v>34.63299999959748</v>
      </c>
      <c r="C40" s="300">
        <f t="shared" si="59"/>
        <v>1.6070000000014693</v>
      </c>
      <c r="D40" s="300">
        <f t="shared" si="59"/>
        <v>0.78000000000610192</v>
      </c>
      <c r="E40" s="300">
        <f t="shared" ref="E40:E41" si="64">SUM(B40:D40)</f>
        <v>37.019999999605055</v>
      </c>
      <c r="F40" s="300"/>
      <c r="G40" s="300">
        <f>SUM(G30,G35)</f>
        <v>34.405000000078729</v>
      </c>
      <c r="H40" s="300">
        <f t="shared" ref="H40:I40" si="65">SUM(H30,H35)</f>
        <v>2.7660000000287734</v>
      </c>
      <c r="I40" s="300">
        <f t="shared" si="65"/>
        <v>0.26700000000120488</v>
      </c>
      <c r="J40" s="300">
        <f t="shared" ref="J40:J41" si="66">SUM(G40:I40)</f>
        <v>37.438000000108708</v>
      </c>
      <c r="K40" s="300"/>
      <c r="L40" s="300">
        <f>SUM(L30,L35)</f>
        <v>34.196000000238655</v>
      </c>
      <c r="M40" s="300">
        <f t="shared" ref="M40:N40" si="67">SUM(M30,M35)</f>
        <v>3.1700000000079358</v>
      </c>
      <c r="N40" s="300">
        <f t="shared" si="67"/>
        <v>0.44499999999604911</v>
      </c>
      <c r="O40" s="300">
        <f t="shared" ref="O40:O41" si="68">SUM(L40:N40)</f>
        <v>37.811000000242643</v>
      </c>
      <c r="P40" s="300"/>
      <c r="Q40" s="300">
        <f>SUM(Q30,Q35)</f>
        <v>36.74100000030915</v>
      </c>
      <c r="R40" s="300">
        <f t="shared" ref="R40:S40" si="69">SUM(R30,R35)</f>
        <v>3.4430000000148122</v>
      </c>
      <c r="S40" s="300">
        <f t="shared" si="69"/>
        <v>0.48799999999626475</v>
      </c>
      <c r="T40" s="300">
        <f t="shared" ref="T40:T41" si="70">SUM(Q40:S40)</f>
        <v>40.672000000320224</v>
      </c>
      <c r="U40" s="300"/>
      <c r="V40" s="300">
        <f>SUM(V30,V35)</f>
        <v>39.26500000032965</v>
      </c>
      <c r="W40" s="300">
        <f t="shared" ref="W40:X40" si="71">SUM(W30,W35)</f>
        <v>3.7620000000174758</v>
      </c>
      <c r="X40" s="300">
        <f t="shared" si="71"/>
        <v>0.54999999999527838</v>
      </c>
      <c r="Y40" s="300">
        <f t="shared" ref="Y40:Y41" si="72">SUM(V40:X40)</f>
        <v>43.577000000342402</v>
      </c>
    </row>
    <row r="41" spans="1:25" x14ac:dyDescent="0.2">
      <c r="A41" s="264" t="s">
        <v>354</v>
      </c>
      <c r="B41" s="301">
        <f>SUM(B39:B40)</f>
        <v>50.344999999643193</v>
      </c>
      <c r="C41" s="301">
        <f t="shared" ref="C41" si="73">SUM(C39:C40)</f>
        <v>5.6220000001169321</v>
      </c>
      <c r="D41" s="301">
        <f t="shared" ref="D41" si="74">SUM(D39:D40)</f>
        <v>1.5400000000170397</v>
      </c>
      <c r="E41" s="301">
        <f t="shared" si="64"/>
        <v>57.506999999777165</v>
      </c>
      <c r="F41" s="301"/>
      <c r="G41" s="301">
        <f>SUM(G39:G40)</f>
        <v>51.195999999739044</v>
      </c>
      <c r="H41" s="301">
        <f t="shared" ref="H41" si="75">SUM(H39:H40)</f>
        <v>6.6150000000423343</v>
      </c>
      <c r="I41" s="301">
        <f t="shared" ref="I41" si="76">SUM(I39:I40)</f>
        <v>1.042000000014397</v>
      </c>
      <c r="J41" s="301">
        <f t="shared" si="66"/>
        <v>58.852999999795777</v>
      </c>
      <c r="K41" s="301"/>
      <c r="L41" s="301">
        <f>SUM(L39:L40)</f>
        <v>49.014000000224556</v>
      </c>
      <c r="M41" s="301">
        <f t="shared" ref="M41" si="77">SUM(M39:M40)</f>
        <v>7.4370000001245558</v>
      </c>
      <c r="N41" s="301">
        <f t="shared" ref="N41" si="78">SUM(N39:N40)</f>
        <v>0.70499999999135488</v>
      </c>
      <c r="O41" s="301">
        <f t="shared" si="68"/>
        <v>57.15600000034047</v>
      </c>
      <c r="P41" s="301"/>
      <c r="Q41" s="301">
        <f>SUM(Q39:Q40)</f>
        <v>53.437000000664554</v>
      </c>
      <c r="R41" s="301">
        <f t="shared" ref="R41" si="79">SUM(R39:R40)</f>
        <v>8.0680000001237513</v>
      </c>
      <c r="S41" s="301">
        <f t="shared" ref="S41" si="80">SUM(S39:S40)</f>
        <v>0.77799999999589609</v>
      </c>
      <c r="T41" s="301">
        <f t="shared" si="70"/>
        <v>62.283000000784206</v>
      </c>
      <c r="U41" s="301"/>
      <c r="V41" s="301">
        <f>SUM(V39:V40)</f>
        <v>58.748000000209018</v>
      </c>
      <c r="W41" s="301">
        <f t="shared" ref="W41" si="81">SUM(W39:W40)</f>
        <v>8.777999999960878</v>
      </c>
      <c r="X41" s="301">
        <f t="shared" ref="X41" si="82">SUM(X39:X40)</f>
        <v>0.87999999999432221</v>
      </c>
      <c r="Y41" s="301">
        <f t="shared" si="72"/>
        <v>68.406000000164227</v>
      </c>
    </row>
    <row r="45" spans="1:25" ht="15" x14ac:dyDescent="0.25">
      <c r="A45" s="265" t="str">
        <f>"Industry 4 : "&amp; name!B7</f>
        <v>Industry 4 : Engineering</v>
      </c>
      <c r="B45" s="371">
        <f>$B$5</f>
        <v>2015</v>
      </c>
      <c r="C45" s="371"/>
      <c r="D45" s="371"/>
      <c r="E45" s="371"/>
      <c r="F45" s="320"/>
      <c r="G45" s="371">
        <f>$G$5</f>
        <v>2019</v>
      </c>
      <c r="H45" s="371"/>
      <c r="I45" s="371"/>
      <c r="J45" s="371"/>
      <c r="K45" s="320"/>
      <c r="L45" s="371">
        <f>$L$5</f>
        <v>2020</v>
      </c>
      <c r="M45" s="371"/>
      <c r="N45" s="371"/>
      <c r="O45" s="371"/>
      <c r="P45" s="318"/>
      <c r="Q45" s="371">
        <f>$Q$5</f>
        <v>2025</v>
      </c>
      <c r="R45" s="371"/>
      <c r="S45" s="371"/>
      <c r="T45" s="371"/>
      <c r="U45" s="320"/>
      <c r="V45" s="371">
        <f>$V$5</f>
        <v>2035</v>
      </c>
      <c r="W45" s="371"/>
      <c r="X45" s="371"/>
      <c r="Y45" s="371"/>
    </row>
    <row r="46" spans="1:25" x14ac:dyDescent="0.2">
      <c r="A46" s="264"/>
      <c r="B46" s="268" t="str">
        <f>$B$6</f>
        <v>FT</v>
      </c>
      <c r="C46" s="268" t="str">
        <f>$C$6</f>
        <v>PT</v>
      </c>
      <c r="D46" s="268" t="str">
        <f>$D$6</f>
        <v>SE</v>
      </c>
      <c r="E46" s="268" t="str">
        <f>$E$6</f>
        <v>Total</v>
      </c>
      <c r="F46" s="268"/>
      <c r="G46" s="268" t="str">
        <f>$B$6</f>
        <v>FT</v>
      </c>
      <c r="H46" s="268" t="str">
        <f>$C$6</f>
        <v>PT</v>
      </c>
      <c r="I46" s="268" t="str">
        <f>$D$6</f>
        <v>SE</v>
      </c>
      <c r="J46" s="268" t="str">
        <f>$E$6</f>
        <v>Total</v>
      </c>
      <c r="K46" s="268"/>
      <c r="L46" s="268" t="str">
        <f>$L$6</f>
        <v>FT</v>
      </c>
      <c r="M46" s="268" t="str">
        <f>$M$6</f>
        <v>PT</v>
      </c>
      <c r="N46" s="268" t="str">
        <f>$N$6</f>
        <v>SE</v>
      </c>
      <c r="O46" s="268" t="str">
        <f>$O$6</f>
        <v>Total</v>
      </c>
      <c r="P46" s="268"/>
      <c r="Q46" s="268" t="str">
        <f>$L$6</f>
        <v>FT</v>
      </c>
      <c r="R46" s="268" t="str">
        <f>$M$6</f>
        <v>PT</v>
      </c>
      <c r="S46" s="268" t="str">
        <f>$N$6</f>
        <v>SE</v>
      </c>
      <c r="T46" s="268" t="str">
        <f>$O$6</f>
        <v>Total</v>
      </c>
      <c r="U46" s="268"/>
      <c r="V46" s="268" t="str">
        <f>$V$6</f>
        <v>FT</v>
      </c>
      <c r="W46" s="268" t="str">
        <f>$W$6</f>
        <v>PT</v>
      </c>
      <c r="X46" s="268" t="str">
        <f>$X$6</f>
        <v>SE</v>
      </c>
      <c r="Y46" s="268" t="str">
        <f>$Y$6</f>
        <v>Total</v>
      </c>
    </row>
    <row r="47" spans="1:25" x14ac:dyDescent="0.2"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  <c r="Q47" s="319"/>
      <c r="R47" s="319"/>
      <c r="S47" s="319"/>
      <c r="T47" s="319"/>
      <c r="U47" s="319"/>
      <c r="V47" s="319"/>
      <c r="W47" s="319"/>
      <c r="X47" s="319"/>
      <c r="Y47" s="319"/>
    </row>
    <row r="48" spans="1:25" x14ac:dyDescent="0.2">
      <c r="A48" s="261" t="str">
        <f>name!A19</f>
        <v>Computer, etc</v>
      </c>
      <c r="C48" s="263"/>
    </row>
    <row r="49" spans="1:25" x14ac:dyDescent="0.2">
      <c r="A49" s="260" t="s">
        <v>356</v>
      </c>
      <c r="B49" s="300">
        <v>1.9289999999915131</v>
      </c>
      <c r="C49" s="300">
        <v>0.69200000002073569</v>
      </c>
      <c r="D49" s="300">
        <v>4.3999999999953687E-2</v>
      </c>
      <c r="E49" s="300">
        <f>SUM(B49:D49)</f>
        <v>2.6650000000122027</v>
      </c>
      <c r="F49" s="300"/>
      <c r="G49" s="300">
        <v>0.93199999998418059</v>
      </c>
      <c r="H49" s="300">
        <v>0.37599999999924066</v>
      </c>
      <c r="I49" s="300">
        <v>2.7000000000434704E-2</v>
      </c>
      <c r="J49" s="300">
        <f>SUM(G49:I49)</f>
        <v>1.334999999983856</v>
      </c>
      <c r="K49" s="300"/>
      <c r="L49" s="300">
        <v>1.0409999999913533</v>
      </c>
      <c r="M49" s="300">
        <v>0.3810000000099284</v>
      </c>
      <c r="N49" s="300">
        <v>2.0999999999620482E-2</v>
      </c>
      <c r="O49" s="300">
        <f>SUM(L49:N49)</f>
        <v>1.4430000000009022</v>
      </c>
      <c r="P49" s="300"/>
      <c r="Q49" s="300">
        <v>0.90600000002717707</v>
      </c>
      <c r="R49" s="300">
        <v>0.35100000000557968</v>
      </c>
      <c r="S49" s="300">
        <v>2.0000000000011814E-2</v>
      </c>
      <c r="T49" s="300">
        <f>SUM(Q49:S49)</f>
        <v>1.2770000000327686</v>
      </c>
      <c r="U49" s="300"/>
      <c r="V49" s="300">
        <v>0.57700000000006602</v>
      </c>
      <c r="W49" s="300">
        <v>0.23999999999715266</v>
      </c>
      <c r="X49" s="300">
        <v>1.3999999999921523E-2</v>
      </c>
      <c r="Y49" s="300">
        <f>SUM(V49:X49)</f>
        <v>0.83099999999714014</v>
      </c>
    </row>
    <row r="50" spans="1:25" x14ac:dyDescent="0.2">
      <c r="A50" s="260" t="s">
        <v>355</v>
      </c>
      <c r="B50" s="300">
        <v>7.9379999999986799</v>
      </c>
      <c r="C50" s="300">
        <v>0.57400000000014972</v>
      </c>
      <c r="D50" s="300">
        <v>0.30200000000315208</v>
      </c>
      <c r="E50" s="300">
        <f t="shared" ref="E50:E51" si="83">SUM(B50:D50)</f>
        <v>8.8140000000019825</v>
      </c>
      <c r="F50" s="300"/>
      <c r="G50" s="300">
        <v>4.4629999999887637</v>
      </c>
      <c r="H50" s="300">
        <v>0.35500000000005089</v>
      </c>
      <c r="I50" s="300">
        <v>0.27800000000074349</v>
      </c>
      <c r="J50" s="300">
        <f t="shared" ref="J50:J51" si="84">SUM(G50:I50)</f>
        <v>5.0959999999895587</v>
      </c>
      <c r="K50" s="300"/>
      <c r="L50" s="300">
        <v>4.5779999999791041</v>
      </c>
      <c r="M50" s="300">
        <v>0.55399999999789584</v>
      </c>
      <c r="N50" s="300">
        <v>0.14700000000059557</v>
      </c>
      <c r="O50" s="300">
        <f t="shared" ref="O50:O51" si="85">SUM(L50:N50)</f>
        <v>5.2789999999775956</v>
      </c>
      <c r="P50" s="300"/>
      <c r="Q50" s="300">
        <v>4.296000000001996</v>
      </c>
      <c r="R50" s="300">
        <v>0.53199999999898306</v>
      </c>
      <c r="S50" s="300">
        <v>0.13900000000184609</v>
      </c>
      <c r="T50" s="300">
        <f t="shared" ref="T50:T51" si="86">SUM(Q50:S50)</f>
        <v>4.9670000000028249</v>
      </c>
      <c r="U50" s="300"/>
      <c r="V50" s="300">
        <v>3.1520000000052746</v>
      </c>
      <c r="W50" s="300">
        <v>0.39999999999814434</v>
      </c>
      <c r="X50" s="300">
        <v>0.10500000000090948</v>
      </c>
      <c r="Y50" s="300">
        <f t="shared" ref="Y50:Y51" si="87">SUM(V50:X50)</f>
        <v>3.6570000000043286</v>
      </c>
    </row>
    <row r="51" spans="1:25" x14ac:dyDescent="0.2">
      <c r="A51" s="260" t="s">
        <v>354</v>
      </c>
      <c r="B51" s="300">
        <f>SUM(B49:B50)</f>
        <v>9.8669999999901936</v>
      </c>
      <c r="C51" s="300">
        <f t="shared" ref="C51" si="88">SUM(C49:C50)</f>
        <v>1.2660000000208855</v>
      </c>
      <c r="D51" s="300">
        <f t="shared" ref="D51" si="89">SUM(D49:D50)</f>
        <v>0.34600000000310577</v>
      </c>
      <c r="E51" s="300">
        <f t="shared" si="83"/>
        <v>11.479000000014185</v>
      </c>
      <c r="F51" s="300"/>
      <c r="G51" s="300">
        <f>SUM(G49:G50)</f>
        <v>5.3949999999729439</v>
      </c>
      <c r="H51" s="300">
        <f t="shared" ref="H51" si="90">SUM(H49:H50)</f>
        <v>0.73099999999929155</v>
      </c>
      <c r="I51" s="300">
        <f t="shared" ref="I51" si="91">SUM(I49:I50)</f>
        <v>0.30500000000117822</v>
      </c>
      <c r="J51" s="300">
        <f t="shared" si="84"/>
        <v>6.4309999999734133</v>
      </c>
      <c r="K51" s="300"/>
      <c r="L51" s="300">
        <f>SUM(L49:L50)</f>
        <v>5.6189999999704572</v>
      </c>
      <c r="M51" s="300">
        <f t="shared" ref="M51" si="92">SUM(M49:M50)</f>
        <v>0.93500000000782424</v>
      </c>
      <c r="N51" s="300">
        <f t="shared" ref="N51" si="93">SUM(N49:N50)</f>
        <v>0.16800000000021606</v>
      </c>
      <c r="O51" s="300">
        <f t="shared" si="85"/>
        <v>6.7219999999784976</v>
      </c>
      <c r="P51" s="300"/>
      <c r="Q51" s="300">
        <f>SUM(Q49:Q50)</f>
        <v>5.2020000000291731</v>
      </c>
      <c r="R51" s="300">
        <f t="shared" ref="R51" si="94">SUM(R49:R50)</f>
        <v>0.8830000000045628</v>
      </c>
      <c r="S51" s="300">
        <f t="shared" ref="S51" si="95">SUM(S49:S50)</f>
        <v>0.15900000000185791</v>
      </c>
      <c r="T51" s="300">
        <f t="shared" si="86"/>
        <v>6.2440000000355935</v>
      </c>
      <c r="U51" s="300"/>
      <c r="V51" s="300">
        <f>SUM(V49:V50)</f>
        <v>3.7290000000053407</v>
      </c>
      <c r="W51" s="300">
        <f t="shared" ref="W51" si="96">SUM(W49:W50)</f>
        <v>0.639999999995297</v>
      </c>
      <c r="X51" s="300">
        <f t="shared" ref="X51" si="97">SUM(X49:X50)</f>
        <v>0.119000000000831</v>
      </c>
      <c r="Y51" s="300">
        <f t="shared" si="87"/>
        <v>4.4880000000014686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1" t="str">
        <f>name!A20</f>
        <v>Electrical equipment</v>
      </c>
      <c r="C53" s="263"/>
    </row>
    <row r="54" spans="1:25" x14ac:dyDescent="0.2">
      <c r="A54" s="260" t="s">
        <v>356</v>
      </c>
      <c r="B54" s="300">
        <v>1.181999999994837</v>
      </c>
      <c r="C54" s="300">
        <v>0.54200000001013215</v>
      </c>
      <c r="D54" s="300">
        <v>4.1000000000298804E-2</v>
      </c>
      <c r="E54" s="300">
        <f>SUM(B54:D54)</f>
        <v>1.7650000000052679</v>
      </c>
      <c r="F54" s="300"/>
      <c r="G54" s="300">
        <v>0.71899999998872099</v>
      </c>
      <c r="H54" s="300">
        <v>0.56199999999757788</v>
      </c>
      <c r="I54" s="300">
        <v>8.4000000000861191E-2</v>
      </c>
      <c r="J54" s="300">
        <f>SUM(G54:I54)</f>
        <v>1.36499999998716</v>
      </c>
      <c r="K54" s="300"/>
      <c r="L54" s="300">
        <v>0.60599999999538767</v>
      </c>
      <c r="M54" s="300">
        <v>0.46800000000767111</v>
      </c>
      <c r="N54" s="300">
        <v>5.0999999999416123E-2</v>
      </c>
      <c r="O54" s="300">
        <f>SUM(L54:N54)</f>
        <v>1.1250000000024749</v>
      </c>
      <c r="P54" s="300"/>
      <c r="Q54" s="300">
        <v>0.57100000001568529</v>
      </c>
      <c r="R54" s="300">
        <v>0.45800000000201574</v>
      </c>
      <c r="S54" s="300">
        <v>4.8999999999917797E-2</v>
      </c>
      <c r="T54" s="300">
        <f>SUM(Q54:S54)</f>
        <v>1.0780000000176189</v>
      </c>
      <c r="U54" s="300"/>
      <c r="V54" s="300">
        <v>0.52500000000012559</v>
      </c>
      <c r="W54" s="300">
        <v>0.44299999999514106</v>
      </c>
      <c r="X54" s="300">
        <v>4.4999999999788223E-2</v>
      </c>
      <c r="Y54" s="300">
        <f>SUM(V54:X54)</f>
        <v>1.012999999995055</v>
      </c>
    </row>
    <row r="55" spans="1:25" x14ac:dyDescent="0.2">
      <c r="A55" s="260" t="s">
        <v>355</v>
      </c>
      <c r="B55" s="300">
        <v>4.9079999999778519</v>
      </c>
      <c r="C55" s="300">
        <v>0.23200000000000839</v>
      </c>
      <c r="D55" s="300">
        <v>9.4999999999417578E-2</v>
      </c>
      <c r="E55" s="300">
        <f t="shared" ref="E55:E56" si="98">SUM(B55:D55)</f>
        <v>5.2349999999772781</v>
      </c>
      <c r="F55" s="300"/>
      <c r="G55" s="300">
        <v>2.9529999999953209</v>
      </c>
      <c r="H55" s="300">
        <v>0.30400000000033867</v>
      </c>
      <c r="I55" s="300">
        <v>0.25000000000278333</v>
      </c>
      <c r="J55" s="300">
        <f t="shared" ref="J55:J56" si="99">SUM(G55:I55)</f>
        <v>3.5069999999984427</v>
      </c>
      <c r="K55" s="300"/>
      <c r="L55" s="300">
        <v>2.6369999999956737</v>
      </c>
      <c r="M55" s="300">
        <v>0.51999999999967883</v>
      </c>
      <c r="N55" s="300">
        <v>3.5999999999865973E-2</v>
      </c>
      <c r="O55" s="300">
        <f t="shared" ref="O55:O56" si="100">SUM(L55:N55)</f>
        <v>3.1929999999952186</v>
      </c>
      <c r="P55" s="300"/>
      <c r="Q55" s="300">
        <v>2.3620000000069838</v>
      </c>
      <c r="R55" s="300">
        <v>0.50000000000000799</v>
      </c>
      <c r="S55" s="300">
        <v>3.9999999999308332E-2</v>
      </c>
      <c r="T55" s="300">
        <f t="shared" ref="T55:T56" si="101">SUM(Q55:S55)</f>
        <v>2.9020000000063</v>
      </c>
      <c r="U55" s="300"/>
      <c r="V55" s="300">
        <v>1.9740000000077773</v>
      </c>
      <c r="W55" s="300">
        <v>0.47099999999915498</v>
      </c>
      <c r="X55" s="300">
        <v>4.6999999999548257E-2</v>
      </c>
      <c r="Y55" s="300">
        <f t="shared" ref="Y55:Y56" si="102">SUM(V55:X55)</f>
        <v>2.4920000000064806</v>
      </c>
    </row>
    <row r="56" spans="1:25" x14ac:dyDescent="0.2">
      <c r="A56" s="260" t="s">
        <v>354</v>
      </c>
      <c r="B56" s="300">
        <f>SUM(B54:B55)</f>
        <v>6.0899999999726884</v>
      </c>
      <c r="C56" s="300">
        <f t="shared" ref="C56" si="103">SUM(C54:C55)</f>
        <v>0.77400000001014058</v>
      </c>
      <c r="D56" s="300">
        <f t="shared" ref="D56" si="104">SUM(D54:D55)</f>
        <v>0.13599999999971638</v>
      </c>
      <c r="E56" s="300">
        <f t="shared" si="98"/>
        <v>6.9999999999825455</v>
      </c>
      <c r="F56" s="300"/>
      <c r="G56" s="300">
        <f>SUM(G54:G55)</f>
        <v>3.6719999999840418</v>
      </c>
      <c r="H56" s="300">
        <f t="shared" ref="H56" si="105">SUM(H54:H55)</f>
        <v>0.86599999999791655</v>
      </c>
      <c r="I56" s="300">
        <f t="shared" ref="I56" si="106">SUM(I54:I55)</f>
        <v>0.33400000000364449</v>
      </c>
      <c r="J56" s="300">
        <f t="shared" si="99"/>
        <v>4.8719999999856034</v>
      </c>
      <c r="K56" s="300"/>
      <c r="L56" s="300">
        <f>SUM(L54:L55)</f>
        <v>3.2429999999910613</v>
      </c>
      <c r="M56" s="300">
        <f t="shared" ref="M56" si="107">SUM(M54:M55)</f>
        <v>0.98800000000734989</v>
      </c>
      <c r="N56" s="300">
        <f t="shared" ref="N56" si="108">SUM(N54:N55)</f>
        <v>8.6999999999282096E-2</v>
      </c>
      <c r="O56" s="300">
        <f t="shared" si="100"/>
        <v>4.317999999997693</v>
      </c>
      <c r="P56" s="300"/>
      <c r="Q56" s="300">
        <f>SUM(Q54:Q55)</f>
        <v>2.9330000000226693</v>
      </c>
      <c r="R56" s="300">
        <f t="shared" ref="R56" si="109">SUM(R54:R55)</f>
        <v>0.95800000000202368</v>
      </c>
      <c r="S56" s="300">
        <f t="shared" ref="S56" si="110">SUM(S54:S55)</f>
        <v>8.8999999999226129E-2</v>
      </c>
      <c r="T56" s="300">
        <f t="shared" si="101"/>
        <v>3.9800000000239191</v>
      </c>
      <c r="U56" s="300"/>
      <c r="V56" s="300">
        <f>SUM(V54:V55)</f>
        <v>2.4990000000079027</v>
      </c>
      <c r="W56" s="300">
        <f t="shared" ref="W56" si="111">SUM(W54:W55)</f>
        <v>0.91399999999429604</v>
      </c>
      <c r="X56" s="300">
        <f t="shared" ref="X56" si="112">SUM(X54:X55)</f>
        <v>9.1999999999336474E-2</v>
      </c>
      <c r="Y56" s="300">
        <f t="shared" si="102"/>
        <v>3.5050000000015351</v>
      </c>
    </row>
    <row r="57" spans="1:25" x14ac:dyDescent="0.2">
      <c r="C57" s="319"/>
      <c r="D57" s="319"/>
      <c r="E57" s="319"/>
      <c r="F57" s="319"/>
      <c r="G57" s="319"/>
      <c r="H57" s="319"/>
      <c r="I57" s="319"/>
      <c r="J57" s="319"/>
      <c r="K57" s="319"/>
      <c r="L57" s="319"/>
      <c r="M57" s="319"/>
      <c r="N57" s="319"/>
      <c r="O57" s="319"/>
      <c r="P57" s="319"/>
      <c r="Q57" s="319"/>
      <c r="R57" s="319"/>
      <c r="S57" s="319"/>
      <c r="T57" s="319"/>
      <c r="U57" s="319"/>
      <c r="V57" s="319"/>
      <c r="W57" s="319"/>
      <c r="X57" s="319"/>
      <c r="Y57" s="319"/>
    </row>
    <row r="58" spans="1:25" x14ac:dyDescent="0.2">
      <c r="A58" s="261" t="str">
        <f>name!A21</f>
        <v>Machinery n.e.c.</v>
      </c>
      <c r="C58" s="263"/>
    </row>
    <row r="59" spans="1:25" x14ac:dyDescent="0.2">
      <c r="A59" s="260" t="s">
        <v>356</v>
      </c>
      <c r="B59" s="300">
        <v>2.3619999999894881</v>
      </c>
      <c r="C59" s="300">
        <v>0.51700000000987167</v>
      </c>
      <c r="D59" s="300">
        <v>0.11600000000105332</v>
      </c>
      <c r="E59" s="300">
        <f>SUM(B59:D59)</f>
        <v>2.9950000000004131</v>
      </c>
      <c r="F59" s="300"/>
      <c r="G59" s="300">
        <v>2.4479999999629043</v>
      </c>
      <c r="H59" s="300">
        <v>0.48299999999716758</v>
      </c>
      <c r="I59" s="300">
        <v>0.44900000000379953</v>
      </c>
      <c r="J59" s="300">
        <f>SUM(G59:I59)</f>
        <v>3.3799999999638715</v>
      </c>
      <c r="K59" s="300"/>
      <c r="L59" s="300">
        <v>2.3239999999831871</v>
      </c>
      <c r="M59" s="300">
        <v>0.61000000001048293</v>
      </c>
      <c r="N59" s="300">
        <v>8.299999999923513E-2</v>
      </c>
      <c r="O59" s="300">
        <f>SUM(L59:N59)</f>
        <v>3.0169999999929051</v>
      </c>
      <c r="P59" s="300"/>
      <c r="Q59" s="300">
        <v>2.3300000000617898</v>
      </c>
      <c r="R59" s="300">
        <v>0.60800000000088905</v>
      </c>
      <c r="S59" s="300">
        <v>8.5999999999854651E-2</v>
      </c>
      <c r="T59" s="300">
        <f>SUM(Q59:S59)</f>
        <v>3.0240000000625336</v>
      </c>
      <c r="U59" s="300"/>
      <c r="V59" s="300">
        <v>1.9700000000003253</v>
      </c>
      <c r="W59" s="300">
        <v>0.51699999999325941</v>
      </c>
      <c r="X59" s="300">
        <v>7.6999999999759886E-2</v>
      </c>
      <c r="Y59" s="300">
        <f>SUM(V59:X59)</f>
        <v>2.5639999999933445</v>
      </c>
    </row>
    <row r="60" spans="1:25" x14ac:dyDescent="0.2">
      <c r="A60" s="260" t="s">
        <v>355</v>
      </c>
      <c r="B60" s="300">
        <v>15.037999999927166</v>
      </c>
      <c r="C60" s="300">
        <v>0.25899999999979673</v>
      </c>
      <c r="D60" s="300">
        <v>0.63999999999607815</v>
      </c>
      <c r="E60" s="300">
        <f t="shared" ref="E60:E61" si="113">SUM(B60:D60)</f>
        <v>15.936999999923041</v>
      </c>
      <c r="F60" s="300"/>
      <c r="G60" s="300">
        <v>14.57399999997695</v>
      </c>
      <c r="H60" s="300">
        <v>0.31299999999953171</v>
      </c>
      <c r="I60" s="300">
        <v>1.0950000000122202</v>
      </c>
      <c r="J60" s="300">
        <f t="shared" ref="J60:J61" si="114">SUM(G60:I60)</f>
        <v>15.981999999988702</v>
      </c>
      <c r="K60" s="300"/>
      <c r="L60" s="300">
        <v>13.714999999979089</v>
      </c>
      <c r="M60" s="300">
        <v>0.43799999999951139</v>
      </c>
      <c r="N60" s="300">
        <v>0.59599999999778419</v>
      </c>
      <c r="O60" s="300">
        <f t="shared" ref="O60:O61" si="115">SUM(L60:N60)</f>
        <v>14.748999999976386</v>
      </c>
      <c r="P60" s="300"/>
      <c r="Q60" s="300">
        <v>13.91300000004507</v>
      </c>
      <c r="R60" s="300">
        <v>0.45999999999953012</v>
      </c>
      <c r="S60" s="300">
        <v>0.6119999999893978</v>
      </c>
      <c r="T60" s="300">
        <f t="shared" ref="T60:T61" si="116">SUM(Q60:S60)</f>
        <v>14.985000000033997</v>
      </c>
      <c r="U60" s="300"/>
      <c r="V60" s="300">
        <v>12.053000000051124</v>
      </c>
      <c r="W60" s="300">
        <v>0.42699999999857813</v>
      </c>
      <c r="X60" s="300">
        <v>0.54599999999473514</v>
      </c>
      <c r="Y60" s="300">
        <f t="shared" ref="Y60:Y61" si="117">SUM(V60:X60)</f>
        <v>13.026000000044437</v>
      </c>
    </row>
    <row r="61" spans="1:25" x14ac:dyDescent="0.2">
      <c r="A61" s="260" t="s">
        <v>354</v>
      </c>
      <c r="B61" s="300">
        <f>SUM(B59:B60)</f>
        <v>17.399999999916655</v>
      </c>
      <c r="C61" s="300">
        <f t="shared" ref="C61" si="118">SUM(C59:C60)</f>
        <v>0.7760000000096684</v>
      </c>
      <c r="D61" s="300">
        <f t="shared" ref="D61" si="119">SUM(D59:D60)</f>
        <v>0.75599999999713141</v>
      </c>
      <c r="E61" s="300">
        <f t="shared" si="113"/>
        <v>18.931999999923455</v>
      </c>
      <c r="F61" s="300"/>
      <c r="G61" s="300">
        <f>SUM(G59:G60)</f>
        <v>17.021999999939855</v>
      </c>
      <c r="H61" s="300">
        <f t="shared" ref="H61" si="120">SUM(H59:H60)</f>
        <v>0.79599999999669935</v>
      </c>
      <c r="I61" s="300">
        <f t="shared" ref="I61" si="121">SUM(I59:I60)</f>
        <v>1.5440000000160197</v>
      </c>
      <c r="J61" s="300">
        <f t="shared" si="114"/>
        <v>19.361999999952573</v>
      </c>
      <c r="K61" s="300"/>
      <c r="L61" s="300">
        <f>SUM(L59:L60)</f>
        <v>16.038999999962275</v>
      </c>
      <c r="M61" s="300">
        <f t="shared" ref="M61" si="122">SUM(M59:M60)</f>
        <v>1.0480000000099943</v>
      </c>
      <c r="N61" s="300">
        <f t="shared" ref="N61" si="123">SUM(N59:N60)</f>
        <v>0.67899999999701932</v>
      </c>
      <c r="O61" s="300">
        <f t="shared" si="115"/>
        <v>17.765999999969289</v>
      </c>
      <c r="P61" s="300"/>
      <c r="Q61" s="300">
        <f>SUM(Q59:Q60)</f>
        <v>16.243000000106861</v>
      </c>
      <c r="R61" s="300">
        <f t="shared" ref="R61" si="124">SUM(R59:R60)</f>
        <v>1.0680000000004193</v>
      </c>
      <c r="S61" s="300">
        <f t="shared" ref="S61" si="125">SUM(S59:S60)</f>
        <v>0.69799999998925244</v>
      </c>
      <c r="T61" s="300">
        <f t="shared" si="116"/>
        <v>18.009000000096535</v>
      </c>
      <c r="U61" s="300"/>
      <c r="V61" s="300">
        <f>SUM(V59:V60)</f>
        <v>14.02300000005145</v>
      </c>
      <c r="W61" s="300">
        <f t="shared" ref="W61" si="126">SUM(W59:W60)</f>
        <v>0.94399999999183759</v>
      </c>
      <c r="X61" s="300">
        <f t="shared" ref="X61" si="127">SUM(X59:X60)</f>
        <v>0.62299999999449507</v>
      </c>
      <c r="Y61" s="300">
        <f t="shared" si="117"/>
        <v>15.590000000037783</v>
      </c>
    </row>
    <row r="62" spans="1:25" x14ac:dyDescent="0.2">
      <c r="C62" s="263"/>
    </row>
    <row r="63" spans="1:25" x14ac:dyDescent="0.2">
      <c r="A63" s="261" t="s">
        <v>371</v>
      </c>
    </row>
    <row r="64" spans="1:25" x14ac:dyDescent="0.2">
      <c r="A64" s="260" t="s">
        <v>356</v>
      </c>
      <c r="B64" s="300">
        <f>SUM(B49,B54,B59)</f>
        <v>5.4729999999758387</v>
      </c>
      <c r="C64" s="300">
        <f t="shared" ref="C64:D65" si="128">SUM(C49,C54,C59)</f>
        <v>1.7510000000407393</v>
      </c>
      <c r="D64" s="300">
        <f t="shared" si="128"/>
        <v>0.2010000000013058</v>
      </c>
      <c r="E64" s="300">
        <f>SUM(B64:D64)</f>
        <v>7.4250000000178842</v>
      </c>
      <c r="F64" s="300"/>
      <c r="G64" s="300">
        <f>SUM(G49,G54,G59)</f>
        <v>4.0989999999358062</v>
      </c>
      <c r="H64" s="300">
        <f t="shared" ref="H64:I64" si="129">SUM(H49,H54,H59)</f>
        <v>1.420999999993986</v>
      </c>
      <c r="I64" s="300">
        <f t="shared" si="129"/>
        <v>0.56000000000509542</v>
      </c>
      <c r="J64" s="300">
        <f>SUM(G64:I64)</f>
        <v>6.0799999999348877</v>
      </c>
      <c r="K64" s="300"/>
      <c r="L64" s="300">
        <f>SUM(L49,L54,L59)</f>
        <v>3.9709999999699281</v>
      </c>
      <c r="M64" s="300">
        <f t="shared" ref="M64:N64" si="130">SUM(M49,M54,M59)</f>
        <v>1.4590000000280825</v>
      </c>
      <c r="N64" s="300">
        <f t="shared" si="130"/>
        <v>0.15499999999827174</v>
      </c>
      <c r="O64" s="300">
        <f>SUM(L64:N64)</f>
        <v>5.584999999996282</v>
      </c>
      <c r="P64" s="300"/>
      <c r="Q64" s="300">
        <f>SUM(Q49,Q54,Q59)</f>
        <v>3.8070000001046522</v>
      </c>
      <c r="R64" s="300">
        <f t="shared" ref="R64:S64" si="131">SUM(R49,R54,R59)</f>
        <v>1.4170000000084846</v>
      </c>
      <c r="S64" s="300">
        <f t="shared" si="131"/>
        <v>0.15499999999978425</v>
      </c>
      <c r="T64" s="300">
        <f>SUM(Q64:S64)</f>
        <v>5.3790000001129208</v>
      </c>
      <c r="U64" s="300"/>
      <c r="V64" s="300">
        <f>SUM(V49,V54,V59)</f>
        <v>3.072000000000517</v>
      </c>
      <c r="W64" s="300">
        <f t="shared" ref="W64:X64" si="132">SUM(W49,W54,W59)</f>
        <v>1.1999999999855531</v>
      </c>
      <c r="X64" s="300">
        <f t="shared" si="132"/>
        <v>0.13599999999946963</v>
      </c>
      <c r="Y64" s="300">
        <f>SUM(V64:X64)</f>
        <v>4.4079999999855399</v>
      </c>
    </row>
    <row r="65" spans="1:25" x14ac:dyDescent="0.2">
      <c r="A65" s="260" t="s">
        <v>355</v>
      </c>
      <c r="B65" s="300">
        <f>SUM(B50,B55,B60)</f>
        <v>27.883999999903697</v>
      </c>
      <c r="C65" s="300">
        <f t="shared" si="128"/>
        <v>1.0649999999999549</v>
      </c>
      <c r="D65" s="300">
        <f t="shared" si="128"/>
        <v>1.0369999999986477</v>
      </c>
      <c r="E65" s="300">
        <f t="shared" ref="E65:E66" si="133">SUM(B65:D65)</f>
        <v>29.985999999902301</v>
      </c>
      <c r="F65" s="300"/>
      <c r="G65" s="300">
        <f>SUM(G50,G55,G60)</f>
        <v>21.989999999961036</v>
      </c>
      <c r="H65" s="300">
        <f t="shared" ref="H65:I65" si="134">SUM(H50,H55,H60)</f>
        <v>0.97199999999992115</v>
      </c>
      <c r="I65" s="300">
        <f t="shared" si="134"/>
        <v>1.623000000015747</v>
      </c>
      <c r="J65" s="300">
        <f t="shared" ref="J65:J66" si="135">SUM(G65:I65)</f>
        <v>24.584999999976702</v>
      </c>
      <c r="K65" s="300"/>
      <c r="L65" s="300">
        <f>SUM(L50,L55,L60)</f>
        <v>20.929999999953864</v>
      </c>
      <c r="M65" s="300">
        <f t="shared" ref="M65:N65" si="136">SUM(M50,M55,M60)</f>
        <v>1.5119999999970861</v>
      </c>
      <c r="N65" s="300">
        <f t="shared" si="136"/>
        <v>0.77899999999824576</v>
      </c>
      <c r="O65" s="300">
        <f t="shared" ref="O65:O66" si="137">SUM(L65:N65)</f>
        <v>23.220999999949196</v>
      </c>
      <c r="P65" s="300"/>
      <c r="Q65" s="300">
        <f>SUM(Q50,Q55,Q60)</f>
        <v>20.571000000054049</v>
      </c>
      <c r="R65" s="300">
        <f t="shared" ref="R65:S65" si="138">SUM(R50,R55,R60)</f>
        <v>1.4919999999985212</v>
      </c>
      <c r="S65" s="300">
        <f t="shared" si="138"/>
        <v>0.79099999999055226</v>
      </c>
      <c r="T65" s="300">
        <f t="shared" ref="T65:T66" si="139">SUM(Q65:S65)</f>
        <v>22.854000000043122</v>
      </c>
      <c r="U65" s="300"/>
      <c r="V65" s="300">
        <f>SUM(V50,V55,V60)</f>
        <v>17.179000000064178</v>
      </c>
      <c r="W65" s="300">
        <f t="shared" ref="W65:X65" si="140">SUM(W50,W55,W60)</f>
        <v>1.2979999999958773</v>
      </c>
      <c r="X65" s="300">
        <f t="shared" si="140"/>
        <v>0.69799999999519291</v>
      </c>
      <c r="Y65" s="300">
        <f t="shared" ref="Y65:Y66" si="141">SUM(V65:X65)</f>
        <v>19.175000000055249</v>
      </c>
    </row>
    <row r="66" spans="1:25" x14ac:dyDescent="0.2">
      <c r="A66" s="264" t="s">
        <v>354</v>
      </c>
      <c r="B66" s="301">
        <f>SUM(B64:B65)</f>
        <v>33.356999999879534</v>
      </c>
      <c r="C66" s="301">
        <f t="shared" ref="C66" si="142">SUM(C64:C65)</f>
        <v>2.8160000000406944</v>
      </c>
      <c r="D66" s="301">
        <f t="shared" ref="D66" si="143">SUM(D64:D65)</f>
        <v>1.2379999999999534</v>
      </c>
      <c r="E66" s="301">
        <f t="shared" si="133"/>
        <v>37.410999999920179</v>
      </c>
      <c r="F66" s="301"/>
      <c r="G66" s="301">
        <f>SUM(G64:G65)</f>
        <v>26.088999999896842</v>
      </c>
      <c r="H66" s="301">
        <f t="shared" ref="H66" si="144">SUM(H64:H65)</f>
        <v>2.3929999999939069</v>
      </c>
      <c r="I66" s="301">
        <f t="shared" ref="I66" si="145">SUM(I64:I65)</f>
        <v>2.1830000000208423</v>
      </c>
      <c r="J66" s="301">
        <f t="shared" si="135"/>
        <v>30.664999999911593</v>
      </c>
      <c r="K66" s="301"/>
      <c r="L66" s="301">
        <f>SUM(L64:L65)</f>
        <v>24.900999999923791</v>
      </c>
      <c r="M66" s="301">
        <f t="shared" ref="M66" si="146">SUM(M64:M65)</f>
        <v>2.9710000000251684</v>
      </c>
      <c r="N66" s="301">
        <f t="shared" ref="N66" si="147">SUM(N64:N65)</f>
        <v>0.9339999999965175</v>
      </c>
      <c r="O66" s="301">
        <f t="shared" si="137"/>
        <v>28.805999999945474</v>
      </c>
      <c r="P66" s="301"/>
      <c r="Q66" s="301">
        <f>SUM(Q64:Q65)</f>
        <v>24.3780000001587</v>
      </c>
      <c r="R66" s="301">
        <f t="shared" ref="R66" si="148">SUM(R64:R65)</f>
        <v>2.9090000000070058</v>
      </c>
      <c r="S66" s="301">
        <f t="shared" ref="S66" si="149">SUM(S64:S65)</f>
        <v>0.94599999999033657</v>
      </c>
      <c r="T66" s="301">
        <f t="shared" si="139"/>
        <v>28.233000000156043</v>
      </c>
      <c r="U66" s="301"/>
      <c r="V66" s="301">
        <f>SUM(V64:V65)</f>
        <v>20.251000000064696</v>
      </c>
      <c r="W66" s="301">
        <f t="shared" ref="W66" si="150">SUM(W64:W65)</f>
        <v>2.4979999999814302</v>
      </c>
      <c r="X66" s="301">
        <f t="shared" ref="X66" si="151">SUM(X64:X65)</f>
        <v>0.83399999999466257</v>
      </c>
      <c r="Y66" s="301">
        <f t="shared" si="141"/>
        <v>23.583000000040791</v>
      </c>
    </row>
    <row r="67" spans="1:25" x14ac:dyDescent="0.2">
      <c r="C67" s="263"/>
    </row>
    <row r="68" spans="1:25" x14ac:dyDescent="0.2">
      <c r="C68" s="263"/>
    </row>
    <row r="69" spans="1:25" x14ac:dyDescent="0.2">
      <c r="A69" s="261"/>
    </row>
    <row r="70" spans="1:25" ht="15" x14ac:dyDescent="0.25">
      <c r="A70" s="265" t="str">
        <f>"Industry 5 : "&amp; name!B8</f>
        <v>Industry 5 : Rest of manufacturing</v>
      </c>
      <c r="B70" s="371">
        <f>$B$5</f>
        <v>2015</v>
      </c>
      <c r="C70" s="371"/>
      <c r="D70" s="371"/>
      <c r="E70" s="371"/>
      <c r="F70" s="320"/>
      <c r="G70" s="371">
        <f>$G$5</f>
        <v>2019</v>
      </c>
      <c r="H70" s="371"/>
      <c r="I70" s="371"/>
      <c r="J70" s="371"/>
      <c r="K70" s="320"/>
      <c r="L70" s="371">
        <f>$L$5</f>
        <v>2020</v>
      </c>
      <c r="M70" s="371"/>
      <c r="N70" s="371"/>
      <c r="O70" s="371"/>
      <c r="P70" s="318"/>
      <c r="Q70" s="371">
        <f>$Q$5</f>
        <v>2025</v>
      </c>
      <c r="R70" s="371"/>
      <c r="S70" s="371"/>
      <c r="T70" s="371"/>
      <c r="U70" s="320"/>
      <c r="V70" s="371">
        <f>$V$5</f>
        <v>2035</v>
      </c>
      <c r="W70" s="371"/>
      <c r="X70" s="371"/>
      <c r="Y70" s="371"/>
    </row>
    <row r="71" spans="1:25" x14ac:dyDescent="0.2">
      <c r="A71" s="264"/>
      <c r="B71" s="268" t="str">
        <f>$B$6</f>
        <v>FT</v>
      </c>
      <c r="C71" s="268" t="str">
        <f>$C$6</f>
        <v>PT</v>
      </c>
      <c r="D71" s="268" t="str">
        <f>$D$6</f>
        <v>SE</v>
      </c>
      <c r="E71" s="268" t="str">
        <f>$E$6</f>
        <v>Total</v>
      </c>
      <c r="F71" s="268"/>
      <c r="G71" s="268" t="str">
        <f>$B$6</f>
        <v>FT</v>
      </c>
      <c r="H71" s="268" t="str">
        <f>$C$6</f>
        <v>PT</v>
      </c>
      <c r="I71" s="268" t="str">
        <f>$D$6</f>
        <v>SE</v>
      </c>
      <c r="J71" s="268" t="str">
        <f>$E$6</f>
        <v>Total</v>
      </c>
      <c r="K71" s="268"/>
      <c r="L71" s="268" t="str">
        <f>$L$6</f>
        <v>FT</v>
      </c>
      <c r="M71" s="268" t="str">
        <f>$M$6</f>
        <v>PT</v>
      </c>
      <c r="N71" s="268" t="str">
        <f>$N$6</f>
        <v>SE</v>
      </c>
      <c r="O71" s="268" t="str">
        <f>$O$6</f>
        <v>Total</v>
      </c>
      <c r="P71" s="268"/>
      <c r="Q71" s="268" t="str">
        <f>$L$6</f>
        <v>FT</v>
      </c>
      <c r="R71" s="268" t="str">
        <f>$M$6</f>
        <v>PT</v>
      </c>
      <c r="S71" s="268" t="str">
        <f>$N$6</f>
        <v>SE</v>
      </c>
      <c r="T71" s="268" t="str">
        <f>$O$6</f>
        <v>Total</v>
      </c>
      <c r="U71" s="268"/>
      <c r="V71" s="268" t="str">
        <f>$V$6</f>
        <v>FT</v>
      </c>
      <c r="W71" s="268" t="str">
        <f>$W$6</f>
        <v>PT</v>
      </c>
      <c r="X71" s="268" t="str">
        <f>$X$6</f>
        <v>SE</v>
      </c>
      <c r="Y71" s="268" t="str">
        <f>$Y$6</f>
        <v>Total</v>
      </c>
    </row>
    <row r="72" spans="1:25" x14ac:dyDescent="0.2">
      <c r="C72" s="319"/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19"/>
      <c r="R72" s="319"/>
      <c r="S72" s="319"/>
      <c r="T72" s="319"/>
      <c r="U72" s="319"/>
      <c r="V72" s="319"/>
      <c r="W72" s="319"/>
      <c r="X72" s="319"/>
      <c r="Y72" s="319"/>
    </row>
    <row r="73" spans="1:25" x14ac:dyDescent="0.2">
      <c r="A73" s="261" t="str">
        <f>name!A8</f>
        <v>Textiles</v>
      </c>
      <c r="C73" s="263"/>
    </row>
    <row r="74" spans="1:25" x14ac:dyDescent="0.2">
      <c r="A74" s="260" t="s">
        <v>356</v>
      </c>
      <c r="B74" s="300">
        <v>0.88800000000544155</v>
      </c>
      <c r="C74" s="300">
        <v>0.38400000001371665</v>
      </c>
      <c r="D74" s="300">
        <v>0.63800000001270296</v>
      </c>
      <c r="E74" s="300">
        <f>SUM(B74:D74)</f>
        <v>1.9100000000318613</v>
      </c>
      <c r="F74" s="300"/>
      <c r="G74" s="300">
        <v>2.225999999941803</v>
      </c>
      <c r="H74" s="300">
        <v>0.77900000000275382</v>
      </c>
      <c r="I74" s="300">
        <v>1.6010000000311582</v>
      </c>
      <c r="J74" s="300">
        <f>SUM(G74:I74)</f>
        <v>4.6059999999757153</v>
      </c>
      <c r="K74" s="300"/>
      <c r="L74" s="300">
        <v>1.9979999999965485</v>
      </c>
      <c r="M74" s="300">
        <v>0.92400000002771032</v>
      </c>
      <c r="N74" s="300">
        <v>0.77099999998319291</v>
      </c>
      <c r="O74" s="300">
        <f>SUM(L74:N74)</f>
        <v>3.6930000000074519</v>
      </c>
      <c r="P74" s="300"/>
      <c r="Q74" s="300">
        <v>1.7810000000516752</v>
      </c>
      <c r="R74" s="300">
        <v>0.79700000002130789</v>
      </c>
      <c r="S74" s="300">
        <v>0.67399999999902971</v>
      </c>
      <c r="T74" s="300">
        <f>SUM(Q74:S74)</f>
        <v>3.2520000000720128</v>
      </c>
      <c r="U74" s="300"/>
      <c r="V74" s="300">
        <v>1.5329999999880439</v>
      </c>
      <c r="W74" s="300">
        <v>0.67999999999189431</v>
      </c>
      <c r="X74" s="300">
        <v>0.56499999999794481</v>
      </c>
      <c r="Y74" s="300">
        <f>SUM(V74:X74)</f>
        <v>2.777999999977883</v>
      </c>
    </row>
    <row r="75" spans="1:25" x14ac:dyDescent="0.2">
      <c r="A75" s="260" t="s">
        <v>355</v>
      </c>
      <c r="B75" s="300">
        <v>3.1299999999669557</v>
      </c>
      <c r="C75" s="300">
        <v>0.16199999999985712</v>
      </c>
      <c r="D75" s="300">
        <v>0.48700000000109689</v>
      </c>
      <c r="E75" s="300">
        <f t="shared" ref="E75:E76" si="152">SUM(B75:D75)</f>
        <v>3.7789999999679096</v>
      </c>
      <c r="F75" s="300"/>
      <c r="G75" s="300">
        <v>6.2650000000011907</v>
      </c>
      <c r="H75" s="300">
        <v>0.4160000000026714</v>
      </c>
      <c r="I75" s="300">
        <v>0.67600000000458982</v>
      </c>
      <c r="J75" s="300">
        <f t="shared" ref="J75:J76" si="153">SUM(G75:I75)</f>
        <v>7.3570000000084512</v>
      </c>
      <c r="K75" s="300"/>
      <c r="L75" s="300">
        <v>6.2000000000220012</v>
      </c>
      <c r="M75" s="300">
        <v>1.0900000000033003</v>
      </c>
      <c r="N75" s="300">
        <v>0.65000000000078473</v>
      </c>
      <c r="O75" s="300">
        <f t="shared" ref="O75:O76" si="154">SUM(L75:N75)</f>
        <v>7.9400000000260862</v>
      </c>
      <c r="P75" s="300"/>
      <c r="Q75" s="300">
        <v>5.5540000000371954</v>
      </c>
      <c r="R75" s="300">
        <v>0.94200000000201489</v>
      </c>
      <c r="S75" s="300">
        <v>0.57599999999994878</v>
      </c>
      <c r="T75" s="300">
        <f t="shared" ref="T75:T76" si="155">SUM(Q75:S75)</f>
        <v>7.072000000039159</v>
      </c>
      <c r="U75" s="300"/>
      <c r="V75" s="300">
        <v>4.6890000000348655</v>
      </c>
      <c r="W75" s="300">
        <v>0.8210000000017228</v>
      </c>
      <c r="X75" s="300">
        <v>0.45599999999979712</v>
      </c>
      <c r="Y75" s="300">
        <f t="shared" ref="Y75:Y76" si="156">SUM(V75:X75)</f>
        <v>5.9660000000363853</v>
      </c>
    </row>
    <row r="76" spans="1:25" x14ac:dyDescent="0.2">
      <c r="A76" s="260" t="s">
        <v>354</v>
      </c>
      <c r="B76" s="300">
        <f>SUM(B74:B75)</f>
        <v>4.017999999972397</v>
      </c>
      <c r="C76" s="300">
        <f t="shared" ref="C76" si="157">SUM(C74:C75)</f>
        <v>0.54600000001357374</v>
      </c>
      <c r="D76" s="300">
        <f t="shared" ref="D76" si="158">SUM(D74:D75)</f>
        <v>1.1250000000137999</v>
      </c>
      <c r="E76" s="300">
        <f t="shared" si="152"/>
        <v>5.68899999999977</v>
      </c>
      <c r="F76" s="300"/>
      <c r="G76" s="300">
        <f>SUM(G74:G75)</f>
        <v>8.4909999999429928</v>
      </c>
      <c r="H76" s="300">
        <f t="shared" ref="H76" si="159">SUM(H74:H75)</f>
        <v>1.1950000000054253</v>
      </c>
      <c r="I76" s="300">
        <f t="shared" ref="I76" si="160">SUM(I74:I75)</f>
        <v>2.277000000035748</v>
      </c>
      <c r="J76" s="300">
        <f t="shared" si="153"/>
        <v>11.962999999984167</v>
      </c>
      <c r="K76" s="300"/>
      <c r="L76" s="300">
        <f>SUM(L74:L75)</f>
        <v>8.1980000000185491</v>
      </c>
      <c r="M76" s="300">
        <f t="shared" ref="M76" si="161">SUM(M74:M75)</f>
        <v>2.0140000000310105</v>
      </c>
      <c r="N76" s="300">
        <f t="shared" ref="N76" si="162">SUM(N74:N75)</f>
        <v>1.4209999999839775</v>
      </c>
      <c r="O76" s="300">
        <f t="shared" si="154"/>
        <v>11.633000000033537</v>
      </c>
      <c r="P76" s="300"/>
      <c r="Q76" s="300">
        <f>SUM(Q74:Q75)</f>
        <v>7.3350000000888702</v>
      </c>
      <c r="R76" s="300">
        <f t="shared" ref="R76" si="163">SUM(R74:R75)</f>
        <v>1.7390000000233228</v>
      </c>
      <c r="S76" s="300">
        <f t="shared" ref="S76" si="164">SUM(S74:S75)</f>
        <v>1.2499999999989786</v>
      </c>
      <c r="T76" s="300">
        <f t="shared" si="155"/>
        <v>10.324000000111171</v>
      </c>
      <c r="U76" s="300"/>
      <c r="V76" s="300">
        <f>SUM(V74:V75)</f>
        <v>6.2220000000229092</v>
      </c>
      <c r="W76" s="300">
        <f t="shared" ref="W76" si="165">SUM(W74:W75)</f>
        <v>1.500999999993617</v>
      </c>
      <c r="X76" s="300">
        <f t="shared" ref="X76" si="166">SUM(X74:X75)</f>
        <v>1.0209999999977419</v>
      </c>
      <c r="Y76" s="300">
        <f t="shared" si="156"/>
        <v>8.7440000000142675</v>
      </c>
    </row>
    <row r="77" spans="1:25" x14ac:dyDescent="0.2">
      <c r="C77" s="319"/>
      <c r="D77" s="319"/>
      <c r="E77" s="319"/>
      <c r="F77" s="319"/>
      <c r="G77" s="319"/>
      <c r="H77" s="319"/>
      <c r="I77" s="319"/>
      <c r="J77" s="319"/>
      <c r="K77" s="319"/>
      <c r="L77" s="319"/>
      <c r="M77" s="319"/>
      <c r="N77" s="319"/>
      <c r="O77" s="319"/>
      <c r="P77" s="319"/>
      <c r="Q77" s="319"/>
      <c r="R77" s="319"/>
      <c r="S77" s="319"/>
      <c r="T77" s="319"/>
      <c r="U77" s="319"/>
      <c r="V77" s="319"/>
      <c r="W77" s="319"/>
      <c r="X77" s="319"/>
      <c r="Y77" s="319"/>
    </row>
    <row r="78" spans="1:25" x14ac:dyDescent="0.2">
      <c r="A78" s="261" t="str">
        <f>name!A9</f>
        <v>Wearing apparel; Leather, etc</v>
      </c>
      <c r="C78" s="263"/>
    </row>
    <row r="79" spans="1:25" x14ac:dyDescent="0.2">
      <c r="A79" s="260" t="s">
        <v>356</v>
      </c>
      <c r="B79" s="300">
        <v>4.4700000000107512</v>
      </c>
      <c r="C79" s="300">
        <v>1.4490000000569199</v>
      </c>
      <c r="D79" s="300">
        <v>0.98000000001146326</v>
      </c>
      <c r="E79" s="300">
        <f>SUM(B79:D79)</f>
        <v>6.8990000000791341</v>
      </c>
      <c r="F79" s="300"/>
      <c r="G79" s="300">
        <v>5.9060000000104882</v>
      </c>
      <c r="H79" s="300">
        <v>2.5950000000078806</v>
      </c>
      <c r="I79" s="300">
        <v>2.030000000049764</v>
      </c>
      <c r="J79" s="300">
        <f>SUM(G79:I79)</f>
        <v>10.531000000068133</v>
      </c>
      <c r="K79" s="300"/>
      <c r="L79" s="300">
        <v>5.3009999999922233</v>
      </c>
      <c r="M79" s="300">
        <v>3.078000000102707</v>
      </c>
      <c r="N79" s="300">
        <v>0.80899999997730665</v>
      </c>
      <c r="O79" s="300">
        <f>SUM(L79:N79)</f>
        <v>9.1880000000722362</v>
      </c>
      <c r="P79" s="300"/>
      <c r="Q79" s="300">
        <v>4.725999999966592</v>
      </c>
      <c r="R79" s="300">
        <v>2.6560000000711539</v>
      </c>
      <c r="S79" s="300">
        <v>0.70700000000191698</v>
      </c>
      <c r="T79" s="300">
        <f>SUM(Q79:S79)</f>
        <v>8.0890000000396629</v>
      </c>
      <c r="U79" s="300"/>
      <c r="V79" s="300">
        <v>4.0680000000141572</v>
      </c>
      <c r="W79" s="300">
        <v>2.266999999964161</v>
      </c>
      <c r="X79" s="300">
        <v>0.59300000000052921</v>
      </c>
      <c r="Y79" s="300">
        <f>SUM(V79:X79)</f>
        <v>6.927999999978848</v>
      </c>
    </row>
    <row r="80" spans="1:25" x14ac:dyDescent="0.2">
      <c r="A80" s="260" t="s">
        <v>355</v>
      </c>
      <c r="B80" s="300">
        <v>2.9789999999643171</v>
      </c>
      <c r="C80" s="300">
        <v>0.35099999999884851</v>
      </c>
      <c r="D80" s="300">
        <v>0.47299999999773812</v>
      </c>
      <c r="E80" s="300">
        <f t="shared" ref="E80:E81" si="167">SUM(B80:D80)</f>
        <v>3.8029999999609037</v>
      </c>
      <c r="F80" s="300"/>
      <c r="G80" s="300">
        <v>3.3880000000061989</v>
      </c>
      <c r="H80" s="300">
        <v>0.80900000000977035</v>
      </c>
      <c r="I80" s="300">
        <v>0.45600000000441854</v>
      </c>
      <c r="J80" s="300">
        <f t="shared" ref="J80:J81" si="168">SUM(G80:I80)</f>
        <v>4.6530000000203877</v>
      </c>
      <c r="K80" s="300"/>
      <c r="L80" s="300">
        <v>3.3530000000232216</v>
      </c>
      <c r="M80" s="300">
        <v>2.1180000000206545</v>
      </c>
      <c r="N80" s="300">
        <v>1.412999999997965</v>
      </c>
      <c r="O80" s="300">
        <f t="shared" ref="O80:O81" si="169">SUM(L80:N80)</f>
        <v>6.8840000000418407</v>
      </c>
      <c r="P80" s="300"/>
      <c r="Q80" s="300">
        <v>3.0030000000255019</v>
      </c>
      <c r="R80" s="300">
        <v>1.830000000013946</v>
      </c>
      <c r="S80" s="300">
        <v>1.3069999999837822</v>
      </c>
      <c r="T80" s="300">
        <f t="shared" ref="T80:T81" si="170">SUM(Q80:S80)</f>
        <v>6.14000000002323</v>
      </c>
      <c r="U80" s="300"/>
      <c r="V80" s="300">
        <v>2.5360000000249414</v>
      </c>
      <c r="W80" s="300">
        <v>1.5950000000164333</v>
      </c>
      <c r="X80" s="300">
        <v>1.1459999999880912</v>
      </c>
      <c r="Y80" s="300">
        <f t="shared" ref="Y80:Y81" si="171">SUM(V80:X80)</f>
        <v>5.2770000000294663</v>
      </c>
    </row>
    <row r="81" spans="1:25" x14ac:dyDescent="0.2">
      <c r="A81" s="260" t="s">
        <v>354</v>
      </c>
      <c r="B81" s="300">
        <f>SUM(B79:B80)</f>
        <v>7.4489999999750687</v>
      </c>
      <c r="C81" s="300">
        <f t="shared" ref="C81" si="172">SUM(C79:C80)</f>
        <v>1.8000000000557683</v>
      </c>
      <c r="D81" s="300">
        <f t="shared" ref="D81" si="173">SUM(D79:D80)</f>
        <v>1.4530000000092014</v>
      </c>
      <c r="E81" s="300">
        <f t="shared" si="167"/>
        <v>10.702000000040037</v>
      </c>
      <c r="F81" s="300"/>
      <c r="G81" s="300">
        <f>SUM(G79:G80)</f>
        <v>9.2940000000166876</v>
      </c>
      <c r="H81" s="300">
        <f t="shared" ref="H81" si="174">SUM(H79:H80)</f>
        <v>3.4040000000176507</v>
      </c>
      <c r="I81" s="300">
        <f t="shared" ref="I81" si="175">SUM(I79:I80)</f>
        <v>2.4860000000541826</v>
      </c>
      <c r="J81" s="300">
        <f t="shared" si="168"/>
        <v>15.18400000008852</v>
      </c>
      <c r="K81" s="300"/>
      <c r="L81" s="300">
        <f>SUM(L79:L80)</f>
        <v>8.6540000000154453</v>
      </c>
      <c r="M81" s="300">
        <f t="shared" ref="M81" si="176">SUM(M79:M80)</f>
        <v>5.1960000001233615</v>
      </c>
      <c r="N81" s="300">
        <f t="shared" ref="N81" si="177">SUM(N79:N80)</f>
        <v>2.2219999999752718</v>
      </c>
      <c r="O81" s="300">
        <f t="shared" si="169"/>
        <v>16.072000000114077</v>
      </c>
      <c r="P81" s="300"/>
      <c r="Q81" s="300">
        <f>SUM(Q79:Q80)</f>
        <v>7.7289999999920944</v>
      </c>
      <c r="R81" s="300">
        <f t="shared" ref="R81" si="178">SUM(R79:R80)</f>
        <v>4.4860000000850997</v>
      </c>
      <c r="S81" s="300">
        <f t="shared" ref="S81" si="179">SUM(S79:S80)</f>
        <v>2.0139999999856992</v>
      </c>
      <c r="T81" s="300">
        <f t="shared" si="170"/>
        <v>14.229000000062893</v>
      </c>
      <c r="U81" s="300"/>
      <c r="V81" s="300">
        <f>SUM(V79:V80)</f>
        <v>6.6040000000390986</v>
      </c>
      <c r="W81" s="300">
        <f t="shared" ref="W81" si="180">SUM(W79:W80)</f>
        <v>3.8619999999805943</v>
      </c>
      <c r="X81" s="300">
        <f t="shared" ref="X81" si="181">SUM(X79:X80)</f>
        <v>1.7389999999886205</v>
      </c>
      <c r="Y81" s="300">
        <f t="shared" si="171"/>
        <v>12.205000000008315</v>
      </c>
    </row>
    <row r="82" spans="1:25" x14ac:dyDescent="0.2">
      <c r="C82" s="319"/>
      <c r="D82" s="319"/>
      <c r="E82" s="319"/>
      <c r="F82" s="319"/>
      <c r="G82" s="319"/>
      <c r="H82" s="319"/>
      <c r="I82" s="319"/>
      <c r="J82" s="319"/>
      <c r="K82" s="319"/>
      <c r="L82" s="319"/>
      <c r="M82" s="319"/>
      <c r="N82" s="319"/>
      <c r="O82" s="319"/>
      <c r="P82" s="319"/>
      <c r="Q82" s="319"/>
      <c r="R82" s="319"/>
      <c r="S82" s="319"/>
      <c r="T82" s="319"/>
      <c r="U82" s="319"/>
      <c r="V82" s="319"/>
      <c r="W82" s="319"/>
      <c r="X82" s="319"/>
      <c r="Y82" s="319"/>
    </row>
    <row r="83" spans="1:25" x14ac:dyDescent="0.2">
      <c r="A83" s="261" t="str">
        <f>name!A10</f>
        <v xml:space="preserve">Wood and cork </v>
      </c>
      <c r="C83" s="263"/>
    </row>
    <row r="84" spans="1:25" x14ac:dyDescent="0.2">
      <c r="A84" s="260" t="s">
        <v>356</v>
      </c>
      <c r="B84" s="300">
        <v>0.83399999998868468</v>
      </c>
      <c r="C84" s="300">
        <v>0.41700000000616505</v>
      </c>
      <c r="D84" s="300">
        <v>3.5000000001142548E-2</v>
      </c>
      <c r="E84" s="300">
        <f>SUM(B84:D84)</f>
        <v>1.2859999999959923</v>
      </c>
      <c r="F84" s="300"/>
      <c r="G84" s="300">
        <v>1.0589999999921091</v>
      </c>
      <c r="H84" s="300">
        <v>1.4469999999846468</v>
      </c>
      <c r="I84" s="300">
        <v>0.21600000000390918</v>
      </c>
      <c r="J84" s="300">
        <f>SUM(G84:I84)</f>
        <v>2.7219999999806648</v>
      </c>
      <c r="K84" s="300"/>
      <c r="L84" s="300">
        <v>0.95599999998703056</v>
      </c>
      <c r="M84" s="300">
        <v>0.95000000000530105</v>
      </c>
      <c r="N84" s="300">
        <v>2.3999999999583427E-2</v>
      </c>
      <c r="O84" s="300">
        <f>SUM(L84:N84)</f>
        <v>1.9299999999919151</v>
      </c>
      <c r="P84" s="300"/>
      <c r="Q84" s="300">
        <v>0.91700000002515392</v>
      </c>
      <c r="R84" s="300">
        <v>0.91499999998255011</v>
      </c>
      <c r="S84" s="300">
        <v>2.2999999999794966E-2</v>
      </c>
      <c r="T84" s="300">
        <f>SUM(Q84:S84)</f>
        <v>1.8550000000074989</v>
      </c>
      <c r="U84" s="300"/>
      <c r="V84" s="300">
        <v>0.85400000000497456</v>
      </c>
      <c r="W84" s="300">
        <v>0.86099999998683407</v>
      </c>
      <c r="X84" s="300">
        <v>2.2999999999695979E-2</v>
      </c>
      <c r="Y84" s="300">
        <f>SUM(V84:X84)</f>
        <v>1.7379999999915046</v>
      </c>
    </row>
    <row r="85" spans="1:25" x14ac:dyDescent="0.2">
      <c r="A85" s="260" t="s">
        <v>355</v>
      </c>
      <c r="B85" s="300">
        <v>6.1539999999175015</v>
      </c>
      <c r="C85" s="300">
        <v>6.3999999999910517E-2</v>
      </c>
      <c r="D85" s="300">
        <v>0.9949999999821062</v>
      </c>
      <c r="E85" s="300">
        <f t="shared" ref="E85:E86" si="182">SUM(B85:D85)</f>
        <v>7.2129999998995178</v>
      </c>
      <c r="F85" s="300"/>
      <c r="G85" s="300">
        <v>6.7490000000134298</v>
      </c>
      <c r="H85" s="300">
        <v>0.58200000000558572</v>
      </c>
      <c r="I85" s="300">
        <v>0.95900000000420049</v>
      </c>
      <c r="J85" s="300">
        <f t="shared" ref="J85:J86" si="183">SUM(G85:I85)</f>
        <v>8.2900000000232161</v>
      </c>
      <c r="K85" s="300"/>
      <c r="L85" s="300">
        <v>6.5730000000504623</v>
      </c>
      <c r="M85" s="300">
        <v>0.67700000000493199</v>
      </c>
      <c r="N85" s="300">
        <v>2.8309999999580668</v>
      </c>
      <c r="O85" s="300">
        <f t="shared" ref="O85:O86" si="184">SUM(L85:N85)</f>
        <v>10.081000000013461</v>
      </c>
      <c r="P85" s="300"/>
      <c r="Q85" s="300">
        <v>6.1800000000614919</v>
      </c>
      <c r="R85" s="300">
        <v>0.65900000000405368</v>
      </c>
      <c r="S85" s="300">
        <v>2.5389999999045578</v>
      </c>
      <c r="T85" s="300">
        <f t="shared" ref="T85:T86" si="185">SUM(Q85:S85)</f>
        <v>9.377999999970104</v>
      </c>
      <c r="U85" s="300"/>
      <c r="V85" s="300">
        <v>5.61100000006636</v>
      </c>
      <c r="W85" s="300">
        <v>0.62800000000488998</v>
      </c>
      <c r="X85" s="300">
        <v>2.2339999999344236</v>
      </c>
      <c r="Y85" s="300">
        <f t="shared" ref="Y85:Y86" si="186">SUM(V85:X85)</f>
        <v>8.4730000000056744</v>
      </c>
    </row>
    <row r="86" spans="1:25" x14ac:dyDescent="0.2">
      <c r="A86" s="260" t="s">
        <v>354</v>
      </c>
      <c r="B86" s="300">
        <f>SUM(B84:B85)</f>
        <v>6.9879999999061866</v>
      </c>
      <c r="C86" s="300">
        <f t="shared" ref="C86" si="187">SUM(C84:C85)</f>
        <v>0.48100000000607557</v>
      </c>
      <c r="D86" s="300">
        <f t="shared" ref="D86" si="188">SUM(D84:D85)</f>
        <v>1.0299999999832488</v>
      </c>
      <c r="E86" s="300">
        <f t="shared" si="182"/>
        <v>8.4989999998955117</v>
      </c>
      <c r="F86" s="300"/>
      <c r="G86" s="300">
        <f>SUM(G84:G85)</f>
        <v>7.8080000000055385</v>
      </c>
      <c r="H86" s="300">
        <f t="shared" ref="H86" si="189">SUM(H84:H85)</f>
        <v>2.0289999999902326</v>
      </c>
      <c r="I86" s="300">
        <f t="shared" ref="I86" si="190">SUM(I84:I85)</f>
        <v>1.1750000000081098</v>
      </c>
      <c r="J86" s="300">
        <f t="shared" si="183"/>
        <v>11.012000000003882</v>
      </c>
      <c r="K86" s="300"/>
      <c r="L86" s="300">
        <f>SUM(L84:L85)</f>
        <v>7.5290000000374926</v>
      </c>
      <c r="M86" s="300">
        <f t="shared" ref="M86" si="191">SUM(M84:M85)</f>
        <v>1.6270000000102329</v>
      </c>
      <c r="N86" s="300">
        <f t="shared" ref="N86" si="192">SUM(N84:N85)</f>
        <v>2.8549999999576503</v>
      </c>
      <c r="O86" s="300">
        <f t="shared" si="184"/>
        <v>12.011000000005376</v>
      </c>
      <c r="P86" s="300"/>
      <c r="Q86" s="300">
        <f>SUM(Q84:Q85)</f>
        <v>7.0970000000866458</v>
      </c>
      <c r="R86" s="300">
        <f t="shared" ref="R86" si="193">SUM(R84:R85)</f>
        <v>1.5739999999866039</v>
      </c>
      <c r="S86" s="300">
        <f t="shared" ref="S86" si="194">SUM(S84:S85)</f>
        <v>2.5619999999043528</v>
      </c>
      <c r="T86" s="300">
        <f t="shared" si="185"/>
        <v>11.232999999977602</v>
      </c>
      <c r="U86" s="300"/>
      <c r="V86" s="300">
        <f>SUM(V84:V85)</f>
        <v>6.4650000000713348</v>
      </c>
      <c r="W86" s="300">
        <f t="shared" ref="W86" si="195">SUM(W84:W85)</f>
        <v>1.4889999999917241</v>
      </c>
      <c r="X86" s="300">
        <f t="shared" ref="X86" si="196">SUM(X84:X85)</f>
        <v>2.2569999999341195</v>
      </c>
      <c r="Y86" s="300">
        <f t="shared" si="186"/>
        <v>10.210999999997178</v>
      </c>
    </row>
    <row r="87" spans="1:25" x14ac:dyDescent="0.2">
      <c r="C87" s="319"/>
      <c r="D87" s="319"/>
      <c r="E87" s="319"/>
      <c r="F87" s="319"/>
      <c r="G87" s="319"/>
      <c r="H87" s="319"/>
      <c r="I87" s="319"/>
      <c r="J87" s="319"/>
      <c r="K87" s="319"/>
      <c r="L87" s="319"/>
      <c r="M87" s="319"/>
      <c r="N87" s="319"/>
      <c r="O87" s="319"/>
      <c r="P87" s="319"/>
      <c r="Q87" s="319"/>
      <c r="R87" s="319"/>
      <c r="S87" s="319"/>
      <c r="T87" s="319"/>
      <c r="U87" s="319"/>
      <c r="V87" s="319"/>
      <c r="W87" s="319"/>
      <c r="X87" s="319"/>
      <c r="Y87" s="319"/>
    </row>
    <row r="88" spans="1:25" x14ac:dyDescent="0.2">
      <c r="A88" s="261" t="str">
        <f>name!A11</f>
        <v>Paper, etc</v>
      </c>
      <c r="C88" s="263"/>
    </row>
    <row r="89" spans="1:25" x14ac:dyDescent="0.2">
      <c r="A89" s="260" t="s">
        <v>356</v>
      </c>
      <c r="B89" s="300">
        <v>0.74399999999764199</v>
      </c>
      <c r="C89" s="300">
        <v>1.058000000032759</v>
      </c>
      <c r="D89" s="300">
        <v>5.5999999999721002E-2</v>
      </c>
      <c r="E89" s="300">
        <f>SUM(B89:D89)</f>
        <v>1.858000000030122</v>
      </c>
      <c r="F89" s="300"/>
      <c r="G89" s="300">
        <v>0.92999999998536986</v>
      </c>
      <c r="H89" s="300">
        <v>0.45199999999926149</v>
      </c>
      <c r="I89" s="300">
        <v>0.10400000000277471</v>
      </c>
      <c r="J89" s="300">
        <f>SUM(G89:I89)</f>
        <v>1.4859999999874061</v>
      </c>
      <c r="K89" s="300"/>
      <c r="L89" s="300">
        <v>0.83899999999526664</v>
      </c>
      <c r="M89" s="300">
        <v>0.29700000000778859</v>
      </c>
      <c r="N89" s="300">
        <v>2.9999999999070732E-2</v>
      </c>
      <c r="O89" s="300">
        <f>SUM(L89:N89)</f>
        <v>1.166000000002126</v>
      </c>
      <c r="P89" s="300"/>
      <c r="Q89" s="300">
        <v>0.80600000001865724</v>
      </c>
      <c r="R89" s="300">
        <v>0.28600000000407688</v>
      </c>
      <c r="S89" s="300">
        <v>2.9000000000255134E-2</v>
      </c>
      <c r="T89" s="300">
        <f>SUM(Q89:S89)</f>
        <v>1.1210000000229892</v>
      </c>
      <c r="U89" s="300"/>
      <c r="V89" s="300">
        <v>0.74999999999613054</v>
      </c>
      <c r="W89" s="300">
        <v>0.26899999999590718</v>
      </c>
      <c r="X89" s="300">
        <v>2.9000000000329148E-2</v>
      </c>
      <c r="Y89" s="300">
        <f>SUM(V89:X89)</f>
        <v>1.0479999999923668</v>
      </c>
    </row>
    <row r="90" spans="1:25" x14ac:dyDescent="0.2">
      <c r="A90" s="260" t="s">
        <v>355</v>
      </c>
      <c r="B90" s="300">
        <v>7.0519999999235745</v>
      </c>
      <c r="C90" s="300">
        <v>0.10499999999983123</v>
      </c>
      <c r="D90" s="300">
        <v>1.0460000000243361</v>
      </c>
      <c r="E90" s="300">
        <f t="shared" ref="E90:E91" si="197">SUM(B90:D90)</f>
        <v>8.2029999999477408</v>
      </c>
      <c r="F90" s="300"/>
      <c r="G90" s="300">
        <v>7.6130000000076476</v>
      </c>
      <c r="H90" s="300">
        <v>0.11900000000111521</v>
      </c>
      <c r="I90" s="300">
        <v>0.80100000000396621</v>
      </c>
      <c r="J90" s="300">
        <f t="shared" ref="J90:J91" si="198">SUM(G90:I90)</f>
        <v>8.5330000000127288</v>
      </c>
      <c r="K90" s="300"/>
      <c r="L90" s="300">
        <v>7.4150000000370282</v>
      </c>
      <c r="M90" s="300">
        <v>0.13800000000088455</v>
      </c>
      <c r="N90" s="300">
        <v>8.1000000001049469E-2</v>
      </c>
      <c r="O90" s="300">
        <f t="shared" ref="O90:O91" si="199">SUM(L90:N90)</f>
        <v>7.6340000000389621</v>
      </c>
      <c r="P90" s="300"/>
      <c r="Q90" s="300">
        <v>6.9710000000502843</v>
      </c>
      <c r="R90" s="300">
        <v>0.1340000000007131</v>
      </c>
      <c r="S90" s="300">
        <v>8.9000000003416985E-2</v>
      </c>
      <c r="T90" s="300">
        <f t="shared" ref="T90:T91" si="200">SUM(Q90:S90)</f>
        <v>7.1940000000544151</v>
      </c>
      <c r="U90" s="300"/>
      <c r="V90" s="300">
        <v>6.3300000000485301</v>
      </c>
      <c r="W90" s="300">
        <v>0.12800000000073647</v>
      </c>
      <c r="X90" s="300">
        <v>9.8000000002906137E-2</v>
      </c>
      <c r="Y90" s="300">
        <f t="shared" ref="Y90:Y91" si="201">SUM(V90:X90)</f>
        <v>6.5560000000521725</v>
      </c>
    </row>
    <row r="91" spans="1:25" x14ac:dyDescent="0.2">
      <c r="A91" s="260" t="s">
        <v>354</v>
      </c>
      <c r="B91" s="300">
        <f>SUM(B89:B90)</f>
        <v>7.7959999999212162</v>
      </c>
      <c r="C91" s="300">
        <f t="shared" ref="C91" si="202">SUM(C89:C90)</f>
        <v>1.1630000000325902</v>
      </c>
      <c r="D91" s="300">
        <f t="shared" ref="D91" si="203">SUM(D89:D90)</f>
        <v>1.1020000000240571</v>
      </c>
      <c r="E91" s="300">
        <f t="shared" si="197"/>
        <v>10.060999999977865</v>
      </c>
      <c r="F91" s="300"/>
      <c r="G91" s="300">
        <f>SUM(G89:G90)</f>
        <v>8.5429999999930182</v>
      </c>
      <c r="H91" s="300">
        <f t="shared" ref="H91" si="204">SUM(H89:H90)</f>
        <v>0.57100000000037676</v>
      </c>
      <c r="I91" s="300">
        <f t="shared" ref="I91" si="205">SUM(I89:I90)</f>
        <v>0.90500000000674086</v>
      </c>
      <c r="J91" s="300">
        <f t="shared" si="198"/>
        <v>10.019000000000135</v>
      </c>
      <c r="K91" s="300"/>
      <c r="L91" s="300">
        <f>SUM(L89:L90)</f>
        <v>8.2540000000322955</v>
      </c>
      <c r="M91" s="300">
        <f t="shared" ref="M91" si="206">SUM(M89:M90)</f>
        <v>0.43500000000867312</v>
      </c>
      <c r="N91" s="300">
        <f t="shared" ref="N91" si="207">SUM(N89:N90)</f>
        <v>0.1110000000001202</v>
      </c>
      <c r="O91" s="300">
        <f t="shared" si="199"/>
        <v>8.8000000000410878</v>
      </c>
      <c r="P91" s="300"/>
      <c r="Q91" s="300">
        <f>SUM(Q89:Q90)</f>
        <v>7.7770000000689414</v>
      </c>
      <c r="R91" s="300">
        <f t="shared" ref="R91" si="208">SUM(R89:R90)</f>
        <v>0.42000000000478999</v>
      </c>
      <c r="S91" s="300">
        <f t="shared" ref="S91" si="209">SUM(S89:S90)</f>
        <v>0.11800000000367211</v>
      </c>
      <c r="T91" s="300">
        <f t="shared" si="200"/>
        <v>8.3150000000774043</v>
      </c>
      <c r="U91" s="300"/>
      <c r="V91" s="300">
        <f>SUM(V89:V90)</f>
        <v>7.0800000000446603</v>
      </c>
      <c r="W91" s="300">
        <f t="shared" ref="W91" si="210">SUM(W89:W90)</f>
        <v>0.39699999999664365</v>
      </c>
      <c r="X91" s="300">
        <f t="shared" ref="X91" si="211">SUM(X89:X90)</f>
        <v>0.12700000000323527</v>
      </c>
      <c r="Y91" s="300">
        <f t="shared" si="201"/>
        <v>7.6040000000445396</v>
      </c>
    </row>
    <row r="92" spans="1:25" x14ac:dyDescent="0.2">
      <c r="C92" s="319"/>
      <c r="D92" s="319"/>
      <c r="E92" s="319"/>
      <c r="F92" s="319"/>
      <c r="G92" s="319"/>
      <c r="H92" s="319"/>
      <c r="I92" s="319"/>
      <c r="J92" s="319"/>
      <c r="K92" s="319"/>
      <c r="L92" s="319"/>
      <c r="M92" s="319"/>
      <c r="N92" s="319"/>
      <c r="O92" s="319"/>
      <c r="P92" s="319"/>
      <c r="Q92" s="319"/>
      <c r="R92" s="319"/>
      <c r="S92" s="319"/>
      <c r="T92" s="319"/>
      <c r="U92" s="319"/>
      <c r="V92" s="319"/>
      <c r="W92" s="319"/>
      <c r="X92" s="319"/>
      <c r="Y92" s="319"/>
    </row>
    <row r="93" spans="1:25" x14ac:dyDescent="0.2">
      <c r="A93" s="261" t="str">
        <f>name!A12</f>
        <v>Printing and recording</v>
      </c>
      <c r="C93" s="263"/>
    </row>
    <row r="94" spans="1:25" x14ac:dyDescent="0.2">
      <c r="A94" s="260" t="s">
        <v>356</v>
      </c>
      <c r="B94" s="300">
        <v>2.3939999999749073</v>
      </c>
      <c r="C94" s="300">
        <v>1.55300000004304</v>
      </c>
      <c r="D94" s="300">
        <v>0.34699999999805636</v>
      </c>
      <c r="E94" s="300">
        <f>SUM(B94:D94)</f>
        <v>4.2940000000160037</v>
      </c>
      <c r="F94" s="300"/>
      <c r="G94" s="300">
        <v>1.5499999999817888</v>
      </c>
      <c r="H94" s="300">
        <v>1.1339999999972379</v>
      </c>
      <c r="I94" s="300">
        <v>1.8000000000486654E-2</v>
      </c>
      <c r="J94" s="300">
        <f>SUM(G94:I94)</f>
        <v>2.7019999999795132</v>
      </c>
      <c r="K94" s="300"/>
      <c r="L94" s="300">
        <v>1.275999999986132</v>
      </c>
      <c r="M94" s="300">
        <v>0.98100000002261101</v>
      </c>
      <c r="N94" s="300">
        <v>7.7999999997550182E-2</v>
      </c>
      <c r="O94" s="300">
        <f>SUM(L94:N94)</f>
        <v>2.3350000000062932</v>
      </c>
      <c r="P94" s="300"/>
      <c r="Q94" s="300">
        <v>1.2070000000332974</v>
      </c>
      <c r="R94" s="300">
        <v>0.93300000000921535</v>
      </c>
      <c r="S94" s="300">
        <v>7.3000000000651488E-2</v>
      </c>
      <c r="T94" s="300">
        <f>SUM(Q94:S94)</f>
        <v>2.2130000000431642</v>
      </c>
      <c r="U94" s="300"/>
      <c r="V94" s="300">
        <v>1.0689999999988147</v>
      </c>
      <c r="W94" s="300">
        <v>0.83299999998827978</v>
      </c>
      <c r="X94" s="300">
        <v>6.4000000000728738E-2</v>
      </c>
      <c r="Y94" s="300">
        <f>SUM(V94:X94)</f>
        <v>1.9659999999878233</v>
      </c>
    </row>
    <row r="95" spans="1:25" x14ac:dyDescent="0.2">
      <c r="A95" s="260" t="s">
        <v>355</v>
      </c>
      <c r="B95" s="300">
        <v>7.7739999999658691</v>
      </c>
      <c r="C95" s="300">
        <v>0.14699999999976032</v>
      </c>
      <c r="D95" s="300">
        <v>0.95200000002373331</v>
      </c>
      <c r="E95" s="300">
        <f t="shared" ref="E95:E96" si="212">SUM(B95:D95)</f>
        <v>8.8729999999893625</v>
      </c>
      <c r="F95" s="300"/>
      <c r="G95" s="300">
        <v>4.8699999999910579</v>
      </c>
      <c r="H95" s="300">
        <v>0.69900000000656204</v>
      </c>
      <c r="I95" s="300">
        <v>0.20600000000097859</v>
      </c>
      <c r="J95" s="300">
        <f t="shared" ref="J95:J96" si="213">SUM(G95:I95)</f>
        <v>5.7749999999985979</v>
      </c>
      <c r="K95" s="300"/>
      <c r="L95" s="300">
        <v>4.4289999999908556</v>
      </c>
      <c r="M95" s="300">
        <v>0.74800000000480416</v>
      </c>
      <c r="N95" s="300">
        <v>0.24900000000338052</v>
      </c>
      <c r="O95" s="300">
        <f t="shared" ref="O95:O96" si="214">SUM(L95:N95)</f>
        <v>5.4259999999990409</v>
      </c>
      <c r="P95" s="300"/>
      <c r="Q95" s="300">
        <v>4.0410000000062425</v>
      </c>
      <c r="R95" s="300">
        <v>0.70600000000365204</v>
      </c>
      <c r="S95" s="300">
        <v>0.23900000000949079</v>
      </c>
      <c r="T95" s="300">
        <f t="shared" ref="T95:T96" si="215">SUM(Q95:S95)</f>
        <v>4.9860000000193851</v>
      </c>
      <c r="U95" s="300"/>
      <c r="V95" s="300">
        <v>3.3290000000033113</v>
      </c>
      <c r="W95" s="300">
        <v>0.62200000000321998</v>
      </c>
      <c r="X95" s="300">
        <v>0.21800000000648762</v>
      </c>
      <c r="Y95" s="300">
        <f t="shared" ref="Y95:Y96" si="216">SUM(V95:X95)</f>
        <v>4.1690000000130185</v>
      </c>
    </row>
    <row r="96" spans="1:25" x14ac:dyDescent="0.2">
      <c r="A96" s="260" t="s">
        <v>354</v>
      </c>
      <c r="B96" s="300">
        <f>SUM(B94:B95)</f>
        <v>10.167999999940776</v>
      </c>
      <c r="C96" s="300">
        <f t="shared" ref="C96" si="217">SUM(C94:C95)</f>
        <v>1.7000000000428002</v>
      </c>
      <c r="D96" s="300">
        <f t="shared" ref="D96" si="218">SUM(D94:D95)</f>
        <v>1.2990000000217896</v>
      </c>
      <c r="E96" s="300">
        <f t="shared" si="212"/>
        <v>13.167000000005366</v>
      </c>
      <c r="F96" s="300"/>
      <c r="G96" s="300">
        <f>SUM(G94:G95)</f>
        <v>6.4199999999728465</v>
      </c>
      <c r="H96" s="300">
        <f t="shared" ref="H96" si="219">SUM(H94:H95)</f>
        <v>1.8330000000037998</v>
      </c>
      <c r="I96" s="300">
        <f t="shared" ref="I96" si="220">SUM(I94:I95)</f>
        <v>0.22400000000146525</v>
      </c>
      <c r="J96" s="300">
        <f t="shared" si="213"/>
        <v>8.476999999978112</v>
      </c>
      <c r="K96" s="300"/>
      <c r="L96" s="300">
        <f>SUM(L94:L95)</f>
        <v>5.7049999999769874</v>
      </c>
      <c r="M96" s="300">
        <f t="shared" ref="M96" si="221">SUM(M94:M95)</f>
        <v>1.7290000000274151</v>
      </c>
      <c r="N96" s="300">
        <f t="shared" ref="N96" si="222">SUM(N94:N95)</f>
        <v>0.32700000000093071</v>
      </c>
      <c r="O96" s="300">
        <f t="shared" si="214"/>
        <v>7.7610000000053336</v>
      </c>
      <c r="P96" s="300"/>
      <c r="Q96" s="300">
        <f>SUM(Q94:Q95)</f>
        <v>5.2480000000395401</v>
      </c>
      <c r="R96" s="300">
        <f t="shared" ref="R96" si="223">SUM(R94:R95)</f>
        <v>1.6390000000128673</v>
      </c>
      <c r="S96" s="300">
        <f t="shared" ref="S96" si="224">SUM(S94:S95)</f>
        <v>0.31200000001014228</v>
      </c>
      <c r="T96" s="300">
        <f t="shared" si="215"/>
        <v>7.1990000000625498</v>
      </c>
      <c r="U96" s="300"/>
      <c r="V96" s="300">
        <f>SUM(V94:V95)</f>
        <v>4.398000000002126</v>
      </c>
      <c r="W96" s="300">
        <f t="shared" ref="W96" si="225">SUM(W94:W95)</f>
        <v>1.4549999999914998</v>
      </c>
      <c r="X96" s="300">
        <f t="shared" ref="X96" si="226">SUM(X94:X95)</f>
        <v>0.28200000000721637</v>
      </c>
      <c r="Y96" s="300">
        <f t="shared" si="216"/>
        <v>6.1350000000008427</v>
      </c>
    </row>
    <row r="97" spans="1:25" x14ac:dyDescent="0.2">
      <c r="A97" s="262"/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1" t="str">
        <f>name!A13</f>
        <v>Coke and petroleum; Chemicals, etc</v>
      </c>
      <c r="C98" s="263"/>
    </row>
    <row r="99" spans="1:25" x14ac:dyDescent="0.2">
      <c r="A99" s="260" t="s">
        <v>356</v>
      </c>
      <c r="B99" s="300">
        <v>1.3999999999842765</v>
      </c>
      <c r="C99" s="300">
        <v>0.28300000000745035</v>
      </c>
      <c r="D99" s="300">
        <v>4.1999999999948939E-2</v>
      </c>
      <c r="E99" s="300">
        <f>SUM(B99:D99)</f>
        <v>1.7249999999916759</v>
      </c>
      <c r="F99" s="300"/>
      <c r="G99" s="300">
        <v>1.5369999999827064</v>
      </c>
      <c r="H99" s="300">
        <v>0.27900000000013137</v>
      </c>
      <c r="I99" s="300">
        <v>0.16300000000259798</v>
      </c>
      <c r="J99" s="300">
        <f>SUM(G99:I99)</f>
        <v>1.9789999999854357</v>
      </c>
      <c r="K99" s="300"/>
      <c r="L99" s="300">
        <v>1.3819999999831158</v>
      </c>
      <c r="M99" s="300">
        <v>0.37300000000819489</v>
      </c>
      <c r="N99" s="300">
        <v>6.7999999998815119E-2</v>
      </c>
      <c r="O99" s="300">
        <f>SUM(L99:N99)</f>
        <v>1.8229999999901261</v>
      </c>
      <c r="P99" s="300"/>
      <c r="Q99" s="300">
        <v>1.4840000000430524</v>
      </c>
      <c r="R99" s="300">
        <v>0.4030000000062936</v>
      </c>
      <c r="S99" s="300">
        <v>7.0000000000357998E-2</v>
      </c>
      <c r="T99" s="300">
        <f>SUM(Q99:S99)</f>
        <v>1.9570000000497041</v>
      </c>
      <c r="U99" s="300"/>
      <c r="V99" s="300">
        <v>1.5670000000045587</v>
      </c>
      <c r="W99" s="300">
        <v>0.42499999999520777</v>
      </c>
      <c r="X99" s="300">
        <v>6.90000000000906E-2</v>
      </c>
      <c r="Y99" s="300">
        <f>SUM(V99:X99)</f>
        <v>2.0609999999998569</v>
      </c>
    </row>
    <row r="100" spans="1:25" x14ac:dyDescent="0.2">
      <c r="A100" s="260" t="s">
        <v>355</v>
      </c>
      <c r="B100" s="300">
        <v>4.0369999999824291</v>
      </c>
      <c r="C100" s="300">
        <v>0.18700000000002562</v>
      </c>
      <c r="D100" s="300">
        <v>0.1930000000026468</v>
      </c>
      <c r="E100" s="300">
        <f t="shared" ref="E100:E101" si="227">SUM(B100:D100)</f>
        <v>4.4169999999851015</v>
      </c>
      <c r="F100" s="300"/>
      <c r="G100" s="300">
        <v>4.4389999999898837</v>
      </c>
      <c r="H100" s="300">
        <v>4.1000000000187602E-2</v>
      </c>
      <c r="I100" s="300">
        <v>0.40900000000291969</v>
      </c>
      <c r="J100" s="300">
        <f t="shared" ref="J100:J101" si="228">SUM(G100:I100)</f>
        <v>4.8889999999929916</v>
      </c>
      <c r="K100" s="300"/>
      <c r="L100" s="300">
        <v>4.2639999999880764</v>
      </c>
      <c r="M100" s="300">
        <v>7.8000000000129494E-2</v>
      </c>
      <c r="N100" s="300">
        <v>0.37300000000199474</v>
      </c>
      <c r="O100" s="300">
        <f t="shared" ref="O100:O101" si="229">SUM(L100:N100)</f>
        <v>4.7149999999902006</v>
      </c>
      <c r="P100" s="300"/>
      <c r="Q100" s="300">
        <v>4.4470000000056409</v>
      </c>
      <c r="R100" s="300">
        <v>8.2000000000101214E-2</v>
      </c>
      <c r="S100" s="300">
        <v>0.39300000000625784</v>
      </c>
      <c r="T100" s="300">
        <f t="shared" ref="T100:T101" si="230">SUM(Q100:S100)</f>
        <v>4.9220000000119999</v>
      </c>
      <c r="U100" s="300"/>
      <c r="V100" s="300">
        <v>4.4260000000010651</v>
      </c>
      <c r="W100" s="300">
        <v>8.6000000000093238E-2</v>
      </c>
      <c r="X100" s="300">
        <v>0.40000000000442043</v>
      </c>
      <c r="Y100" s="300">
        <f t="shared" ref="Y100:Y101" si="231">SUM(V100:X100)</f>
        <v>4.9120000000055795</v>
      </c>
    </row>
    <row r="101" spans="1:25" x14ac:dyDescent="0.2">
      <c r="A101" s="260" t="s">
        <v>354</v>
      </c>
      <c r="B101" s="300">
        <f>SUM(B99:B100)</f>
        <v>5.4369999999667051</v>
      </c>
      <c r="C101" s="300">
        <f t="shared" ref="C101" si="232">SUM(C99:C100)</f>
        <v>0.47000000000747599</v>
      </c>
      <c r="D101" s="300">
        <f t="shared" ref="D101" si="233">SUM(D99:D100)</f>
        <v>0.23500000000259574</v>
      </c>
      <c r="E101" s="300">
        <f t="shared" si="227"/>
        <v>6.1419999999767763</v>
      </c>
      <c r="F101" s="300"/>
      <c r="G101" s="300">
        <f>SUM(G99:G100)</f>
        <v>5.9759999999725899</v>
      </c>
      <c r="H101" s="300">
        <f t="shared" ref="H101" si="234">SUM(H99:H100)</f>
        <v>0.32000000000031897</v>
      </c>
      <c r="I101" s="300">
        <f t="shared" ref="I101" si="235">SUM(I99:I100)</f>
        <v>0.57200000000551765</v>
      </c>
      <c r="J101" s="300">
        <f t="shared" si="228"/>
        <v>6.8679999999784265</v>
      </c>
      <c r="K101" s="300"/>
      <c r="L101" s="300">
        <f>SUM(L99:L100)</f>
        <v>5.6459999999711918</v>
      </c>
      <c r="M101" s="300">
        <f t="shared" ref="M101" si="236">SUM(M99:M100)</f>
        <v>0.45100000000832441</v>
      </c>
      <c r="N101" s="300">
        <f t="shared" ref="N101" si="237">SUM(N99:N100)</f>
        <v>0.44100000000080986</v>
      </c>
      <c r="O101" s="300">
        <f t="shared" si="229"/>
        <v>6.5379999999803262</v>
      </c>
      <c r="P101" s="300"/>
      <c r="Q101" s="300">
        <f>SUM(Q99:Q100)</f>
        <v>5.9310000000486935</v>
      </c>
      <c r="R101" s="300">
        <f t="shared" ref="R101" si="238">SUM(R99:R100)</f>
        <v>0.48500000000639482</v>
      </c>
      <c r="S101" s="300">
        <f t="shared" ref="S101" si="239">SUM(S99:S100)</f>
        <v>0.46300000000661584</v>
      </c>
      <c r="T101" s="300">
        <f t="shared" si="230"/>
        <v>6.8790000000617049</v>
      </c>
      <c r="U101" s="300"/>
      <c r="V101" s="300">
        <f>SUM(V99:V100)</f>
        <v>5.9930000000056243</v>
      </c>
      <c r="W101" s="300">
        <f t="shared" ref="W101" si="240">SUM(W99:W100)</f>
        <v>0.51099999999530099</v>
      </c>
      <c r="X101" s="300">
        <f t="shared" ref="X101" si="241">SUM(X99:X100)</f>
        <v>0.46900000000451103</v>
      </c>
      <c r="Y101" s="300">
        <f t="shared" si="231"/>
        <v>6.9730000000054364</v>
      </c>
    </row>
    <row r="102" spans="1:25" x14ac:dyDescent="0.2">
      <c r="C102" s="319"/>
      <c r="D102" s="319"/>
      <c r="E102" s="319"/>
      <c r="F102" s="319"/>
      <c r="G102" s="319"/>
      <c r="H102" s="319"/>
      <c r="I102" s="319"/>
      <c r="J102" s="319"/>
      <c r="K102" s="319"/>
      <c r="L102" s="319"/>
      <c r="M102" s="319"/>
      <c r="N102" s="319"/>
      <c r="O102" s="319"/>
      <c r="P102" s="319"/>
      <c r="Q102" s="319"/>
      <c r="R102" s="319"/>
      <c r="S102" s="319"/>
      <c r="T102" s="319"/>
      <c r="U102" s="319"/>
      <c r="V102" s="319"/>
      <c r="W102" s="319"/>
      <c r="X102" s="319"/>
      <c r="Y102" s="319"/>
    </row>
    <row r="103" spans="1:25" x14ac:dyDescent="0.2">
      <c r="A103" s="261" t="str">
        <f>name!A14</f>
        <v>Pharmaceuticals</v>
      </c>
      <c r="C103" s="263"/>
    </row>
    <row r="104" spans="1:25" x14ac:dyDescent="0.2">
      <c r="A104" s="260" t="s">
        <v>356</v>
      </c>
      <c r="B104" s="300">
        <v>0.69799999998928852</v>
      </c>
      <c r="C104" s="300">
        <v>0.23700000000218646</v>
      </c>
      <c r="D104" s="300">
        <v>6.7999999998191896E-2</v>
      </c>
      <c r="E104" s="300">
        <f>SUM(B104:D104)</f>
        <v>1.0029999999896668</v>
      </c>
      <c r="F104" s="300"/>
      <c r="G104" s="300">
        <v>0.87199999999806888</v>
      </c>
      <c r="H104" s="300">
        <v>0.15899999999975539</v>
      </c>
      <c r="I104" s="300">
        <v>4.2000000000288154E-2</v>
      </c>
      <c r="J104" s="300">
        <f>SUM(G104:I104)</f>
        <v>1.0729999999981126</v>
      </c>
      <c r="K104" s="300"/>
      <c r="L104" s="300">
        <v>0.84099999998904884</v>
      </c>
      <c r="M104" s="300">
        <v>0.18100000000138108</v>
      </c>
      <c r="N104" s="300">
        <v>1.599999999990737E-2</v>
      </c>
      <c r="O104" s="300">
        <f>SUM(L104:N104)</f>
        <v>1.0379999999903373</v>
      </c>
      <c r="P104" s="300"/>
      <c r="Q104" s="300">
        <v>0.79400000001709459</v>
      </c>
      <c r="R104" s="300">
        <v>0.1850000000007106</v>
      </c>
      <c r="S104" s="300">
        <v>1.7000000000173994E-2</v>
      </c>
      <c r="T104" s="300">
        <f>SUM(Q104:S104)</f>
        <v>0.99600000001797917</v>
      </c>
      <c r="U104" s="300"/>
      <c r="V104" s="300">
        <v>0.65200000000462321</v>
      </c>
      <c r="W104" s="300">
        <v>0.17699999999872032</v>
      </c>
      <c r="X104" s="300">
        <v>1.6000000000113306E-2</v>
      </c>
      <c r="Y104" s="300">
        <f>SUM(V104:X104)</f>
        <v>0.84500000000345676</v>
      </c>
    </row>
    <row r="105" spans="1:25" x14ac:dyDescent="0.2">
      <c r="A105" s="260" t="s">
        <v>355</v>
      </c>
      <c r="B105" s="300">
        <v>1.2150000000007317</v>
      </c>
      <c r="C105" s="300">
        <v>0.15999999999998765</v>
      </c>
      <c r="D105" s="300">
        <v>9.1000000003388593E-2</v>
      </c>
      <c r="E105" s="300">
        <f t="shared" ref="E105:E106" si="242">SUM(B105:D105)</f>
        <v>1.466000000004108</v>
      </c>
      <c r="F105" s="300"/>
      <c r="G105" s="300">
        <v>1.3759999999951538</v>
      </c>
      <c r="H105" s="300">
        <v>0.1410000000004881</v>
      </c>
      <c r="I105" s="300">
        <v>0.18600000000005618</v>
      </c>
      <c r="J105" s="300">
        <f t="shared" ref="J105:J106" si="243">SUM(G105:I105)</f>
        <v>1.702999999995698</v>
      </c>
      <c r="K105" s="300"/>
      <c r="L105" s="300">
        <v>1.4589999999904861</v>
      </c>
      <c r="M105" s="300">
        <v>6.7000000000170631E-2</v>
      </c>
      <c r="N105" s="300">
        <v>0.25000000000595018</v>
      </c>
      <c r="O105" s="300">
        <f t="shared" ref="O105:O106" si="244">SUM(L105:N105)</f>
        <v>1.775999999996607</v>
      </c>
      <c r="P105" s="300"/>
      <c r="Q105" s="300">
        <v>1.3999999999966393</v>
      </c>
      <c r="R105" s="300">
        <v>7.4000000000097335E-2</v>
      </c>
      <c r="S105" s="300">
        <v>0.25100000001676631</v>
      </c>
      <c r="T105" s="300">
        <f t="shared" ref="T105:T106" si="245">SUM(Q105:S105)</f>
        <v>1.7250000000135028</v>
      </c>
      <c r="U105" s="300"/>
      <c r="V105" s="300">
        <v>1.199999999996302</v>
      </c>
      <c r="W105" s="300">
        <v>7.8000000000048558E-2</v>
      </c>
      <c r="X105" s="300">
        <v>0.23400000001202456</v>
      </c>
      <c r="Y105" s="300">
        <f t="shared" ref="Y105:Y106" si="246">SUM(V105:X105)</f>
        <v>1.5120000000083751</v>
      </c>
    </row>
    <row r="106" spans="1:25" x14ac:dyDescent="0.2">
      <c r="A106" s="260" t="s">
        <v>354</v>
      </c>
      <c r="B106" s="300">
        <f>SUM(B104:B105)</f>
        <v>1.9129999999900202</v>
      </c>
      <c r="C106" s="300">
        <f t="shared" ref="C106" si="247">SUM(C104:C105)</f>
        <v>0.39700000000217411</v>
      </c>
      <c r="D106" s="300">
        <f t="shared" ref="D106" si="248">SUM(D104:D105)</f>
        <v>0.15900000000158049</v>
      </c>
      <c r="E106" s="300">
        <f t="shared" si="242"/>
        <v>2.4689999999937746</v>
      </c>
      <c r="F106" s="300"/>
      <c r="G106" s="300">
        <f>SUM(G104:G105)</f>
        <v>2.2479999999932225</v>
      </c>
      <c r="H106" s="300">
        <f t="shared" ref="H106" si="249">SUM(H104:H105)</f>
        <v>0.30000000000024352</v>
      </c>
      <c r="I106" s="300">
        <f t="shared" ref="I106" si="250">SUM(I104:I105)</f>
        <v>0.22800000000034432</v>
      </c>
      <c r="J106" s="300">
        <f t="shared" si="243"/>
        <v>2.7759999999938105</v>
      </c>
      <c r="K106" s="300"/>
      <c r="L106" s="300">
        <f>SUM(L104:L105)</f>
        <v>2.2999999999795349</v>
      </c>
      <c r="M106" s="300">
        <f t="shared" ref="M106" si="251">SUM(M104:M105)</f>
        <v>0.2480000000015517</v>
      </c>
      <c r="N106" s="300">
        <f t="shared" ref="N106" si="252">SUM(N104:N105)</f>
        <v>0.26600000000585755</v>
      </c>
      <c r="O106" s="300">
        <f t="shared" si="244"/>
        <v>2.8139999999869443</v>
      </c>
      <c r="P106" s="300"/>
      <c r="Q106" s="300">
        <f>SUM(Q104:Q105)</f>
        <v>2.1940000000137339</v>
      </c>
      <c r="R106" s="300">
        <f t="shared" ref="R106" si="253">SUM(R104:R105)</f>
        <v>0.25900000000080792</v>
      </c>
      <c r="S106" s="300">
        <f t="shared" ref="S106" si="254">SUM(S104:S105)</f>
        <v>0.2680000000169403</v>
      </c>
      <c r="T106" s="300">
        <f t="shared" si="245"/>
        <v>2.721000000031482</v>
      </c>
      <c r="U106" s="300"/>
      <c r="V106" s="300">
        <f>SUM(V104:V105)</f>
        <v>1.8520000000009254</v>
      </c>
      <c r="W106" s="300">
        <f t="shared" ref="W106" si="255">SUM(W104:W105)</f>
        <v>0.25499999999876888</v>
      </c>
      <c r="X106" s="300">
        <f t="shared" ref="X106" si="256">SUM(X104:X105)</f>
        <v>0.25000000001213785</v>
      </c>
      <c r="Y106" s="300">
        <f t="shared" si="246"/>
        <v>2.3570000000118321</v>
      </c>
    </row>
    <row r="107" spans="1:25" x14ac:dyDescent="0.2">
      <c r="C107" s="319"/>
      <c r="D107" s="319"/>
      <c r="E107" s="319"/>
      <c r="F107" s="319"/>
      <c r="G107" s="319"/>
      <c r="H107" s="319"/>
      <c r="I107" s="319"/>
      <c r="J107" s="319"/>
      <c r="K107" s="319"/>
      <c r="L107" s="319"/>
      <c r="M107" s="319"/>
      <c r="N107" s="319"/>
      <c r="O107" s="319"/>
      <c r="P107" s="319"/>
      <c r="Q107" s="319"/>
      <c r="R107" s="319"/>
      <c r="S107" s="319"/>
      <c r="T107" s="319"/>
      <c r="U107" s="319"/>
      <c r="V107" s="319"/>
      <c r="W107" s="319"/>
      <c r="X107" s="319"/>
      <c r="Y107" s="319"/>
    </row>
    <row r="108" spans="1:25" x14ac:dyDescent="0.2">
      <c r="A108" s="261" t="str">
        <f>name!A15</f>
        <v>Rubber and plastic</v>
      </c>
      <c r="C108" s="263"/>
    </row>
    <row r="109" spans="1:25" x14ac:dyDescent="0.2">
      <c r="A109" s="260" t="s">
        <v>356</v>
      </c>
      <c r="B109" s="300">
        <v>2.2839999999888683</v>
      </c>
      <c r="C109" s="300">
        <v>0.95600000002897334</v>
      </c>
      <c r="D109" s="300">
        <v>0.3090000000031608</v>
      </c>
      <c r="E109" s="300">
        <f>SUM(B109:D109)</f>
        <v>3.5490000000210022</v>
      </c>
      <c r="F109" s="300"/>
      <c r="G109" s="300">
        <v>2.0019999999648017</v>
      </c>
      <c r="H109" s="300">
        <v>0.5899999999974378</v>
      </c>
      <c r="I109" s="300">
        <v>9.000000000265863E-3</v>
      </c>
      <c r="J109" s="300">
        <f>SUM(G109:I109)</f>
        <v>2.6009999999625055</v>
      </c>
      <c r="K109" s="300"/>
      <c r="L109" s="300">
        <v>2.0209999999825667</v>
      </c>
      <c r="M109" s="300">
        <v>0.81500000002134243</v>
      </c>
      <c r="N109" s="300">
        <v>8.3999999997119157E-2</v>
      </c>
      <c r="O109" s="300">
        <f>SUM(L109:N109)</f>
        <v>2.9200000000010284</v>
      </c>
      <c r="P109" s="300"/>
      <c r="Q109" s="300">
        <v>1.8210000000552307</v>
      </c>
      <c r="R109" s="300">
        <v>0.76400000000784274</v>
      </c>
      <c r="S109" s="300">
        <v>7.5000000000385286E-2</v>
      </c>
      <c r="T109" s="300">
        <f>SUM(Q109:S109)</f>
        <v>2.6600000000634587</v>
      </c>
      <c r="U109" s="300"/>
      <c r="V109" s="300">
        <v>1.4899999999975959</v>
      </c>
      <c r="W109" s="300">
        <v>0.67899999998957439</v>
      </c>
      <c r="X109" s="300">
        <v>6.1000000000567815E-2</v>
      </c>
      <c r="Y109" s="300">
        <f>SUM(V109:X109)</f>
        <v>2.2299999999877382</v>
      </c>
    </row>
    <row r="110" spans="1:25" x14ac:dyDescent="0.2">
      <c r="A110" s="260" t="s">
        <v>355</v>
      </c>
      <c r="B110" s="300">
        <v>17.554999999823135</v>
      </c>
      <c r="C110" s="300">
        <v>0.31199999999991568</v>
      </c>
      <c r="D110" s="300">
        <v>1.1109999999927926</v>
      </c>
      <c r="E110" s="300">
        <f t="shared" ref="E110:E111" si="257">SUM(B110:D110)</f>
        <v>18.977999999815843</v>
      </c>
      <c r="F110" s="300"/>
      <c r="G110" s="300">
        <v>15.888000000001298</v>
      </c>
      <c r="H110" s="300">
        <v>0.30700000000213412</v>
      </c>
      <c r="I110" s="300">
        <v>0.85399999999981258</v>
      </c>
      <c r="J110" s="300">
        <f t="shared" ref="J110:J111" si="258">SUM(G110:I110)</f>
        <v>17.049000000003243</v>
      </c>
      <c r="K110" s="300"/>
      <c r="L110" s="300">
        <v>16.373000000051956</v>
      </c>
      <c r="M110" s="300">
        <v>0.73900000000146027</v>
      </c>
      <c r="N110" s="300">
        <v>0.81099999999828742</v>
      </c>
      <c r="O110" s="300">
        <f t="shared" ref="O110:O111" si="259">SUM(L110:N110)</f>
        <v>17.923000000051704</v>
      </c>
      <c r="P110" s="300"/>
      <c r="Q110" s="300">
        <v>15.086000000093902</v>
      </c>
      <c r="R110" s="300">
        <v>0.6980000000015204</v>
      </c>
      <c r="S110" s="300">
        <v>0.73699999999730159</v>
      </c>
      <c r="T110" s="300">
        <f t="shared" ref="T110:T111" si="260">SUM(Q110:S110)</f>
        <v>16.521000000092723</v>
      </c>
      <c r="U110" s="300"/>
      <c r="V110" s="300">
        <v>12.826000000082173</v>
      </c>
      <c r="W110" s="300">
        <v>0.61500000000116717</v>
      </c>
      <c r="X110" s="300">
        <v>0.64199999999972224</v>
      </c>
      <c r="Y110" s="300">
        <f t="shared" ref="Y110:Y111" si="261">SUM(V110:X110)</f>
        <v>14.083000000083063</v>
      </c>
    </row>
    <row r="111" spans="1:25" x14ac:dyDescent="0.2">
      <c r="A111" s="260" t="s">
        <v>354</v>
      </c>
      <c r="B111" s="300">
        <f>SUM(B109:B110)</f>
        <v>19.838999999812003</v>
      </c>
      <c r="C111" s="300">
        <f t="shared" ref="C111" si="262">SUM(C109:C110)</f>
        <v>1.2680000000288891</v>
      </c>
      <c r="D111" s="300">
        <f t="shared" ref="D111" si="263">SUM(D109:D110)</f>
        <v>1.4199999999959534</v>
      </c>
      <c r="E111" s="300">
        <f t="shared" si="257"/>
        <v>22.526999999836846</v>
      </c>
      <c r="F111" s="300"/>
      <c r="G111" s="300">
        <f>SUM(G109:G110)</f>
        <v>17.889999999966101</v>
      </c>
      <c r="H111" s="300">
        <f t="shared" ref="H111" si="264">SUM(H109:H110)</f>
        <v>0.89699999999957192</v>
      </c>
      <c r="I111" s="300">
        <f t="shared" ref="I111" si="265">SUM(I109:I110)</f>
        <v>0.86300000000007848</v>
      </c>
      <c r="J111" s="300">
        <f t="shared" si="258"/>
        <v>19.64999999996575</v>
      </c>
      <c r="K111" s="300"/>
      <c r="L111" s="300">
        <f>SUM(L109:L110)</f>
        <v>18.394000000034524</v>
      </c>
      <c r="M111" s="300">
        <f t="shared" ref="M111" si="266">SUM(M109:M110)</f>
        <v>1.5540000000228027</v>
      </c>
      <c r="N111" s="300">
        <f t="shared" ref="N111" si="267">SUM(N109:N110)</f>
        <v>0.89499999999540658</v>
      </c>
      <c r="O111" s="300">
        <f t="shared" si="259"/>
        <v>20.843000000052733</v>
      </c>
      <c r="P111" s="300"/>
      <c r="Q111" s="300">
        <f>SUM(Q109:Q110)</f>
        <v>16.907000000149132</v>
      </c>
      <c r="R111" s="300">
        <f t="shared" ref="R111" si="268">SUM(R109:R110)</f>
        <v>1.4620000000093631</v>
      </c>
      <c r="S111" s="300">
        <f t="shared" ref="S111" si="269">SUM(S109:S110)</f>
        <v>0.81199999999768691</v>
      </c>
      <c r="T111" s="300">
        <f t="shared" si="260"/>
        <v>19.181000000156185</v>
      </c>
      <c r="U111" s="300"/>
      <c r="V111" s="300">
        <f>SUM(V109:V110)</f>
        <v>14.316000000079768</v>
      </c>
      <c r="W111" s="300">
        <f t="shared" ref="W111" si="270">SUM(W109:W110)</f>
        <v>1.2939999999907417</v>
      </c>
      <c r="X111" s="300">
        <f t="shared" ref="X111" si="271">SUM(X109:X110)</f>
        <v>0.70300000000029006</v>
      </c>
      <c r="Y111" s="300">
        <f t="shared" si="261"/>
        <v>16.313000000070801</v>
      </c>
    </row>
    <row r="112" spans="1:25" x14ac:dyDescent="0.2">
      <c r="C112" s="319"/>
      <c r="D112" s="319"/>
      <c r="E112" s="319"/>
      <c r="F112" s="319"/>
      <c r="G112" s="319"/>
      <c r="H112" s="319"/>
      <c r="I112" s="319"/>
      <c r="J112" s="319"/>
      <c r="K112" s="319"/>
      <c r="L112" s="319"/>
      <c r="M112" s="319"/>
      <c r="N112" s="319"/>
      <c r="O112" s="319"/>
      <c r="P112" s="319"/>
      <c r="Q112" s="319"/>
      <c r="R112" s="319"/>
      <c r="S112" s="319"/>
      <c r="T112" s="319"/>
      <c r="U112" s="319"/>
      <c r="V112" s="319"/>
      <c r="W112" s="319"/>
      <c r="X112" s="319"/>
      <c r="Y112" s="319"/>
    </row>
    <row r="113" spans="1:25" x14ac:dyDescent="0.2">
      <c r="A113" s="261" t="str">
        <f>name!A16</f>
        <v>Other non-metallic</v>
      </c>
      <c r="C113" s="263"/>
    </row>
    <row r="114" spans="1:25" x14ac:dyDescent="0.2">
      <c r="A114" s="260" t="s">
        <v>356</v>
      </c>
      <c r="B114" s="300">
        <v>2.7169999999750054</v>
      </c>
      <c r="C114" s="300">
        <v>0.67200000002230076</v>
      </c>
      <c r="D114" s="300">
        <v>0.11300000000270488</v>
      </c>
      <c r="E114" s="300">
        <f>SUM(B114:D114)</f>
        <v>3.5020000000000113</v>
      </c>
      <c r="F114" s="300"/>
      <c r="G114" s="300">
        <v>3.2999999999530569</v>
      </c>
      <c r="H114" s="300">
        <v>0.29999999999892152</v>
      </c>
      <c r="I114" s="300">
        <v>0.34400000000313641</v>
      </c>
      <c r="J114" s="300">
        <f>SUM(G114:I114)</f>
        <v>3.943999999955115</v>
      </c>
      <c r="K114" s="300"/>
      <c r="L114" s="300">
        <v>3.3319999999623104</v>
      </c>
      <c r="M114" s="300">
        <v>0.41500000001201431</v>
      </c>
      <c r="N114" s="300">
        <v>3.9999999999664117E-2</v>
      </c>
      <c r="O114" s="300">
        <f>SUM(L114:N114)</f>
        <v>3.7869999999739892</v>
      </c>
      <c r="P114" s="300"/>
      <c r="Q114" s="300">
        <v>3.0010000000927981</v>
      </c>
      <c r="R114" s="300">
        <v>0.38900000000568252</v>
      </c>
      <c r="S114" s="300">
        <v>3.5999999999704296E-2</v>
      </c>
      <c r="T114" s="300">
        <f>SUM(Q114:S114)</f>
        <v>3.4260000000981847</v>
      </c>
      <c r="U114" s="300"/>
      <c r="V114" s="300">
        <v>2.4549999999967174</v>
      </c>
      <c r="W114" s="300">
        <v>0.34599999999461029</v>
      </c>
      <c r="X114" s="300">
        <v>2.899999999960233E-2</v>
      </c>
      <c r="Y114" s="300">
        <f>SUM(V114:X114)</f>
        <v>2.82999999999093</v>
      </c>
    </row>
    <row r="115" spans="1:25" x14ac:dyDescent="0.2">
      <c r="A115" s="260" t="s">
        <v>355</v>
      </c>
      <c r="B115" s="300">
        <v>8.3639999998900194</v>
      </c>
      <c r="C115" s="300">
        <v>0.21499999999949587</v>
      </c>
      <c r="D115" s="300">
        <v>0.61499999999014798</v>
      </c>
      <c r="E115" s="300">
        <f t="shared" ref="E115:E116" si="272">SUM(B115:D115)</f>
        <v>9.1939999998796633</v>
      </c>
      <c r="F115" s="300"/>
      <c r="G115" s="300">
        <v>10.485000000022284</v>
      </c>
      <c r="H115" s="300">
        <v>0.15299999999883149</v>
      </c>
      <c r="I115" s="300">
        <v>0.61600000000368516</v>
      </c>
      <c r="J115" s="300">
        <f t="shared" ref="J115:J116" si="273">SUM(G115:I115)</f>
        <v>11.254000000024801</v>
      </c>
      <c r="K115" s="300"/>
      <c r="L115" s="300">
        <v>10.805000000083837</v>
      </c>
      <c r="M115" s="300">
        <v>0.36799999999932143</v>
      </c>
      <c r="N115" s="300">
        <v>0.2379999999985932</v>
      </c>
      <c r="O115" s="300">
        <f t="shared" ref="O115:O116" si="274">SUM(L115:N115)</f>
        <v>11.411000000081751</v>
      </c>
      <c r="P115" s="300"/>
      <c r="Q115" s="300">
        <v>9.9560000000975695</v>
      </c>
      <c r="R115" s="300">
        <v>0.34699999999853687</v>
      </c>
      <c r="S115" s="300">
        <v>0.25599999999457029</v>
      </c>
      <c r="T115" s="300">
        <f t="shared" ref="T115:T116" si="275">SUM(Q115:S115)</f>
        <v>10.559000000090677</v>
      </c>
      <c r="U115" s="300"/>
      <c r="V115" s="300">
        <v>8.4640000000961297</v>
      </c>
      <c r="W115" s="300">
        <v>0.30599999999733951</v>
      </c>
      <c r="X115" s="300">
        <v>0.26399999999686852</v>
      </c>
      <c r="Y115" s="300">
        <f t="shared" ref="Y115:Y116" si="276">SUM(V115:X115)</f>
        <v>9.0340000000903373</v>
      </c>
    </row>
    <row r="116" spans="1:25" x14ac:dyDescent="0.2">
      <c r="A116" s="260" t="s">
        <v>354</v>
      </c>
      <c r="B116" s="300">
        <f>SUM(B114:B115)</f>
        <v>11.080999999865025</v>
      </c>
      <c r="C116" s="300">
        <f t="shared" ref="C116" si="277">SUM(C114:C115)</f>
        <v>0.88700000002179658</v>
      </c>
      <c r="D116" s="300">
        <f t="shared" ref="D116" si="278">SUM(D114:D115)</f>
        <v>0.72799999999285281</v>
      </c>
      <c r="E116" s="300">
        <f t="shared" si="272"/>
        <v>12.695999999879675</v>
      </c>
      <c r="F116" s="300"/>
      <c r="G116" s="300">
        <f>SUM(G114:G115)</f>
        <v>13.784999999975341</v>
      </c>
      <c r="H116" s="300">
        <f t="shared" ref="H116" si="279">SUM(H114:H115)</f>
        <v>0.45299999999775298</v>
      </c>
      <c r="I116" s="300">
        <f t="shared" ref="I116" si="280">SUM(I114:I115)</f>
        <v>0.96000000000682162</v>
      </c>
      <c r="J116" s="300">
        <f t="shared" si="273"/>
        <v>15.197999999979915</v>
      </c>
      <c r="K116" s="300"/>
      <c r="L116" s="300">
        <f>SUM(L114:L115)</f>
        <v>14.137000000046147</v>
      </c>
      <c r="M116" s="300">
        <f t="shared" ref="M116" si="281">SUM(M114:M115)</f>
        <v>0.78300000001133574</v>
      </c>
      <c r="N116" s="300">
        <f t="shared" ref="N116" si="282">SUM(N114:N115)</f>
        <v>0.27799999999825731</v>
      </c>
      <c r="O116" s="300">
        <f t="shared" si="274"/>
        <v>15.198000000055741</v>
      </c>
      <c r="P116" s="300"/>
      <c r="Q116" s="300">
        <f>SUM(Q114:Q115)</f>
        <v>12.957000000190368</v>
      </c>
      <c r="R116" s="300">
        <f t="shared" ref="R116" si="283">SUM(R114:R115)</f>
        <v>0.73600000000421939</v>
      </c>
      <c r="S116" s="300">
        <f t="shared" ref="S116" si="284">SUM(S114:S115)</f>
        <v>0.29199999999427462</v>
      </c>
      <c r="T116" s="300">
        <f t="shared" si="275"/>
        <v>13.985000000188862</v>
      </c>
      <c r="U116" s="300"/>
      <c r="V116" s="300">
        <f>SUM(V114:V115)</f>
        <v>10.919000000092847</v>
      </c>
      <c r="W116" s="300">
        <f t="shared" ref="W116" si="285">SUM(W114:W115)</f>
        <v>0.6519999999919498</v>
      </c>
      <c r="X116" s="300">
        <f t="shared" ref="X116" si="286">SUM(X114:X115)</f>
        <v>0.29299999999647086</v>
      </c>
      <c r="Y116" s="300">
        <f t="shared" si="276"/>
        <v>11.864000000081269</v>
      </c>
    </row>
    <row r="117" spans="1:25" x14ac:dyDescent="0.2">
      <c r="C117" s="319"/>
      <c r="D117" s="319"/>
      <c r="E117" s="319"/>
      <c r="F117" s="319"/>
      <c r="G117" s="319"/>
      <c r="H117" s="319"/>
      <c r="I117" s="319"/>
      <c r="J117" s="319"/>
      <c r="K117" s="319"/>
      <c r="L117" s="319"/>
      <c r="M117" s="319"/>
      <c r="N117" s="319"/>
      <c r="O117" s="319"/>
      <c r="P117" s="319"/>
      <c r="Q117" s="319"/>
      <c r="R117" s="319"/>
      <c r="S117" s="319"/>
      <c r="T117" s="319"/>
      <c r="U117" s="319"/>
      <c r="V117" s="319"/>
      <c r="W117" s="319"/>
      <c r="X117" s="319"/>
      <c r="Y117" s="319"/>
    </row>
    <row r="118" spans="1:25" x14ac:dyDescent="0.2">
      <c r="A118" s="261" t="str">
        <f>name!A17</f>
        <v>Basic metals</v>
      </c>
      <c r="C118" s="263"/>
    </row>
    <row r="119" spans="1:25" x14ac:dyDescent="0.2">
      <c r="A119" s="260" t="s">
        <v>356</v>
      </c>
      <c r="B119" s="300">
        <v>0.40099999999340374</v>
      </c>
      <c r="C119" s="300">
        <v>7.6000000001970283E-2</v>
      </c>
      <c r="D119" s="300">
        <v>5.9999999999689581E-3</v>
      </c>
      <c r="E119" s="300">
        <f>SUM(B119:D119)</f>
        <v>0.48299999999534299</v>
      </c>
      <c r="F119" s="300"/>
      <c r="G119" s="300">
        <v>0.4139999999990655</v>
      </c>
      <c r="H119" s="300">
        <v>0.11499999999974539</v>
      </c>
      <c r="I119" s="300">
        <v>3.4000000000576597E-2</v>
      </c>
      <c r="J119" s="300">
        <f>SUM(G119:I119)</f>
        <v>0.56299999999938743</v>
      </c>
      <c r="K119" s="300"/>
      <c r="L119" s="300">
        <v>0.34699999999461317</v>
      </c>
      <c r="M119" s="300">
        <v>0.12800000000278589</v>
      </c>
      <c r="N119" s="300">
        <v>7.9999999998684439E-3</v>
      </c>
      <c r="O119" s="300">
        <f>SUM(L119:N119)</f>
        <v>0.4829999999972675</v>
      </c>
      <c r="P119" s="300"/>
      <c r="Q119" s="300">
        <v>0.35100000000893439</v>
      </c>
      <c r="R119" s="300">
        <v>0.12600000000174449</v>
      </c>
      <c r="S119" s="300">
        <v>8.0000000000498579E-3</v>
      </c>
      <c r="T119" s="300">
        <f>SUM(Q119:S119)</f>
        <v>0.48500000001072874</v>
      </c>
      <c r="U119" s="300"/>
      <c r="V119" s="300">
        <v>0.33000000000320634</v>
      </c>
      <c r="W119" s="300">
        <v>0.11299999999876244</v>
      </c>
      <c r="X119" s="300">
        <v>7.000000000027139E-3</v>
      </c>
      <c r="Y119" s="300">
        <f>SUM(V119:X119)</f>
        <v>0.45000000000199591</v>
      </c>
    </row>
    <row r="120" spans="1:25" x14ac:dyDescent="0.2">
      <c r="A120" s="260" t="s">
        <v>355</v>
      </c>
      <c r="B120" s="300">
        <v>3.8269999999602526</v>
      </c>
      <c r="C120" s="300">
        <v>5.3999999999999736E-2</v>
      </c>
      <c r="D120" s="300">
        <v>0.10600000000140707</v>
      </c>
      <c r="E120" s="300">
        <f t="shared" ref="E120:E121" si="287">SUM(B120:D120)</f>
        <v>3.9869999999616597</v>
      </c>
      <c r="F120" s="300"/>
      <c r="G120" s="300">
        <v>4.0840000000026926</v>
      </c>
      <c r="H120" s="300">
        <v>0.12700000000038575</v>
      </c>
      <c r="I120" s="300">
        <v>0.18699999999986341</v>
      </c>
      <c r="J120" s="300">
        <f t="shared" ref="J120:J121" si="288">SUM(G120:I120)</f>
        <v>4.3980000000029422</v>
      </c>
      <c r="K120" s="300"/>
      <c r="L120" s="300">
        <v>3.5330000000149919</v>
      </c>
      <c r="M120" s="300">
        <v>0.16799999999989265</v>
      </c>
      <c r="N120" s="300">
        <v>4.5000000000198784E-2</v>
      </c>
      <c r="O120" s="300">
        <f t="shared" ref="O120:O121" si="289">SUM(L120:N120)</f>
        <v>3.7460000000150835</v>
      </c>
      <c r="P120" s="300"/>
      <c r="Q120" s="300">
        <v>3.4290000000254</v>
      </c>
      <c r="R120" s="300">
        <v>0.16299999999992779</v>
      </c>
      <c r="S120" s="300">
        <v>4.8000000001175387E-2</v>
      </c>
      <c r="T120" s="300">
        <f t="shared" ref="T120:T121" si="290">SUM(Q120:S120)</f>
        <v>3.6400000000265034</v>
      </c>
      <c r="U120" s="300"/>
      <c r="V120" s="300">
        <v>2.9940000000266527</v>
      </c>
      <c r="W120" s="300">
        <v>0.13999999999980242</v>
      </c>
      <c r="X120" s="300">
        <v>5.0000000000960478E-2</v>
      </c>
      <c r="Y120" s="300">
        <f t="shared" ref="Y120:Y121" si="291">SUM(V120:X120)</f>
        <v>3.1840000000274156</v>
      </c>
    </row>
    <row r="121" spans="1:25" x14ac:dyDescent="0.2">
      <c r="A121" s="260" t="s">
        <v>354</v>
      </c>
      <c r="B121" s="300">
        <f>SUM(B119:B120)</f>
        <v>4.2279999999536564</v>
      </c>
      <c r="C121" s="300">
        <f t="shared" ref="C121" si="292">SUM(C119:C120)</f>
        <v>0.13000000000197001</v>
      </c>
      <c r="D121" s="300">
        <f t="shared" ref="D121" si="293">SUM(D119:D120)</f>
        <v>0.11200000000137603</v>
      </c>
      <c r="E121" s="300">
        <f t="shared" si="287"/>
        <v>4.4699999999570021</v>
      </c>
      <c r="F121" s="300"/>
      <c r="G121" s="300">
        <f>SUM(G119:G120)</f>
        <v>4.4980000000017579</v>
      </c>
      <c r="H121" s="300">
        <f t="shared" ref="H121" si="294">SUM(H119:H120)</f>
        <v>0.24200000000013114</v>
      </c>
      <c r="I121" s="300">
        <f t="shared" ref="I121" si="295">SUM(I119:I120)</f>
        <v>0.22100000000044001</v>
      </c>
      <c r="J121" s="300">
        <f t="shared" si="288"/>
        <v>4.9610000000023291</v>
      </c>
      <c r="K121" s="300"/>
      <c r="L121" s="300">
        <f>SUM(L119:L120)</f>
        <v>3.8800000000096051</v>
      </c>
      <c r="M121" s="300">
        <f t="shared" ref="M121" si="296">SUM(M119:M120)</f>
        <v>0.29600000000267856</v>
      </c>
      <c r="N121" s="300">
        <f t="shared" ref="N121" si="297">SUM(N119:N120)</f>
        <v>5.3000000000067229E-2</v>
      </c>
      <c r="O121" s="300">
        <f t="shared" si="289"/>
        <v>4.2290000000123511</v>
      </c>
      <c r="P121" s="300"/>
      <c r="Q121" s="300">
        <f>SUM(Q119:Q120)</f>
        <v>3.7800000000343346</v>
      </c>
      <c r="R121" s="300">
        <f t="shared" ref="R121" si="298">SUM(R119:R120)</f>
        <v>0.28900000000167225</v>
      </c>
      <c r="S121" s="300">
        <f t="shared" ref="S121" si="299">SUM(S119:S120)</f>
        <v>5.6000000001225243E-2</v>
      </c>
      <c r="T121" s="300">
        <f t="shared" si="290"/>
        <v>4.1250000000372316</v>
      </c>
      <c r="U121" s="300"/>
      <c r="V121" s="300">
        <f>SUM(V119:V120)</f>
        <v>3.3240000000298591</v>
      </c>
      <c r="W121" s="300">
        <f t="shared" ref="W121" si="300">SUM(W119:W120)</f>
        <v>0.25299999999856487</v>
      </c>
      <c r="X121" s="300">
        <f t="shared" ref="X121" si="301">SUM(X119:X120)</f>
        <v>5.7000000000987615E-2</v>
      </c>
      <c r="Y121" s="300">
        <f t="shared" si="291"/>
        <v>3.6340000000294115</v>
      </c>
    </row>
    <row r="122" spans="1:25" x14ac:dyDescent="0.2">
      <c r="C122" s="319"/>
      <c r="D122" s="319"/>
      <c r="E122" s="319"/>
      <c r="F122" s="319"/>
      <c r="G122" s="319"/>
      <c r="H122" s="319"/>
      <c r="I122" s="319"/>
      <c r="J122" s="319"/>
      <c r="K122" s="319"/>
      <c r="L122" s="319"/>
      <c r="M122" s="319"/>
      <c r="N122" s="319"/>
      <c r="O122" s="319"/>
      <c r="P122" s="319"/>
      <c r="Q122" s="319"/>
      <c r="R122" s="319"/>
      <c r="S122" s="319"/>
      <c r="T122" s="319"/>
      <c r="U122" s="319"/>
      <c r="V122" s="319"/>
      <c r="W122" s="319"/>
      <c r="X122" s="319"/>
      <c r="Y122" s="319"/>
    </row>
    <row r="123" spans="1:25" x14ac:dyDescent="0.2">
      <c r="A123" s="261" t="str">
        <f>name!A18</f>
        <v>Metal products</v>
      </c>
      <c r="C123" s="263"/>
    </row>
    <row r="124" spans="1:25" x14ac:dyDescent="0.2">
      <c r="A124" s="260" t="s">
        <v>356</v>
      </c>
      <c r="B124" s="300">
        <v>3.059999999984937</v>
      </c>
      <c r="C124" s="300">
        <v>1.6620000000427764</v>
      </c>
      <c r="D124" s="300">
        <v>4.4000000000199095E-2</v>
      </c>
      <c r="E124" s="300">
        <f>SUM(B124:D124)</f>
        <v>4.7660000000279128</v>
      </c>
      <c r="F124" s="300"/>
      <c r="G124" s="300">
        <v>3.0049999999489034</v>
      </c>
      <c r="H124" s="300">
        <v>1.0449999999936304</v>
      </c>
      <c r="I124" s="300">
        <v>0.31600000000350625</v>
      </c>
      <c r="J124" s="300">
        <f>SUM(G124:I124)</f>
        <v>4.3659999999460402</v>
      </c>
      <c r="K124" s="300"/>
      <c r="L124" s="300">
        <v>2.5189999999764914</v>
      </c>
      <c r="M124" s="300">
        <v>1.15900000002647</v>
      </c>
      <c r="N124" s="300">
        <v>5.3999999999282539E-2</v>
      </c>
      <c r="O124" s="300">
        <f>SUM(L124:N124)</f>
        <v>3.7320000000022437</v>
      </c>
      <c r="P124" s="300"/>
      <c r="Q124" s="300">
        <v>2.5470000000799451</v>
      </c>
      <c r="R124" s="300">
        <v>1.1450000000091771</v>
      </c>
      <c r="S124" s="300">
        <v>5.5000000000037193E-2</v>
      </c>
      <c r="T124" s="300">
        <f>SUM(Q124:S124)</f>
        <v>3.7470000000891592</v>
      </c>
      <c r="U124" s="300"/>
      <c r="V124" s="300">
        <v>2.3909999999995164</v>
      </c>
      <c r="W124" s="300">
        <v>1.0289999999864368</v>
      </c>
      <c r="X124" s="300">
        <v>5.1999999999930074E-2</v>
      </c>
      <c r="Y124" s="300">
        <f>SUM(V124:X124)</f>
        <v>3.4719999999858833</v>
      </c>
    </row>
    <row r="125" spans="1:25" x14ac:dyDescent="0.2">
      <c r="A125" s="260" t="s">
        <v>355</v>
      </c>
      <c r="B125" s="300">
        <v>25.42099999981011</v>
      </c>
      <c r="C125" s="300">
        <v>1.4299999999952</v>
      </c>
      <c r="D125" s="300">
        <v>0.77399999999324609</v>
      </c>
      <c r="E125" s="300">
        <f t="shared" ref="E125:E126" si="302">SUM(B125:D125)</f>
        <v>27.624999999798558</v>
      </c>
      <c r="F125" s="300"/>
      <c r="G125" s="300">
        <v>25.768999999976469</v>
      </c>
      <c r="H125" s="300">
        <v>1.3950000000047722</v>
      </c>
      <c r="I125" s="300">
        <v>1.2620000000169032</v>
      </c>
      <c r="J125" s="300">
        <f t="shared" ref="J125:J126" si="303">SUM(G125:I125)</f>
        <v>28.425999999998144</v>
      </c>
      <c r="K125" s="300"/>
      <c r="L125" s="300">
        <v>22.291000000012911</v>
      </c>
      <c r="M125" s="300">
        <v>1.8480000000094834</v>
      </c>
      <c r="N125" s="300">
        <v>0.83499999999734353</v>
      </c>
      <c r="O125" s="300">
        <f t="shared" ref="O125:O126" si="304">SUM(L125:N125)</f>
        <v>24.974000000019739</v>
      </c>
      <c r="P125" s="300"/>
      <c r="Q125" s="300">
        <v>21.636000000093993</v>
      </c>
      <c r="R125" s="300">
        <v>1.7880000000050902</v>
      </c>
      <c r="S125" s="300">
        <v>0.77999999998496072</v>
      </c>
      <c r="T125" s="300">
        <f t="shared" ref="T125:T126" si="305">SUM(Q125:S125)</f>
        <v>24.204000000084044</v>
      </c>
      <c r="U125" s="300"/>
      <c r="V125" s="300">
        <v>18.892000000089375</v>
      </c>
      <c r="W125" s="300">
        <v>1.541000000004392</v>
      </c>
      <c r="X125" s="300">
        <v>0.62399999999230504</v>
      </c>
      <c r="Y125" s="300">
        <f t="shared" ref="Y125:Y126" si="306">SUM(V125:X125)</f>
        <v>21.05700000008607</v>
      </c>
    </row>
    <row r="126" spans="1:25" x14ac:dyDescent="0.2">
      <c r="A126" s="260" t="s">
        <v>354</v>
      </c>
      <c r="B126" s="300">
        <f>SUM(B124:B125)</f>
        <v>28.480999999795046</v>
      </c>
      <c r="C126" s="300">
        <f t="shared" ref="C126" si="307">SUM(C124:C125)</f>
        <v>3.0920000000379764</v>
      </c>
      <c r="D126" s="300">
        <f t="shared" ref="D126" si="308">SUM(D124:D125)</f>
        <v>0.81799999999344519</v>
      </c>
      <c r="E126" s="300">
        <f t="shared" si="302"/>
        <v>32.390999999826469</v>
      </c>
      <c r="F126" s="300"/>
      <c r="G126" s="300">
        <f>SUM(G124:G125)</f>
        <v>28.773999999925373</v>
      </c>
      <c r="H126" s="300">
        <f t="shared" ref="H126" si="309">SUM(H124:H125)</f>
        <v>2.4399999999984026</v>
      </c>
      <c r="I126" s="300">
        <f t="shared" ref="I126" si="310">SUM(I124:I125)</f>
        <v>1.5780000000204093</v>
      </c>
      <c r="J126" s="300">
        <f t="shared" si="303"/>
        <v>32.791999999944181</v>
      </c>
      <c r="K126" s="300"/>
      <c r="L126" s="300">
        <f>SUM(L124:L125)</f>
        <v>24.809999999989401</v>
      </c>
      <c r="M126" s="300">
        <f t="shared" ref="M126" si="311">SUM(M124:M125)</f>
        <v>3.0070000000359531</v>
      </c>
      <c r="N126" s="300">
        <f t="shared" ref="N126" si="312">SUM(N124:N125)</f>
        <v>0.88899999999662604</v>
      </c>
      <c r="O126" s="300">
        <f t="shared" si="304"/>
        <v>28.70600000002198</v>
      </c>
      <c r="P126" s="300"/>
      <c r="Q126" s="300">
        <f>SUM(Q124:Q125)</f>
        <v>24.183000000173937</v>
      </c>
      <c r="R126" s="300">
        <f t="shared" ref="R126" si="313">SUM(R124:R125)</f>
        <v>2.9330000000142675</v>
      </c>
      <c r="S126" s="300">
        <f t="shared" ref="S126" si="314">SUM(S124:S125)</f>
        <v>0.83499999998499796</v>
      </c>
      <c r="T126" s="300">
        <f t="shared" si="305"/>
        <v>27.951000000173202</v>
      </c>
      <c r="U126" s="300"/>
      <c r="V126" s="300">
        <f>SUM(V124:V125)</f>
        <v>21.28300000008889</v>
      </c>
      <c r="W126" s="300">
        <f t="shared" ref="W126" si="315">SUM(W124:W125)</f>
        <v>2.569999999990829</v>
      </c>
      <c r="X126" s="300">
        <f t="shared" ref="X126" si="316">SUM(X124:X125)</f>
        <v>0.67599999999223515</v>
      </c>
      <c r="Y126" s="300">
        <f t="shared" si="306"/>
        <v>24.529000000071953</v>
      </c>
    </row>
    <row r="127" spans="1:25" x14ac:dyDescent="0.2">
      <c r="C127" s="319"/>
      <c r="D127" s="319"/>
      <c r="E127" s="319"/>
      <c r="F127" s="319"/>
      <c r="G127" s="319"/>
      <c r="H127" s="319"/>
      <c r="I127" s="319"/>
      <c r="J127" s="319"/>
      <c r="K127" s="319"/>
      <c r="L127" s="319"/>
      <c r="M127" s="319"/>
      <c r="N127" s="319"/>
      <c r="O127" s="319"/>
      <c r="P127" s="319"/>
      <c r="Q127" s="319"/>
      <c r="R127" s="319"/>
      <c r="S127" s="319"/>
      <c r="T127" s="319"/>
      <c r="U127" s="319"/>
      <c r="V127" s="319"/>
      <c r="W127" s="319"/>
      <c r="X127" s="319"/>
      <c r="Y127" s="319"/>
    </row>
    <row r="128" spans="1:25" x14ac:dyDescent="0.2">
      <c r="A128" s="261" t="str">
        <f>name!A22</f>
        <v>Motor vehicles, etc</v>
      </c>
      <c r="C128" s="263"/>
    </row>
    <row r="129" spans="1:25" x14ac:dyDescent="0.2">
      <c r="A129" s="260" t="s">
        <v>356</v>
      </c>
      <c r="B129" s="300">
        <v>0.84699999999892939</v>
      </c>
      <c r="C129" s="300">
        <v>0.26500000000522461</v>
      </c>
      <c r="D129" s="300">
        <v>1.1000000000191766E-2</v>
      </c>
      <c r="E129" s="300">
        <f>SUM(B129:D129)</f>
        <v>1.1230000000043459</v>
      </c>
      <c r="F129" s="300"/>
      <c r="G129" s="300">
        <v>1.1899999999782396</v>
      </c>
      <c r="H129" s="300">
        <v>0.109999999999642</v>
      </c>
      <c r="I129" s="300">
        <v>1.300000000017486E-2</v>
      </c>
      <c r="J129" s="300">
        <f>SUM(G129:I129)</f>
        <v>1.3129999999780564</v>
      </c>
      <c r="K129" s="300"/>
      <c r="L129" s="300">
        <v>0.86299999999451404</v>
      </c>
      <c r="M129" s="300">
        <v>0.1170000000018977</v>
      </c>
      <c r="N129" s="300">
        <v>4.9999999999210355E-3</v>
      </c>
      <c r="O129" s="300">
        <f>SUM(L129:N129)</f>
        <v>0.98499999999633281</v>
      </c>
      <c r="P129" s="300"/>
      <c r="Q129" s="300">
        <v>0.92700000002662708</v>
      </c>
      <c r="R129" s="300">
        <v>0.12100000000076162</v>
      </c>
      <c r="S129" s="300">
        <v>6.0000000000033421E-3</v>
      </c>
      <c r="T129" s="300">
        <f>SUM(Q129:S129)</f>
        <v>1.0540000000273921</v>
      </c>
      <c r="U129" s="300"/>
      <c r="V129" s="300">
        <v>1.0109999999990895</v>
      </c>
      <c r="W129" s="300">
        <v>0.11699999999861456</v>
      </c>
      <c r="X129" s="300">
        <v>5.9999999999942764E-3</v>
      </c>
      <c r="Y129" s="300">
        <f>SUM(V129:X129)</f>
        <v>1.1339999999976984</v>
      </c>
    </row>
    <row r="130" spans="1:25" x14ac:dyDescent="0.2">
      <c r="A130" s="260" t="s">
        <v>355</v>
      </c>
      <c r="B130" s="300">
        <v>6.9089999999492093</v>
      </c>
      <c r="C130" s="300">
        <v>3.999999999988884E-2</v>
      </c>
      <c r="D130" s="300">
        <v>0.10400000000066652</v>
      </c>
      <c r="E130" s="300">
        <f t="shared" ref="E130:E131" si="317">SUM(B130:D130)</f>
        <v>7.0529999999497646</v>
      </c>
      <c r="F130" s="300"/>
      <c r="G130" s="300">
        <v>7.3449999999944069</v>
      </c>
      <c r="H130" s="300">
        <v>7.7000000000734203E-2</v>
      </c>
      <c r="I130" s="300">
        <v>8.3000000000743729E-2</v>
      </c>
      <c r="J130" s="300">
        <f t="shared" ref="J130:J131" si="318">SUM(G130:I130)</f>
        <v>7.504999999995885</v>
      </c>
      <c r="K130" s="300"/>
      <c r="L130" s="300">
        <v>6.4980000000054581</v>
      </c>
      <c r="M130" s="300">
        <v>0.14100000000102336</v>
      </c>
      <c r="N130" s="300">
        <v>0.10100000000040538</v>
      </c>
      <c r="O130" s="300">
        <f t="shared" ref="O130:O131" si="319">SUM(L130:N130)</f>
        <v>6.7400000000068863</v>
      </c>
      <c r="P130" s="300"/>
      <c r="Q130" s="300">
        <v>6.7290000000277184</v>
      </c>
      <c r="R130" s="300">
        <v>0.15500000000090458</v>
      </c>
      <c r="S130" s="300">
        <v>0.10800000000065196</v>
      </c>
      <c r="T130" s="300">
        <f t="shared" ref="T130:T131" si="320">SUM(Q130:S130)</f>
        <v>6.9920000000292744</v>
      </c>
      <c r="U130" s="300"/>
      <c r="V130" s="300">
        <v>6.8380000000282211</v>
      </c>
      <c r="W130" s="300">
        <v>0.17000000000099266</v>
      </c>
      <c r="X130" s="300">
        <v>0.11600000000050581</v>
      </c>
      <c r="Y130" s="300">
        <f t="shared" ref="Y130:Y131" si="321">SUM(V130:X130)</f>
        <v>7.1240000000297199</v>
      </c>
    </row>
    <row r="131" spans="1:25" x14ac:dyDescent="0.2">
      <c r="A131" s="260" t="s">
        <v>354</v>
      </c>
      <c r="B131" s="300">
        <f>SUM(B129:B130)</f>
        <v>7.7559999999481386</v>
      </c>
      <c r="C131" s="300">
        <f t="shared" ref="C131" si="322">SUM(C129:C130)</f>
        <v>0.30500000000511346</v>
      </c>
      <c r="D131" s="300">
        <f t="shared" ref="D131" si="323">SUM(D129:D130)</f>
        <v>0.11500000000085828</v>
      </c>
      <c r="E131" s="300">
        <f t="shared" si="317"/>
        <v>8.1759999999541098</v>
      </c>
      <c r="F131" s="300"/>
      <c r="G131" s="300">
        <f>SUM(G129:G130)</f>
        <v>8.534999999972646</v>
      </c>
      <c r="H131" s="300">
        <f t="shared" ref="H131" si="324">SUM(H129:H130)</f>
        <v>0.1870000000003762</v>
      </c>
      <c r="I131" s="300">
        <f t="shared" ref="I131" si="325">SUM(I129:I130)</f>
        <v>9.6000000000918587E-2</v>
      </c>
      <c r="J131" s="300">
        <f t="shared" si="318"/>
        <v>8.8179999999739405</v>
      </c>
      <c r="K131" s="300"/>
      <c r="L131" s="300">
        <f>SUM(L129:L130)</f>
        <v>7.3609999999999722</v>
      </c>
      <c r="M131" s="300">
        <f t="shared" ref="M131" si="326">SUM(M129:M130)</f>
        <v>0.25800000000292106</v>
      </c>
      <c r="N131" s="300">
        <f t="shared" ref="N131" si="327">SUM(N129:N130)</f>
        <v>0.10600000000032642</v>
      </c>
      <c r="O131" s="300">
        <f t="shared" si="319"/>
        <v>7.7250000000032202</v>
      </c>
      <c r="P131" s="300"/>
      <c r="Q131" s="300">
        <f>SUM(Q129:Q130)</f>
        <v>7.6560000000543456</v>
      </c>
      <c r="R131" s="300">
        <f t="shared" ref="R131" si="328">SUM(R129:R130)</f>
        <v>0.27600000000166619</v>
      </c>
      <c r="S131" s="300">
        <f t="shared" ref="S131" si="329">SUM(S129:S130)</f>
        <v>0.1140000000006553</v>
      </c>
      <c r="T131" s="300">
        <f t="shared" si="320"/>
        <v>8.0460000000566669</v>
      </c>
      <c r="U131" s="300"/>
      <c r="V131" s="300">
        <f>SUM(V129:V130)</f>
        <v>7.8490000000273108</v>
      </c>
      <c r="W131" s="300">
        <f t="shared" ref="W131" si="330">SUM(W129:W130)</f>
        <v>0.28699999999960724</v>
      </c>
      <c r="X131" s="300">
        <f t="shared" ref="X131" si="331">SUM(X129:X130)</f>
        <v>0.12200000000050008</v>
      </c>
      <c r="Y131" s="300">
        <f t="shared" si="321"/>
        <v>8.258000000027419</v>
      </c>
    </row>
    <row r="132" spans="1:25" x14ac:dyDescent="0.2">
      <c r="C132" s="319"/>
      <c r="D132" s="319"/>
      <c r="E132" s="319"/>
      <c r="F132" s="319"/>
      <c r="G132" s="319"/>
      <c r="H132" s="319"/>
      <c r="I132" s="319"/>
      <c r="J132" s="319"/>
      <c r="K132" s="319"/>
      <c r="L132" s="319"/>
      <c r="M132" s="319"/>
      <c r="N132" s="319"/>
      <c r="O132" s="319"/>
      <c r="P132" s="319"/>
      <c r="Q132" s="319"/>
      <c r="R132" s="319"/>
      <c r="S132" s="319"/>
      <c r="T132" s="319"/>
      <c r="U132" s="319"/>
      <c r="V132" s="319"/>
      <c r="W132" s="319"/>
      <c r="X132" s="319"/>
      <c r="Y132" s="319"/>
    </row>
    <row r="133" spans="1:25" x14ac:dyDescent="0.2">
      <c r="A133" s="261" t="str">
        <f>name!A23</f>
        <v>Other transport equipment</v>
      </c>
      <c r="C133" s="263"/>
    </row>
    <row r="134" spans="1:25" x14ac:dyDescent="0.2">
      <c r="A134" s="260" t="s">
        <v>356</v>
      </c>
      <c r="B134" s="300">
        <v>2.6399999999740147</v>
      </c>
      <c r="C134" s="300">
        <v>0.15200000000150402</v>
      </c>
      <c r="D134" s="300">
        <v>3.7999999999851951E-2</v>
      </c>
      <c r="E134" s="300">
        <f>SUM(B134:D134)</f>
        <v>2.8299999999753704</v>
      </c>
      <c r="F134" s="300"/>
      <c r="G134" s="300">
        <v>3.49799999996717</v>
      </c>
      <c r="H134" s="300">
        <v>0.52399999999729585</v>
      </c>
      <c r="I134" s="300">
        <v>0.1250000000019533</v>
      </c>
      <c r="J134" s="300">
        <f>SUM(G134:I134)</f>
        <v>4.1469999999664191</v>
      </c>
      <c r="K134" s="300"/>
      <c r="L134" s="300">
        <v>3.4229999999622867</v>
      </c>
      <c r="M134" s="300">
        <v>0.53400000000442061</v>
      </c>
      <c r="N134" s="300">
        <v>1.7999999999715379E-2</v>
      </c>
      <c r="O134" s="300">
        <f>SUM(L134:N134)</f>
        <v>3.9749999999664229</v>
      </c>
      <c r="P134" s="300"/>
      <c r="Q134" s="300">
        <v>3.2640000000874405</v>
      </c>
      <c r="R134" s="300">
        <v>0.48899999999883531</v>
      </c>
      <c r="S134" s="300">
        <v>1.6000000000059491E-2</v>
      </c>
      <c r="T134" s="300">
        <f>SUM(Q134:S134)</f>
        <v>3.7690000000863355</v>
      </c>
      <c r="U134" s="300"/>
      <c r="V134" s="300">
        <v>3.7100000000144626</v>
      </c>
      <c r="W134" s="300">
        <v>0.52899999999507485</v>
      </c>
      <c r="X134" s="300">
        <v>1.600000000013033E-2</v>
      </c>
      <c r="Y134" s="300">
        <f>SUM(V134:X134)</f>
        <v>4.2550000000096677</v>
      </c>
    </row>
    <row r="135" spans="1:25" x14ac:dyDescent="0.2">
      <c r="A135" s="260" t="s">
        <v>355</v>
      </c>
      <c r="B135" s="300">
        <v>16.141999999933397</v>
      </c>
      <c r="C135" s="300">
        <v>1.5000000000053583E-2</v>
      </c>
      <c r="D135" s="300">
        <v>0.25099999999482608</v>
      </c>
      <c r="E135" s="300">
        <f t="shared" ref="E135:E136" si="332">SUM(B135:D135)</f>
        <v>16.407999999928276</v>
      </c>
      <c r="F135" s="300"/>
      <c r="G135" s="300">
        <v>18.780999999951543</v>
      </c>
      <c r="H135" s="300">
        <v>0.13900000000000415</v>
      </c>
      <c r="I135" s="300">
        <v>0.2680000000033162</v>
      </c>
      <c r="J135" s="300">
        <f t="shared" ref="J135:J136" si="333">SUM(G135:I135)</f>
        <v>19.187999999954862</v>
      </c>
      <c r="K135" s="300"/>
      <c r="L135" s="300">
        <v>18.210999999937709</v>
      </c>
      <c r="M135" s="300">
        <v>0.15999999999891082</v>
      </c>
      <c r="N135" s="300">
        <v>0.94899999999141371</v>
      </c>
      <c r="O135" s="300">
        <f t="shared" ref="O135:O136" si="334">SUM(L135:N135)</f>
        <v>19.319999999928033</v>
      </c>
      <c r="P135" s="300"/>
      <c r="Q135" s="300">
        <v>16.356000000010855</v>
      </c>
      <c r="R135" s="300">
        <v>0.14799999999935459</v>
      </c>
      <c r="S135" s="300">
        <v>0.85699999996961895</v>
      </c>
      <c r="T135" s="300">
        <f t="shared" ref="T135:T136" si="335">SUM(Q135:S135)</f>
        <v>17.360999999979828</v>
      </c>
      <c r="U135" s="300"/>
      <c r="V135" s="300">
        <v>16.503999999989148</v>
      </c>
      <c r="W135" s="300">
        <v>0.15799999999893174</v>
      </c>
      <c r="X135" s="300">
        <v>0.87099999998080457</v>
      </c>
      <c r="Y135" s="300">
        <f t="shared" ref="Y135:Y136" si="336">SUM(V135:X135)</f>
        <v>17.532999999968883</v>
      </c>
    </row>
    <row r="136" spans="1:25" x14ac:dyDescent="0.2">
      <c r="A136" s="260" t="s">
        <v>354</v>
      </c>
      <c r="B136" s="300">
        <f>SUM(B134:B135)</f>
        <v>18.781999999907413</v>
      </c>
      <c r="C136" s="300">
        <f t="shared" ref="C136" si="337">SUM(C134:C135)</f>
        <v>0.1670000000015576</v>
      </c>
      <c r="D136" s="300">
        <f t="shared" ref="D136" si="338">SUM(D134:D135)</f>
        <v>0.28899999999467801</v>
      </c>
      <c r="E136" s="300">
        <f t="shared" si="332"/>
        <v>19.23799999990365</v>
      </c>
      <c r="F136" s="300"/>
      <c r="G136" s="300">
        <f>SUM(G134:G135)</f>
        <v>22.278999999918714</v>
      </c>
      <c r="H136" s="300">
        <f t="shared" ref="H136" si="339">SUM(H134:H135)</f>
        <v>0.66299999999729997</v>
      </c>
      <c r="I136" s="300">
        <f t="shared" ref="I136" si="340">SUM(I134:I135)</f>
        <v>0.39300000000526947</v>
      </c>
      <c r="J136" s="300">
        <f t="shared" si="333"/>
        <v>23.334999999921283</v>
      </c>
      <c r="K136" s="300"/>
      <c r="L136" s="300">
        <f>SUM(L134:L135)</f>
        <v>21.633999999899995</v>
      </c>
      <c r="M136" s="300">
        <f t="shared" ref="M136" si="341">SUM(M134:M135)</f>
        <v>0.6940000000033314</v>
      </c>
      <c r="N136" s="300">
        <f t="shared" ref="N136" si="342">SUM(N134:N135)</f>
        <v>0.96699999999112907</v>
      </c>
      <c r="O136" s="300">
        <f t="shared" si="334"/>
        <v>23.294999999894454</v>
      </c>
      <c r="P136" s="300"/>
      <c r="Q136" s="300">
        <f>SUM(Q134:Q135)</f>
        <v>19.620000000098294</v>
      </c>
      <c r="R136" s="300">
        <f t="shared" ref="R136" si="343">SUM(R134:R135)</f>
        <v>0.6369999999981899</v>
      </c>
      <c r="S136" s="300">
        <f t="shared" ref="S136" si="344">SUM(S134:S135)</f>
        <v>0.87299999996967848</v>
      </c>
      <c r="T136" s="300">
        <f t="shared" si="335"/>
        <v>21.130000000066161</v>
      </c>
      <c r="U136" s="300"/>
      <c r="V136" s="300">
        <f>SUM(V134:V135)</f>
        <v>20.214000000003612</v>
      </c>
      <c r="W136" s="300">
        <f t="shared" ref="W136" si="345">SUM(W134:W135)</f>
        <v>0.68699999999400663</v>
      </c>
      <c r="X136" s="300">
        <f t="shared" ref="X136" si="346">SUM(X134:X135)</f>
        <v>0.88699999998093493</v>
      </c>
      <c r="Y136" s="300">
        <f t="shared" si="336"/>
        <v>21.787999999978556</v>
      </c>
    </row>
    <row r="137" spans="1:25" x14ac:dyDescent="0.2">
      <c r="C137" s="319"/>
      <c r="D137" s="319"/>
      <c r="E137" s="319"/>
      <c r="F137" s="319"/>
      <c r="G137" s="319"/>
      <c r="H137" s="319"/>
      <c r="I137" s="319"/>
      <c r="J137" s="319"/>
      <c r="K137" s="319"/>
      <c r="L137" s="319"/>
      <c r="M137" s="319"/>
      <c r="N137" s="319"/>
      <c r="O137" s="319"/>
      <c r="P137" s="319"/>
      <c r="Q137" s="319"/>
      <c r="R137" s="319"/>
      <c r="S137" s="319"/>
      <c r="T137" s="319"/>
      <c r="U137" s="319"/>
      <c r="V137" s="319"/>
      <c r="W137" s="319"/>
      <c r="X137" s="319"/>
      <c r="Y137" s="319"/>
    </row>
    <row r="138" spans="1:25" x14ac:dyDescent="0.2">
      <c r="A138" s="261" t="str">
        <f>name!A24</f>
        <v>Furniture</v>
      </c>
      <c r="C138" s="263"/>
    </row>
    <row r="139" spans="1:25" x14ac:dyDescent="0.2">
      <c r="A139" s="260" t="s">
        <v>356</v>
      </c>
      <c r="B139" s="300">
        <v>1.5869999999892566</v>
      </c>
      <c r="C139" s="300">
        <v>0.55100000001656846</v>
      </c>
      <c r="D139" s="300">
        <v>0.36200000000288185</v>
      </c>
      <c r="E139" s="300">
        <f>SUM(B139:D139)</f>
        <v>2.5000000000087068</v>
      </c>
      <c r="F139" s="300"/>
      <c r="G139" s="300">
        <v>1.2129999999827445</v>
      </c>
      <c r="H139" s="300">
        <v>0.29899999999926924</v>
      </c>
      <c r="I139" s="300">
        <v>4.1000000001297193E-2</v>
      </c>
      <c r="J139" s="300">
        <f>SUM(G139:I139)</f>
        <v>1.5529999999833108</v>
      </c>
      <c r="K139" s="300"/>
      <c r="L139" s="300">
        <v>1.1549999999890821</v>
      </c>
      <c r="M139" s="300">
        <v>0.32600000000849411</v>
      </c>
      <c r="N139" s="300">
        <v>9.4999999996453366E-2</v>
      </c>
      <c r="O139" s="300">
        <f>SUM(L139:N139)</f>
        <v>1.5759999999940297</v>
      </c>
      <c r="P139" s="300"/>
      <c r="Q139" s="300">
        <v>1.0510000000300483</v>
      </c>
      <c r="R139" s="300">
        <v>0.29700000000431631</v>
      </c>
      <c r="S139" s="300">
        <v>8.3000000000588353E-2</v>
      </c>
      <c r="T139" s="300">
        <f>SUM(Q139:S139)</f>
        <v>1.431000000034953</v>
      </c>
      <c r="U139" s="300"/>
      <c r="V139" s="300">
        <v>1.0820000000010972</v>
      </c>
      <c r="W139" s="300">
        <v>0.30399999999578103</v>
      </c>
      <c r="X139" s="300">
        <v>8.0000000000980648E-2</v>
      </c>
      <c r="Y139" s="300">
        <f>SUM(V139:X139)</f>
        <v>1.4659999999978588</v>
      </c>
    </row>
    <row r="140" spans="1:25" x14ac:dyDescent="0.2">
      <c r="A140" s="260" t="s">
        <v>355</v>
      </c>
      <c r="B140" s="300">
        <v>8.5419999999109795</v>
      </c>
      <c r="C140" s="300">
        <v>0.28199999999992148</v>
      </c>
      <c r="D140" s="300">
        <v>1.4219999999902961</v>
      </c>
      <c r="E140" s="300">
        <f t="shared" ref="E140:E141" si="347">SUM(B140:D140)</f>
        <v>10.245999999901198</v>
      </c>
      <c r="F140" s="300"/>
      <c r="G140" s="300">
        <v>6.0880000000043237</v>
      </c>
      <c r="H140" s="300">
        <v>0.2560000000017093</v>
      </c>
      <c r="I140" s="300">
        <v>0.64800000000009261</v>
      </c>
      <c r="J140" s="300">
        <f t="shared" ref="J140:J141" si="348">SUM(G140:I140)</f>
        <v>6.9920000000061258</v>
      </c>
      <c r="K140" s="300"/>
      <c r="L140" s="300">
        <v>6.3710000000279265</v>
      </c>
      <c r="M140" s="300">
        <v>0.44500000000350848</v>
      </c>
      <c r="N140" s="300">
        <v>0.37999999999887452</v>
      </c>
      <c r="O140" s="300">
        <f t="shared" ref="O140:O141" si="349">SUM(L140:N140)</f>
        <v>7.1960000000303097</v>
      </c>
      <c r="P140" s="300"/>
      <c r="Q140" s="300">
        <v>5.7920000000408409</v>
      </c>
      <c r="R140" s="300">
        <v>0.3970000000020113</v>
      </c>
      <c r="S140" s="300">
        <v>0.3549999999978708</v>
      </c>
      <c r="T140" s="300">
        <f t="shared" ref="T140:T141" si="350">SUM(Q140:S140)</f>
        <v>6.5440000000407226</v>
      </c>
      <c r="U140" s="300"/>
      <c r="V140" s="300">
        <v>5.8970000000456135</v>
      </c>
      <c r="W140" s="300">
        <v>0.39700000000289565</v>
      </c>
      <c r="X140" s="300">
        <v>0.33799999999939911</v>
      </c>
      <c r="Y140" s="300">
        <f t="shared" ref="Y140:Y141" si="351">SUM(V140:X140)</f>
        <v>6.632000000047908</v>
      </c>
    </row>
    <row r="141" spans="1:25" x14ac:dyDescent="0.2">
      <c r="A141" s="260" t="s">
        <v>354</v>
      </c>
      <c r="B141" s="300">
        <f>SUM(B139:B140)</f>
        <v>10.128999999900236</v>
      </c>
      <c r="C141" s="300">
        <f t="shared" ref="C141" si="352">SUM(C139:C140)</f>
        <v>0.83300000001648988</v>
      </c>
      <c r="D141" s="300">
        <f t="shared" ref="D141" si="353">SUM(D139:D140)</f>
        <v>1.7839999999931779</v>
      </c>
      <c r="E141" s="300">
        <f t="shared" si="347"/>
        <v>12.745999999909904</v>
      </c>
      <c r="F141" s="300"/>
      <c r="G141" s="300">
        <f>SUM(G139:G140)</f>
        <v>7.3009999999870683</v>
      </c>
      <c r="H141" s="300">
        <f t="shared" ref="H141" si="354">SUM(H139:H140)</f>
        <v>0.55500000000097849</v>
      </c>
      <c r="I141" s="300">
        <f t="shared" ref="I141" si="355">SUM(I139:I140)</f>
        <v>0.68900000000138983</v>
      </c>
      <c r="J141" s="300">
        <f t="shared" si="348"/>
        <v>8.5449999999894359</v>
      </c>
      <c r="K141" s="300"/>
      <c r="L141" s="300">
        <f>SUM(L139:L140)</f>
        <v>7.5260000000170084</v>
      </c>
      <c r="M141" s="300">
        <f t="shared" ref="M141" si="356">SUM(M139:M140)</f>
        <v>0.77100000001200253</v>
      </c>
      <c r="N141" s="300">
        <f t="shared" ref="N141" si="357">SUM(N139:N140)</f>
        <v>0.47499999999532788</v>
      </c>
      <c r="O141" s="300">
        <f t="shared" si="349"/>
        <v>8.7720000000243381</v>
      </c>
      <c r="P141" s="300"/>
      <c r="Q141" s="300">
        <f>SUM(Q139:Q140)</f>
        <v>6.843000000070889</v>
      </c>
      <c r="R141" s="300">
        <f t="shared" ref="R141" si="358">SUM(R139:R140)</f>
        <v>0.69400000000632756</v>
      </c>
      <c r="S141" s="300">
        <f t="shared" ref="S141" si="359">SUM(S139:S140)</f>
        <v>0.43799999999845918</v>
      </c>
      <c r="T141" s="300">
        <f t="shared" si="350"/>
        <v>7.975000000075676</v>
      </c>
      <c r="U141" s="300"/>
      <c r="V141" s="300">
        <f>SUM(V139:V140)</f>
        <v>6.9790000000467103</v>
      </c>
      <c r="W141" s="300">
        <f t="shared" ref="W141" si="360">SUM(W139:W140)</f>
        <v>0.70099999999867668</v>
      </c>
      <c r="X141" s="300">
        <f t="shared" ref="X141" si="361">SUM(X139:X140)</f>
        <v>0.41800000000037973</v>
      </c>
      <c r="Y141" s="300">
        <f t="shared" si="351"/>
        <v>8.0980000000457668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1" t="str">
        <f>name!A25</f>
        <v>Other manufacturing</v>
      </c>
      <c r="C143" s="263"/>
    </row>
    <row r="144" spans="1:25" x14ac:dyDescent="0.2">
      <c r="A144" s="260" t="s">
        <v>356</v>
      </c>
      <c r="B144" s="300">
        <v>1.346999999991052</v>
      </c>
      <c r="C144" s="300">
        <v>0.39000000001145385</v>
      </c>
      <c r="D144" s="300">
        <v>0.16300000000129791</v>
      </c>
      <c r="E144" s="300">
        <f>SUM(B144:D144)</f>
        <v>1.9000000000038038</v>
      </c>
      <c r="F144" s="300"/>
      <c r="G144" s="300">
        <v>1.4409999999791576</v>
      </c>
      <c r="H144" s="300">
        <v>0.35899999999906435</v>
      </c>
      <c r="I144" s="300">
        <v>0.3450000000109143</v>
      </c>
      <c r="J144" s="300">
        <f>SUM(G144:I144)</f>
        <v>2.1449999999891363</v>
      </c>
      <c r="K144" s="300"/>
      <c r="L144" s="300">
        <v>1.3709999999869935</v>
      </c>
      <c r="M144" s="300">
        <v>0.39100000000994511</v>
      </c>
      <c r="N144" s="300">
        <v>6.0999999997722938E-2</v>
      </c>
      <c r="O144" s="300">
        <f>SUM(L144:N144)</f>
        <v>1.8229999999946616</v>
      </c>
      <c r="P144" s="300"/>
      <c r="Q144" s="300">
        <v>1.2490000000360797</v>
      </c>
      <c r="R144" s="300">
        <v>0.35500000000501136</v>
      </c>
      <c r="S144" s="300">
        <v>5.3000000000375504E-2</v>
      </c>
      <c r="T144" s="300">
        <f>SUM(Q144:S144)</f>
        <v>1.6570000000414664</v>
      </c>
      <c r="U144" s="300"/>
      <c r="V144" s="300">
        <v>1.2850000000013306</v>
      </c>
      <c r="W144" s="300">
        <v>0.36399999999507476</v>
      </c>
      <c r="X144" s="300">
        <v>5.2000000000637203E-2</v>
      </c>
      <c r="Y144" s="300">
        <f>SUM(V144:X144)</f>
        <v>1.7009999999970424</v>
      </c>
    </row>
    <row r="145" spans="1:25" x14ac:dyDescent="0.2">
      <c r="A145" s="260" t="s">
        <v>355</v>
      </c>
      <c r="B145" s="300">
        <v>3.1199999999728441</v>
      </c>
      <c r="C145" s="300">
        <v>0.12499999999981759</v>
      </c>
      <c r="D145" s="300">
        <v>0.52399999999642477</v>
      </c>
      <c r="E145" s="300">
        <f t="shared" ref="E145:E146" si="362">SUM(B145:D145)</f>
        <v>3.7689999999690862</v>
      </c>
      <c r="F145" s="300"/>
      <c r="G145" s="300">
        <v>3.1129999999986993</v>
      </c>
      <c r="H145" s="300">
        <v>0.19200000000035139</v>
      </c>
      <c r="I145" s="300">
        <v>0.34100000000004915</v>
      </c>
      <c r="J145" s="300">
        <f t="shared" ref="J145:J146" si="363">SUM(G145:I145)</f>
        <v>3.6459999999990997</v>
      </c>
      <c r="K145" s="300"/>
      <c r="L145" s="300">
        <v>3.2580000000038605</v>
      </c>
      <c r="M145" s="300">
        <v>0.3330000000013742</v>
      </c>
      <c r="N145" s="300">
        <v>0.50299999999851075</v>
      </c>
      <c r="O145" s="300">
        <f t="shared" ref="O145:O146" si="364">SUM(L145:N145)</f>
        <v>4.0940000000037458</v>
      </c>
      <c r="P145" s="300"/>
      <c r="Q145" s="300">
        <v>2.9620000000106446</v>
      </c>
      <c r="R145" s="300">
        <v>0.29800000000053173</v>
      </c>
      <c r="S145" s="300">
        <v>0.42299999999746452</v>
      </c>
      <c r="T145" s="300">
        <f t="shared" ref="T145:T146" si="365">SUM(Q145:S145)</f>
        <v>3.6830000000086409</v>
      </c>
      <c r="U145" s="300"/>
      <c r="V145" s="300">
        <v>3.0160000000073284</v>
      </c>
      <c r="W145" s="300">
        <v>0.29800000000050331</v>
      </c>
      <c r="X145" s="300">
        <v>0.37599999999933265</v>
      </c>
      <c r="Y145" s="300">
        <f t="shared" ref="Y145:Y146" si="366">SUM(V145:X145)</f>
        <v>3.6900000000071644</v>
      </c>
    </row>
    <row r="146" spans="1:25" x14ac:dyDescent="0.2">
      <c r="A146" s="260" t="s">
        <v>354</v>
      </c>
      <c r="B146" s="300">
        <f>SUM(B144:B145)</f>
        <v>4.4669999999638961</v>
      </c>
      <c r="C146" s="300">
        <f t="shared" ref="C146" si="367">SUM(C144:C145)</f>
        <v>0.51500000001127144</v>
      </c>
      <c r="D146" s="300">
        <f t="shared" ref="D146" si="368">SUM(D144:D145)</f>
        <v>0.68699999999772265</v>
      </c>
      <c r="E146" s="300">
        <f t="shared" si="362"/>
        <v>5.6689999999728906</v>
      </c>
      <c r="F146" s="300"/>
      <c r="G146" s="300">
        <f>SUM(G144:G145)</f>
        <v>4.5539999999778571</v>
      </c>
      <c r="H146" s="300">
        <f t="shared" ref="H146" si="369">SUM(H144:H145)</f>
        <v>0.55099999999941573</v>
      </c>
      <c r="I146" s="300">
        <f t="shared" ref="I146" si="370">SUM(I144:I145)</f>
        <v>0.6860000000109634</v>
      </c>
      <c r="J146" s="300">
        <f t="shared" si="363"/>
        <v>5.7909999999882364</v>
      </c>
      <c r="K146" s="300"/>
      <c r="L146" s="300">
        <f>SUM(L144:L145)</f>
        <v>4.628999999990854</v>
      </c>
      <c r="M146" s="300">
        <f t="shared" ref="M146" si="371">SUM(M144:M145)</f>
        <v>0.72400000001131937</v>
      </c>
      <c r="N146" s="300">
        <f t="shared" ref="N146" si="372">SUM(N144:N145)</f>
        <v>0.56399999999623374</v>
      </c>
      <c r="O146" s="300">
        <f t="shared" si="364"/>
        <v>5.9169999999984064</v>
      </c>
      <c r="P146" s="300"/>
      <c r="Q146" s="300">
        <f>SUM(Q144:Q145)</f>
        <v>4.2110000000467238</v>
      </c>
      <c r="R146" s="300">
        <f t="shared" ref="R146" si="373">SUM(R144:R145)</f>
        <v>0.65300000000554315</v>
      </c>
      <c r="S146" s="300">
        <f t="shared" ref="S146" si="374">SUM(S144:S145)</f>
        <v>0.47599999999784004</v>
      </c>
      <c r="T146" s="300">
        <f t="shared" si="365"/>
        <v>5.3400000000501064</v>
      </c>
      <c r="U146" s="300"/>
      <c r="V146" s="300">
        <f>SUM(V144:V145)</f>
        <v>4.301000000008659</v>
      </c>
      <c r="W146" s="300">
        <f t="shared" ref="W146" si="375">SUM(W144:W145)</f>
        <v>0.66199999999557813</v>
      </c>
      <c r="X146" s="300">
        <f t="shared" ref="X146" si="376">SUM(X144:X145)</f>
        <v>0.42799999999996985</v>
      </c>
      <c r="Y146" s="300">
        <f t="shared" si="366"/>
        <v>5.3910000000042073</v>
      </c>
    </row>
    <row r="147" spans="1:25" x14ac:dyDescent="0.2">
      <c r="C147" s="319"/>
      <c r="D147" s="319"/>
      <c r="E147" s="319"/>
      <c r="F147" s="319"/>
      <c r="G147" s="319"/>
      <c r="H147" s="319"/>
      <c r="I147" s="319"/>
      <c r="J147" s="319"/>
      <c r="K147" s="319"/>
      <c r="L147" s="319"/>
      <c r="M147" s="319"/>
      <c r="N147" s="319"/>
      <c r="O147" s="319"/>
      <c r="P147" s="319"/>
      <c r="Q147" s="319"/>
      <c r="R147" s="319"/>
      <c r="S147" s="319"/>
      <c r="T147" s="319"/>
      <c r="U147" s="319"/>
      <c r="V147" s="319"/>
      <c r="W147" s="319"/>
      <c r="X147" s="319"/>
      <c r="Y147" s="319"/>
    </row>
    <row r="148" spans="1:25" x14ac:dyDescent="0.2">
      <c r="A148" s="261" t="str">
        <f>name!A26</f>
        <v>Repair and installation</v>
      </c>
      <c r="C148" s="263"/>
    </row>
    <row r="149" spans="1:25" x14ac:dyDescent="0.2">
      <c r="A149" s="260" t="s">
        <v>356</v>
      </c>
      <c r="B149" s="300">
        <v>1.3459999999955441</v>
      </c>
      <c r="C149" s="300">
        <v>0.61200000001093147</v>
      </c>
      <c r="D149" s="300">
        <v>0.18400000000168421</v>
      </c>
      <c r="E149" s="300">
        <f>SUM(B149:D149)</f>
        <v>2.1420000000081596</v>
      </c>
      <c r="F149" s="300"/>
      <c r="G149" s="300">
        <v>1.609999999973996</v>
      </c>
      <c r="H149" s="300">
        <v>0.19599999999901294</v>
      </c>
      <c r="I149" s="300">
        <v>0.12000000000149311</v>
      </c>
      <c r="J149" s="300">
        <f>SUM(G149:I149)</f>
        <v>1.9259999999745021</v>
      </c>
      <c r="K149" s="300"/>
      <c r="L149" s="300">
        <v>1.531999999988938</v>
      </c>
      <c r="M149" s="300">
        <v>0.21400000000315841</v>
      </c>
      <c r="N149" s="300">
        <v>6.5999999999009878E-2</v>
      </c>
      <c r="O149" s="300">
        <f>SUM(L149:N149)</f>
        <v>1.8119999999911063</v>
      </c>
      <c r="P149" s="300"/>
      <c r="Q149" s="300">
        <v>1.3950000000384446</v>
      </c>
      <c r="R149" s="300">
        <v>0.19400000000052381</v>
      </c>
      <c r="S149" s="300">
        <v>5.7000000000023351E-2</v>
      </c>
      <c r="T149" s="300">
        <f>SUM(Q149:S149)</f>
        <v>1.6460000000389916</v>
      </c>
      <c r="U149" s="300"/>
      <c r="V149" s="300">
        <v>1.4359999999968101</v>
      </c>
      <c r="W149" s="300">
        <v>0.198999999997959</v>
      </c>
      <c r="X149" s="300">
        <v>5.5000000001094451E-2</v>
      </c>
      <c r="Y149" s="300">
        <f>SUM(V149:X149)</f>
        <v>1.6899999999958635</v>
      </c>
    </row>
    <row r="150" spans="1:25" x14ac:dyDescent="0.2">
      <c r="A150" s="260" t="s">
        <v>355</v>
      </c>
      <c r="B150" s="300">
        <v>6.9039999999712567</v>
      </c>
      <c r="C150" s="300">
        <v>0.47599999999938286</v>
      </c>
      <c r="D150" s="300">
        <v>1.428999999993996</v>
      </c>
      <c r="E150" s="300">
        <f t="shared" ref="E150:E151" si="377">SUM(B150:D150)</f>
        <v>8.8089999999646356</v>
      </c>
      <c r="F150" s="300"/>
      <c r="G150" s="300">
        <v>7.6989999999809351</v>
      </c>
      <c r="H150" s="300">
        <v>0.25500000000040562</v>
      </c>
      <c r="I150" s="300">
        <v>0.88200000000970002</v>
      </c>
      <c r="J150" s="300">
        <f t="shared" ref="J150:J151" si="378">SUM(G150:I150)</f>
        <v>8.8359999999910404</v>
      </c>
      <c r="K150" s="300"/>
      <c r="L150" s="300">
        <v>8.0569999999742432</v>
      </c>
      <c r="M150" s="300">
        <v>0.44300000000027706</v>
      </c>
      <c r="N150" s="300">
        <v>1.8009999999988777</v>
      </c>
      <c r="O150" s="300">
        <f t="shared" ref="O150:O151" si="379">SUM(L150:N150)</f>
        <v>10.300999999973397</v>
      </c>
      <c r="P150" s="300"/>
      <c r="Q150" s="300">
        <v>7.3240000000065155</v>
      </c>
      <c r="R150" s="300">
        <v>0.39599999999996349</v>
      </c>
      <c r="S150" s="300">
        <v>1.7239999999833311</v>
      </c>
      <c r="T150" s="300">
        <f t="shared" ref="T150:T151" si="380">SUM(Q150:S150)</f>
        <v>9.4439999999898099</v>
      </c>
      <c r="U150" s="300"/>
      <c r="V150" s="300">
        <v>7.4579999999983482</v>
      </c>
      <c r="W150" s="300">
        <v>0.3959999999994151</v>
      </c>
      <c r="X150" s="300">
        <v>2.0229999999895214</v>
      </c>
      <c r="Y150" s="300">
        <f t="shared" ref="Y150:Y151" si="381">SUM(V150:X150)</f>
        <v>9.8769999999872855</v>
      </c>
    </row>
    <row r="151" spans="1:25" x14ac:dyDescent="0.2">
      <c r="A151" s="260" t="s">
        <v>354</v>
      </c>
      <c r="B151" s="300">
        <f>SUM(B149:B150)</f>
        <v>8.2499999999667999</v>
      </c>
      <c r="C151" s="300">
        <f t="shared" ref="C151" si="382">SUM(C149:C150)</f>
        <v>1.0880000000103143</v>
      </c>
      <c r="D151" s="300">
        <f t="shared" ref="D151" si="383">SUM(D149:D150)</f>
        <v>1.6129999999956801</v>
      </c>
      <c r="E151" s="300">
        <f t="shared" si="377"/>
        <v>10.950999999972794</v>
      </c>
      <c r="F151" s="300"/>
      <c r="G151" s="300">
        <f>SUM(G149:G150)</f>
        <v>9.3089999999549313</v>
      </c>
      <c r="H151" s="300">
        <f t="shared" ref="H151" si="384">SUM(H149:H150)</f>
        <v>0.45099999999941853</v>
      </c>
      <c r="I151" s="300">
        <f t="shared" ref="I151" si="385">SUM(I149:I150)</f>
        <v>1.002000000011193</v>
      </c>
      <c r="J151" s="300">
        <f t="shared" si="378"/>
        <v>10.761999999965543</v>
      </c>
      <c r="K151" s="300"/>
      <c r="L151" s="300">
        <f>SUM(L149:L150)</f>
        <v>9.5889999999631819</v>
      </c>
      <c r="M151" s="300">
        <f t="shared" ref="M151" si="386">SUM(M149:M150)</f>
        <v>0.6570000000034355</v>
      </c>
      <c r="N151" s="300">
        <f t="shared" ref="N151" si="387">SUM(N149:N150)</f>
        <v>1.8669999999978877</v>
      </c>
      <c r="O151" s="300">
        <f t="shared" si="379"/>
        <v>12.112999999964504</v>
      </c>
      <c r="P151" s="300"/>
      <c r="Q151" s="300">
        <f>SUM(Q149:Q150)</f>
        <v>8.7190000000449608</v>
      </c>
      <c r="R151" s="300">
        <f t="shared" ref="R151" si="388">SUM(R149:R150)</f>
        <v>0.59000000000048725</v>
      </c>
      <c r="S151" s="300">
        <f t="shared" ref="S151" si="389">SUM(S149:S150)</f>
        <v>1.7809999999833543</v>
      </c>
      <c r="T151" s="300">
        <f t="shared" si="380"/>
        <v>11.090000000028802</v>
      </c>
      <c r="U151" s="300"/>
      <c r="V151" s="300">
        <f>SUM(V149:V150)</f>
        <v>8.8939999999951578</v>
      </c>
      <c r="W151" s="300">
        <f t="shared" ref="W151" si="390">SUM(W149:W150)</f>
        <v>0.59499999999737407</v>
      </c>
      <c r="X151" s="300">
        <f t="shared" ref="X151" si="391">SUM(X149:X150)</f>
        <v>2.0779999999906158</v>
      </c>
      <c r="Y151" s="300">
        <f t="shared" si="381"/>
        <v>11.566999999983146</v>
      </c>
    </row>
    <row r="152" spans="1:25" x14ac:dyDescent="0.2">
      <c r="C152" s="263"/>
    </row>
    <row r="153" spans="1:25" x14ac:dyDescent="0.2">
      <c r="A153" s="261" t="s">
        <v>370</v>
      </c>
    </row>
    <row r="154" spans="1:25" x14ac:dyDescent="0.2">
      <c r="A154" s="260" t="s">
        <v>356</v>
      </c>
      <c r="B154" s="300">
        <f>SUM(B74,B79,B84,B89,B94,B99,B104,B109,B114,B119,B124,B129,B134,B139,B144,B149)</f>
        <v>27.656999999842004</v>
      </c>
      <c r="C154" s="300">
        <f t="shared" ref="C154:D155" si="392">SUM(C74,C79,C84,C89,C94,C99,C104,C109,C114,C119,C124,C129,C134,C139,C144,C149)</f>
        <v>10.717000000303942</v>
      </c>
      <c r="D154" s="300">
        <f t="shared" si="392"/>
        <v>3.396000000033168</v>
      </c>
      <c r="E154" s="300">
        <f>SUM(B154:D154)</f>
        <v>41.770000000179117</v>
      </c>
      <c r="F154" s="300"/>
      <c r="G154" s="300">
        <f>SUM(G74,G79,G84,G89,G94,G99,G104,G109,G114,G119,G124,G129,G134,G139,G144,G149)</f>
        <v>31.752999999639474</v>
      </c>
      <c r="H154" s="300">
        <f t="shared" ref="H154:I154" si="393">SUM(H74,H79,H84,H89,H94,H99,H104,H109,H114,H119,H124,H129,H134,H139,H144,H149)</f>
        <v>10.382999999975686</v>
      </c>
      <c r="I154" s="300">
        <f t="shared" si="393"/>
        <v>5.5210000001142969</v>
      </c>
      <c r="J154" s="300">
        <f>SUM(G154:I154)</f>
        <v>47.656999999729457</v>
      </c>
      <c r="K154" s="300"/>
      <c r="L154" s="300">
        <f>SUM(L74,L79,L84,L89,L94,L99,L104,L109,L114,L119,L124,L129,L134,L139,L144,L149)</f>
        <v>29.155999999767158</v>
      </c>
      <c r="M154" s="300">
        <f t="shared" ref="M154:N154" si="394">SUM(M74,M79,M84,M89,M94,M99,M104,M109,M114,M119,M124,M129,M134,M139,M144,M149)</f>
        <v>10.883000000266222</v>
      </c>
      <c r="N154" s="300">
        <f t="shared" si="394"/>
        <v>2.2269999999441836</v>
      </c>
      <c r="O154" s="300">
        <f>SUM(L154:N154)</f>
        <v>42.265999999977566</v>
      </c>
      <c r="P154" s="300"/>
      <c r="Q154" s="300">
        <f>SUM(Q74,Q79,Q84,Q89,Q94,Q99,Q104,Q109,Q114,Q119,Q124,Q129,Q134,Q139,Q144,Q149)</f>
        <v>27.321000000611065</v>
      </c>
      <c r="R154" s="300">
        <f t="shared" ref="R154:S154" si="395">SUM(R74,R79,R84,R89,R94,R99,R104,R109,R114,R119,R124,R129,R134,R139,R144,R149)</f>
        <v>10.055000000129207</v>
      </c>
      <c r="S154" s="300">
        <f t="shared" si="395"/>
        <v>1.9820000000034066</v>
      </c>
      <c r="T154" s="300">
        <f>SUM(Q154:S154)</f>
        <v>39.358000000743679</v>
      </c>
      <c r="U154" s="300"/>
      <c r="V154" s="300">
        <f>SUM(V74,V79,V84,V89,V94,V99,V104,V109,V114,V119,V124,V129,V134,V139,V144,V149)</f>
        <v>25.683000000021131</v>
      </c>
      <c r="W154" s="300">
        <f t="shared" ref="W154:X154" si="396">SUM(W74,W79,W84,W89,W94,W99,W104,W109,W114,W119,W124,W129,W134,W139,W144,W149)</f>
        <v>9.191999999872893</v>
      </c>
      <c r="X154" s="300">
        <f t="shared" si="396"/>
        <v>1.7170000000023959</v>
      </c>
      <c r="Y154" s="300">
        <f>SUM(V154:X154)</f>
        <v>36.591999999896416</v>
      </c>
    </row>
    <row r="155" spans="1:25" x14ac:dyDescent="0.2">
      <c r="A155" s="260" t="s">
        <v>355</v>
      </c>
      <c r="B155" s="300">
        <f>SUM(B75,B80,B85,B90,B95,B100,B105,B110,B115,B120,B125,B130,B135,B140,B145,B150)</f>
        <v>129.1249999989426</v>
      </c>
      <c r="C155" s="300">
        <f t="shared" si="392"/>
        <v>4.1249999999918971</v>
      </c>
      <c r="D155" s="300">
        <f t="shared" si="392"/>
        <v>10.572999999988848</v>
      </c>
      <c r="E155" s="300">
        <f t="shared" ref="E155:E156" si="397">SUM(B155:D155)</f>
        <v>143.82299999892334</v>
      </c>
      <c r="F155" s="300"/>
      <c r="G155" s="300">
        <f>SUM(G75,G80,G85,G90,G95,G100,G105,G110,G115,G120,G125,G130,G135,G140,G145,G150)</f>
        <v>133.95199999993724</v>
      </c>
      <c r="H155" s="300">
        <f t="shared" ref="H155:I155" si="398">SUM(H75,H80,H85,H90,H95,H100,H105,H110,H115,H120,H125,H130,H135,H140,H145,H150)</f>
        <v>5.7080000000357085</v>
      </c>
      <c r="I155" s="300">
        <f t="shared" si="398"/>
        <v>8.8340000000552958</v>
      </c>
      <c r="J155" s="300">
        <f t="shared" ref="J155:J156" si="399">SUM(G155:I155)</f>
        <v>148.49400000002822</v>
      </c>
      <c r="K155" s="300"/>
      <c r="L155" s="300">
        <f>SUM(L75,L80,L85,L90,L95,L100,L105,L110,L115,L120,L125,L130,L135,L140,L145,L150)</f>
        <v>129.09000000021504</v>
      </c>
      <c r="M155" s="300">
        <f t="shared" ref="M155:N155" si="400">SUM(M75,M80,M85,M90,M95,M100,M105,M110,M115,M120,M125,M130,M135,M140,M145,M150)</f>
        <v>9.561000000050127</v>
      </c>
      <c r="N155" s="300">
        <f t="shared" si="400"/>
        <v>11.509999999951697</v>
      </c>
      <c r="O155" s="300">
        <f t="shared" ref="O155:O156" si="401">SUM(L155:N155)</f>
        <v>150.16100000021686</v>
      </c>
      <c r="P155" s="300"/>
      <c r="Q155" s="300">
        <f>SUM(Q75,Q80,Q85,Q90,Q95,Q100,Q105,Q110,Q115,Q120,Q125,Q130,Q135,Q140,Q145,Q150)</f>
        <v>120.86600000059045</v>
      </c>
      <c r="R155" s="300">
        <f t="shared" ref="R155:S155" si="402">SUM(R75,R80,R85,R90,R95,R100,R105,R110,R115,R120,R125,R130,R135,R140,R145,R150)</f>
        <v>8.8170000000324187</v>
      </c>
      <c r="S155" s="300">
        <f t="shared" si="402"/>
        <v>10.681999999851167</v>
      </c>
      <c r="T155" s="300">
        <f t="shared" ref="T155:T156" si="403">SUM(Q155:S155)</f>
        <v>140.36500000047403</v>
      </c>
      <c r="U155" s="300"/>
      <c r="V155" s="300">
        <f>SUM(V75,V80,V85,V90,V95,V100,V105,V110,V115,V120,V125,V130,V135,V140,V145,V150)</f>
        <v>111.01000000053834</v>
      </c>
      <c r="W155" s="300">
        <f t="shared" ref="W155" si="404">SUM(W75,W80,W85,W90,W95,W100,W105,W110,W115,W120,W125,W130,W135,W140,W145,W150)</f>
        <v>7.9790000000325847</v>
      </c>
      <c r="X155" s="300">
        <f>SUM(X75,X80,X85,X90,X95,X100,X105,X110,X115,X120,X125,X130,X135,X140,X145,X150)</f>
        <v>10.089999999907571</v>
      </c>
      <c r="Y155" s="300">
        <f t="shared" ref="Y155:Y156" si="405">SUM(V155:X155)</f>
        <v>129.07900000047849</v>
      </c>
    </row>
    <row r="156" spans="1:25" x14ac:dyDescent="0.2">
      <c r="A156" s="264" t="s">
        <v>354</v>
      </c>
      <c r="B156" s="301">
        <f>SUM(B154:B155)</f>
        <v>156.78199999878461</v>
      </c>
      <c r="C156" s="301">
        <f t="shared" ref="C156" si="406">SUM(C154:C155)</f>
        <v>14.84200000029584</v>
      </c>
      <c r="D156" s="301">
        <f t="shared" ref="D156" si="407">SUM(D154:D155)</f>
        <v>13.969000000022017</v>
      </c>
      <c r="E156" s="301">
        <f t="shared" si="397"/>
        <v>185.59299999910249</v>
      </c>
      <c r="F156" s="301"/>
      <c r="G156" s="301">
        <f>SUM(G154:G155)</f>
        <v>165.70499999957673</v>
      </c>
      <c r="H156" s="301">
        <f t="shared" ref="H156" si="408">SUM(H154:H155)</f>
        <v>16.091000000011395</v>
      </c>
      <c r="I156" s="301">
        <f t="shared" ref="I156" si="409">SUM(I154:I155)</f>
        <v>14.355000000169593</v>
      </c>
      <c r="J156" s="301">
        <f t="shared" si="399"/>
        <v>196.15099999975772</v>
      </c>
      <c r="K156" s="301"/>
      <c r="L156" s="301">
        <f>SUM(L154:L155)</f>
        <v>158.24599999998219</v>
      </c>
      <c r="M156" s="301">
        <f t="shared" ref="M156" si="410">SUM(M154:M155)</f>
        <v>20.44400000031635</v>
      </c>
      <c r="N156" s="301">
        <f t="shared" ref="N156" si="411">SUM(N154:N155)</f>
        <v>13.736999999895881</v>
      </c>
      <c r="O156" s="301">
        <f t="shared" si="401"/>
        <v>192.42700000019443</v>
      </c>
      <c r="P156" s="301"/>
      <c r="Q156" s="301">
        <f>SUM(Q154:Q155)</f>
        <v>148.18700000120151</v>
      </c>
      <c r="R156" s="301">
        <f t="shared" ref="R156" si="412">SUM(R154:R155)</f>
        <v>18.872000000161627</v>
      </c>
      <c r="S156" s="301">
        <f t="shared" ref="S156" si="413">SUM(S154:S155)</f>
        <v>12.663999999854573</v>
      </c>
      <c r="T156" s="301">
        <f t="shared" si="403"/>
        <v>179.72300000121771</v>
      </c>
      <c r="U156" s="301"/>
      <c r="V156" s="301">
        <f>SUM(V154:V155)</f>
        <v>136.69300000055946</v>
      </c>
      <c r="W156" s="301">
        <f t="shared" ref="W156" si="414">SUM(W154:W155)</f>
        <v>17.170999999905476</v>
      </c>
      <c r="X156" s="301">
        <f t="shared" ref="X156" si="415">SUM(X154:X155)</f>
        <v>11.806999999909966</v>
      </c>
      <c r="Y156" s="301">
        <f t="shared" si="405"/>
        <v>165.67100000037493</v>
      </c>
    </row>
    <row r="157" spans="1:25" x14ac:dyDescent="0.2">
      <c r="C157" s="263"/>
    </row>
    <row r="158" spans="1:25" x14ac:dyDescent="0.2">
      <c r="C158" s="263"/>
    </row>
    <row r="159" spans="1:25" x14ac:dyDescent="0.2">
      <c r="C159" s="263"/>
    </row>
    <row r="160" spans="1:25" ht="15" x14ac:dyDescent="0.25">
      <c r="A160" s="265" t="str">
        <f>"Industry 6 : "&amp; name!B9</f>
        <v>Industry 6 : Electricity and gas</v>
      </c>
      <c r="B160" s="371">
        <f>$B$5</f>
        <v>2015</v>
      </c>
      <c r="C160" s="371"/>
      <c r="D160" s="371"/>
      <c r="E160" s="371"/>
      <c r="F160" s="320"/>
      <c r="G160" s="371">
        <f>$G$5</f>
        <v>2019</v>
      </c>
      <c r="H160" s="371"/>
      <c r="I160" s="371"/>
      <c r="J160" s="371"/>
      <c r="K160" s="320"/>
      <c r="L160" s="371">
        <f>$L$5</f>
        <v>2020</v>
      </c>
      <c r="M160" s="371"/>
      <c r="N160" s="371"/>
      <c r="O160" s="371"/>
      <c r="P160" s="318"/>
      <c r="Q160" s="371">
        <f>$Q$5</f>
        <v>2025</v>
      </c>
      <c r="R160" s="371"/>
      <c r="S160" s="371"/>
      <c r="T160" s="371"/>
      <c r="U160" s="320"/>
      <c r="V160" s="371">
        <f>$V$5</f>
        <v>2035</v>
      </c>
      <c r="W160" s="371"/>
      <c r="X160" s="371"/>
      <c r="Y160" s="371"/>
    </row>
    <row r="161" spans="1:25" x14ac:dyDescent="0.2">
      <c r="A161" s="264"/>
      <c r="B161" s="268" t="str">
        <f>$B$6</f>
        <v>FT</v>
      </c>
      <c r="C161" s="268" t="str">
        <f>$C$6</f>
        <v>PT</v>
      </c>
      <c r="D161" s="268" t="str">
        <f>$D$6</f>
        <v>SE</v>
      </c>
      <c r="E161" s="268" t="str">
        <f>$E$6</f>
        <v>Total</v>
      </c>
      <c r="F161" s="268"/>
      <c r="G161" s="268" t="str">
        <f>$B$6</f>
        <v>FT</v>
      </c>
      <c r="H161" s="268" t="str">
        <f>$C$6</f>
        <v>PT</v>
      </c>
      <c r="I161" s="268" t="str">
        <f>$D$6</f>
        <v>SE</v>
      </c>
      <c r="J161" s="268" t="str">
        <f>$E$6</f>
        <v>Total</v>
      </c>
      <c r="K161" s="268"/>
      <c r="L161" s="268" t="str">
        <f>$L$6</f>
        <v>FT</v>
      </c>
      <c r="M161" s="268" t="str">
        <f>$M$6</f>
        <v>PT</v>
      </c>
      <c r="N161" s="268" t="str">
        <f>$N$6</f>
        <v>SE</v>
      </c>
      <c r="O161" s="268" t="str">
        <f>$O$6</f>
        <v>Total</v>
      </c>
      <c r="P161" s="268"/>
      <c r="Q161" s="268" t="str">
        <f>$L$6</f>
        <v>FT</v>
      </c>
      <c r="R161" s="268" t="str">
        <f>$M$6</f>
        <v>PT</v>
      </c>
      <c r="S161" s="268" t="str">
        <f>$N$6</f>
        <v>SE</v>
      </c>
      <c r="T161" s="268" t="str">
        <f>$O$6</f>
        <v>Total</v>
      </c>
      <c r="U161" s="268"/>
      <c r="V161" s="268" t="str">
        <f>$V$6</f>
        <v>FT</v>
      </c>
      <c r="W161" s="268" t="str">
        <f>$W$6</f>
        <v>PT</v>
      </c>
      <c r="X161" s="268" t="str">
        <f>$X$6</f>
        <v>SE</v>
      </c>
      <c r="Y161" s="268" t="str">
        <f>$Y$6</f>
        <v>Total</v>
      </c>
    </row>
    <row r="162" spans="1:25" x14ac:dyDescent="0.2">
      <c r="C162" s="319"/>
      <c r="D162" s="319"/>
      <c r="E162" s="319"/>
      <c r="F162" s="319"/>
      <c r="G162" s="319"/>
      <c r="H162" s="319"/>
      <c r="I162" s="319"/>
      <c r="J162" s="319"/>
      <c r="K162" s="319"/>
      <c r="L162" s="319"/>
      <c r="M162" s="319"/>
      <c r="N162" s="319"/>
      <c r="O162" s="319"/>
      <c r="P162" s="319"/>
      <c r="Q162" s="319"/>
      <c r="R162" s="319"/>
      <c r="S162" s="319"/>
      <c r="T162" s="319"/>
      <c r="U162" s="319"/>
      <c r="V162" s="319"/>
      <c r="W162" s="319"/>
      <c r="X162" s="319"/>
      <c r="Y162" s="319"/>
    </row>
    <row r="163" spans="1:25" x14ac:dyDescent="0.2">
      <c r="A163" s="261" t="str">
        <f>name!A27</f>
        <v>Electricity, gas, etc</v>
      </c>
      <c r="C163" s="263"/>
    </row>
    <row r="164" spans="1:25" x14ac:dyDescent="0.2">
      <c r="A164" s="260" t="s">
        <v>356</v>
      </c>
      <c r="B164" s="300">
        <v>3.770999999990269</v>
      </c>
      <c r="C164" s="300">
        <v>1.1310000000206863</v>
      </c>
      <c r="D164" s="300">
        <v>1.0000000000034799E-3</v>
      </c>
      <c r="E164" s="300">
        <f>SUM(B164:D164)</f>
        <v>4.9030000000109597</v>
      </c>
      <c r="F164" s="300"/>
      <c r="G164" s="300">
        <v>3.8799999999387991</v>
      </c>
      <c r="H164" s="300">
        <v>1.0960000000016932</v>
      </c>
      <c r="I164" s="300">
        <v>1.000000000012495E-3</v>
      </c>
      <c r="J164" s="300">
        <f>SUM(G164:I164)</f>
        <v>4.9769999999405048</v>
      </c>
      <c r="K164" s="300"/>
      <c r="L164" s="300">
        <v>3.6179999999972901</v>
      </c>
      <c r="M164" s="300">
        <v>0.84800000001822184</v>
      </c>
      <c r="N164" s="300">
        <v>0</v>
      </c>
      <c r="O164" s="300">
        <f>SUM(L164:N164)</f>
        <v>4.4660000000155122</v>
      </c>
      <c r="P164" s="300"/>
      <c r="Q164" s="300">
        <v>3.5980000000532439</v>
      </c>
      <c r="R164" s="300">
        <v>0.83600000001279462</v>
      </c>
      <c r="S164" s="300">
        <v>0</v>
      </c>
      <c r="T164" s="300">
        <f>SUM(Q164:S164)</f>
        <v>4.4340000000660389</v>
      </c>
      <c r="U164" s="300"/>
      <c r="V164" s="300">
        <v>3.7479999999400211</v>
      </c>
      <c r="W164" s="300">
        <v>0.85399999998965559</v>
      </c>
      <c r="X164" s="300">
        <v>0</v>
      </c>
      <c r="Y164" s="300">
        <f>SUM(V164:X164)</f>
        <v>4.601999999929677</v>
      </c>
    </row>
    <row r="165" spans="1:25" x14ac:dyDescent="0.2">
      <c r="A165" s="260" t="s">
        <v>355</v>
      </c>
      <c r="B165" s="300">
        <v>10.757000000011963</v>
      </c>
      <c r="C165" s="300">
        <v>0.68100000000116734</v>
      </c>
      <c r="D165" s="300">
        <v>0.66600000000613069</v>
      </c>
      <c r="E165" s="300">
        <f t="shared" ref="E165:E166" si="416">SUM(B165:D165)</f>
        <v>12.104000000019262</v>
      </c>
      <c r="F165" s="300"/>
      <c r="G165" s="300">
        <v>10.465999999921223</v>
      </c>
      <c r="H165" s="300">
        <v>0.3110000000004039</v>
      </c>
      <c r="I165" s="300">
        <v>0.70599999999985341</v>
      </c>
      <c r="J165" s="300">
        <f t="shared" ref="J165:J166" si="417">SUM(G165:I165)</f>
        <v>11.48299999992148</v>
      </c>
      <c r="K165" s="300"/>
      <c r="L165" s="300">
        <v>9.4569999998789989</v>
      </c>
      <c r="M165" s="300">
        <v>0.1319999999995673</v>
      </c>
      <c r="N165" s="300">
        <v>0</v>
      </c>
      <c r="O165" s="300">
        <f t="shared" ref="O165:O166" si="418">SUM(L165:N165)</f>
        <v>9.5889999998785669</v>
      </c>
      <c r="P165" s="300"/>
      <c r="Q165" s="300">
        <v>9.2589999999434891</v>
      </c>
      <c r="R165" s="300">
        <v>0.1319999999998753</v>
      </c>
      <c r="S165" s="300">
        <v>0</v>
      </c>
      <c r="T165" s="300">
        <f t="shared" ref="T165:T166" si="419">SUM(Q165:S165)</f>
        <v>9.3909999999433644</v>
      </c>
      <c r="U165" s="300"/>
      <c r="V165" s="300">
        <v>9.3439999998992782</v>
      </c>
      <c r="W165" s="300">
        <v>0.13899999999965959</v>
      </c>
      <c r="X165" s="300">
        <v>0</v>
      </c>
      <c r="Y165" s="300">
        <f t="shared" ref="Y165:Y166" si="420">SUM(V165:X165)</f>
        <v>9.4829999998989383</v>
      </c>
    </row>
    <row r="166" spans="1:25" x14ac:dyDescent="0.2">
      <c r="A166" s="264" t="s">
        <v>354</v>
      </c>
      <c r="B166" s="301">
        <f>SUM(B164:B165)</f>
        <v>14.528000000002233</v>
      </c>
      <c r="C166" s="301">
        <f t="shared" ref="C166" si="421">SUM(C164:C165)</f>
        <v>1.8120000000218537</v>
      </c>
      <c r="D166" s="301">
        <f t="shared" ref="D166" si="422">SUM(D164:D165)</f>
        <v>0.66700000000613413</v>
      </c>
      <c r="E166" s="301">
        <f t="shared" si="416"/>
        <v>17.007000000030221</v>
      </c>
      <c r="F166" s="301"/>
      <c r="G166" s="301">
        <f>SUM(G164:G165)</f>
        <v>14.345999999860023</v>
      </c>
      <c r="H166" s="301">
        <f t="shared" ref="H166" si="423">SUM(H164:H165)</f>
        <v>1.407000000002097</v>
      </c>
      <c r="I166" s="301">
        <f t="shared" ref="I166" si="424">SUM(I164:I165)</f>
        <v>0.70699999999986596</v>
      </c>
      <c r="J166" s="301">
        <f t="shared" si="417"/>
        <v>16.459999999861985</v>
      </c>
      <c r="K166" s="301"/>
      <c r="L166" s="301">
        <f>SUM(L164:L165)</f>
        <v>13.074999999876288</v>
      </c>
      <c r="M166" s="301">
        <f t="shared" ref="M166" si="425">SUM(M164:M165)</f>
        <v>0.98000000001778909</v>
      </c>
      <c r="N166" s="301">
        <f t="shared" ref="N166" si="426">SUM(N164:N165)</f>
        <v>0</v>
      </c>
      <c r="O166" s="301">
        <f t="shared" si="418"/>
        <v>14.054999999894077</v>
      </c>
      <c r="P166" s="301"/>
      <c r="Q166" s="301">
        <f>SUM(Q164:Q165)</f>
        <v>12.856999999996733</v>
      </c>
      <c r="R166" s="301">
        <f t="shared" ref="R166" si="427">SUM(R164:R165)</f>
        <v>0.96800000001266995</v>
      </c>
      <c r="S166" s="301">
        <f t="shared" ref="S166" si="428">SUM(S164:S165)</f>
        <v>0</v>
      </c>
      <c r="T166" s="301">
        <f t="shared" si="419"/>
        <v>13.825000000009403</v>
      </c>
      <c r="U166" s="301"/>
      <c r="V166" s="301">
        <f>SUM(V164:V165)</f>
        <v>13.091999999839299</v>
      </c>
      <c r="W166" s="301">
        <f t="shared" ref="W166" si="429">SUM(W164:W165)</f>
        <v>0.99299999998931521</v>
      </c>
      <c r="X166" s="301">
        <f t="shared" ref="X166" si="430">SUM(X164:X165)</f>
        <v>0</v>
      </c>
      <c r="Y166" s="301">
        <f t="shared" si="420"/>
        <v>14.084999999828614</v>
      </c>
    </row>
    <row r="167" spans="1:25" x14ac:dyDescent="0.2">
      <c r="C167" s="263"/>
    </row>
    <row r="168" spans="1:25" x14ac:dyDescent="0.2">
      <c r="C168" s="263"/>
    </row>
    <row r="169" spans="1:25" x14ac:dyDescent="0.2">
      <c r="C169" s="263"/>
    </row>
    <row r="170" spans="1:25" ht="15" x14ac:dyDescent="0.25">
      <c r="A170" s="265" t="str">
        <f>"Industry 7 : "&amp; name!B10</f>
        <v>Industry 7 : Water and sewerage</v>
      </c>
      <c r="B170" s="371">
        <f>$B$5</f>
        <v>2015</v>
      </c>
      <c r="C170" s="371"/>
      <c r="D170" s="371"/>
      <c r="E170" s="371"/>
      <c r="F170" s="320"/>
      <c r="G170" s="371">
        <f>$G$5</f>
        <v>2019</v>
      </c>
      <c r="H170" s="371"/>
      <c r="I170" s="371"/>
      <c r="J170" s="371"/>
      <c r="K170" s="320"/>
      <c r="L170" s="371">
        <f>$L$5</f>
        <v>2020</v>
      </c>
      <c r="M170" s="371"/>
      <c r="N170" s="371"/>
      <c r="O170" s="371"/>
      <c r="P170" s="318"/>
      <c r="Q170" s="371">
        <f>$Q$5</f>
        <v>2025</v>
      </c>
      <c r="R170" s="371"/>
      <c r="S170" s="371"/>
      <c r="T170" s="371"/>
      <c r="U170" s="320"/>
      <c r="V170" s="371">
        <f>$V$5</f>
        <v>2035</v>
      </c>
      <c r="W170" s="371"/>
      <c r="X170" s="371"/>
      <c r="Y170" s="371"/>
    </row>
    <row r="171" spans="1:25" x14ac:dyDescent="0.2">
      <c r="A171" s="264"/>
      <c r="B171" s="268" t="str">
        <f>$B$6</f>
        <v>FT</v>
      </c>
      <c r="C171" s="268" t="str">
        <f>$C$6</f>
        <v>PT</v>
      </c>
      <c r="D171" s="268" t="str">
        <f>$D$6</f>
        <v>SE</v>
      </c>
      <c r="E171" s="268" t="str">
        <f>$E$6</f>
        <v>Total</v>
      </c>
      <c r="F171" s="268"/>
      <c r="G171" s="268" t="str">
        <f>$B$6</f>
        <v>FT</v>
      </c>
      <c r="H171" s="268" t="str">
        <f>$C$6</f>
        <v>PT</v>
      </c>
      <c r="I171" s="268" t="str">
        <f>$D$6</f>
        <v>SE</v>
      </c>
      <c r="J171" s="268" t="str">
        <f>$E$6</f>
        <v>Total</v>
      </c>
      <c r="K171" s="268"/>
      <c r="L171" s="268" t="str">
        <f>$L$6</f>
        <v>FT</v>
      </c>
      <c r="M171" s="268" t="str">
        <f>$M$6</f>
        <v>PT</v>
      </c>
      <c r="N171" s="268" t="str">
        <f>$N$6</f>
        <v>SE</v>
      </c>
      <c r="O171" s="268" t="str">
        <f>$O$6</f>
        <v>Total</v>
      </c>
      <c r="P171" s="268"/>
      <c r="Q171" s="268" t="str">
        <f>$L$6</f>
        <v>FT</v>
      </c>
      <c r="R171" s="268" t="str">
        <f>$M$6</f>
        <v>PT</v>
      </c>
      <c r="S171" s="268" t="str">
        <f>$N$6</f>
        <v>SE</v>
      </c>
      <c r="T171" s="268" t="str">
        <f>$O$6</f>
        <v>Total</v>
      </c>
      <c r="U171" s="268"/>
      <c r="V171" s="268" t="str">
        <f>$V$6</f>
        <v>FT</v>
      </c>
      <c r="W171" s="268" t="str">
        <f>$W$6</f>
        <v>PT</v>
      </c>
      <c r="X171" s="268" t="str">
        <f>$X$6</f>
        <v>SE</v>
      </c>
      <c r="Y171" s="268" t="str">
        <f>$Y$6</f>
        <v>Total</v>
      </c>
    </row>
    <row r="172" spans="1:25" x14ac:dyDescent="0.2">
      <c r="C172" s="319"/>
      <c r="D172" s="319"/>
      <c r="E172" s="319"/>
      <c r="F172" s="319"/>
      <c r="G172" s="319"/>
      <c r="H172" s="319"/>
      <c r="I172" s="319"/>
      <c r="J172" s="319"/>
      <c r="K172" s="319"/>
      <c r="L172" s="319"/>
      <c r="M172" s="319"/>
      <c r="N172" s="319"/>
      <c r="O172" s="319"/>
      <c r="P172" s="319"/>
      <c r="Q172" s="319"/>
      <c r="R172" s="319"/>
      <c r="S172" s="319"/>
      <c r="T172" s="319"/>
      <c r="U172" s="319"/>
      <c r="V172" s="319"/>
      <c r="W172" s="319"/>
      <c r="X172" s="319"/>
      <c r="Y172" s="319"/>
    </row>
    <row r="173" spans="1:25" x14ac:dyDescent="0.2">
      <c r="A173" s="261" t="str">
        <f>name!A28</f>
        <v>Water</v>
      </c>
      <c r="C173" s="263"/>
    </row>
    <row r="174" spans="1:25" x14ac:dyDescent="0.2">
      <c r="A174" s="260" t="s">
        <v>356</v>
      </c>
      <c r="B174" s="300">
        <v>0.26699999999500146</v>
      </c>
      <c r="C174" s="300">
        <v>0.1680000000028323</v>
      </c>
      <c r="D174" s="300">
        <v>0</v>
      </c>
      <c r="E174" s="300">
        <f>SUM(B174:D174)</f>
        <v>0.43499999999783379</v>
      </c>
      <c r="F174" s="300"/>
      <c r="G174" s="300">
        <v>0.32099999999883039</v>
      </c>
      <c r="H174" s="300">
        <v>0.26400000000044416</v>
      </c>
      <c r="I174" s="300">
        <v>0</v>
      </c>
      <c r="J174" s="300">
        <f>SUM(G174:I174)</f>
        <v>0.58499999999927454</v>
      </c>
      <c r="K174" s="300"/>
      <c r="L174" s="300">
        <v>0.30399999999562272</v>
      </c>
      <c r="M174" s="300">
        <v>0.21100000000344385</v>
      </c>
      <c r="N174" s="300">
        <v>3.0999999999515956E-2</v>
      </c>
      <c r="O174" s="300">
        <f>SUM(L174:N174)</f>
        <v>0.54599999999858251</v>
      </c>
      <c r="P174" s="300"/>
      <c r="Q174" s="300">
        <v>0.32700000000752061</v>
      </c>
      <c r="R174" s="300">
        <v>0.22100000000239414</v>
      </c>
      <c r="S174" s="300">
        <v>3.2000000000090102E-2</v>
      </c>
      <c r="T174" s="300">
        <f>SUM(Q174:S174)</f>
        <v>0.58000000001000485</v>
      </c>
      <c r="U174" s="300"/>
      <c r="V174" s="300">
        <v>0.36800000000056726</v>
      </c>
      <c r="W174" s="300">
        <v>0.23699999999632715</v>
      </c>
      <c r="X174" s="300">
        <v>3.3000000000831184E-2</v>
      </c>
      <c r="Y174" s="300">
        <f>SUM(V174:X174)</f>
        <v>0.63799999999772561</v>
      </c>
    </row>
    <row r="175" spans="1:25" x14ac:dyDescent="0.2">
      <c r="A175" s="260" t="s">
        <v>355</v>
      </c>
      <c r="B175" s="300">
        <v>1.5309999999969872</v>
      </c>
      <c r="C175" s="300">
        <v>8.4000000000004987E-2</v>
      </c>
      <c r="D175" s="300">
        <v>2.1999999999718453E-2</v>
      </c>
      <c r="E175" s="300">
        <f t="shared" ref="E175:E176" si="431">SUM(B175:D175)</f>
        <v>1.6369999999967106</v>
      </c>
      <c r="F175" s="300"/>
      <c r="G175" s="300">
        <v>2.0659999999896979</v>
      </c>
      <c r="H175" s="300">
        <v>0.11199999999974958</v>
      </c>
      <c r="I175" s="300">
        <v>0</v>
      </c>
      <c r="J175" s="300">
        <f t="shared" ref="J175:J176" si="432">SUM(G175:I175)</f>
        <v>2.1779999999894475</v>
      </c>
      <c r="K175" s="300"/>
      <c r="L175" s="300">
        <v>1.9319999999842727</v>
      </c>
      <c r="M175" s="300">
        <v>0.10799999999974789</v>
      </c>
      <c r="N175" s="300">
        <v>0</v>
      </c>
      <c r="O175" s="300">
        <f t="shared" ref="O175:O176" si="433">SUM(L175:N175)</f>
        <v>2.0399999999840208</v>
      </c>
      <c r="P175" s="300"/>
      <c r="Q175" s="300">
        <v>1.9859999999950992</v>
      </c>
      <c r="R175" s="300">
        <v>0.11200000000001314</v>
      </c>
      <c r="S175" s="300">
        <v>0</v>
      </c>
      <c r="T175" s="300">
        <f t="shared" ref="T175:T176" si="434">SUM(Q175:S175)</f>
        <v>2.0979999999951122</v>
      </c>
      <c r="U175" s="300"/>
      <c r="V175" s="300">
        <v>2.0509999999826372</v>
      </c>
      <c r="W175" s="300">
        <v>0.1169999999999826</v>
      </c>
      <c r="X175" s="300">
        <v>0</v>
      </c>
      <c r="Y175" s="300">
        <f t="shared" ref="Y175:Y176" si="435">SUM(V175:X175)</f>
        <v>2.1679999999826198</v>
      </c>
    </row>
    <row r="176" spans="1:25" x14ac:dyDescent="0.2">
      <c r="A176" s="260" t="s">
        <v>354</v>
      </c>
      <c r="B176" s="300">
        <f>SUM(B174:B175)</f>
        <v>1.7979999999919887</v>
      </c>
      <c r="C176" s="300">
        <f t="shared" ref="C176" si="436">SUM(C174:C175)</f>
        <v>0.25200000000283729</v>
      </c>
      <c r="D176" s="300">
        <f t="shared" ref="D176" si="437">SUM(D174:D175)</f>
        <v>2.1999999999718453E-2</v>
      </c>
      <c r="E176" s="300">
        <f t="shared" si="431"/>
        <v>2.0719999999945444</v>
      </c>
      <c r="F176" s="300"/>
      <c r="G176" s="300">
        <f>SUM(G174:G175)</f>
        <v>2.3869999999885283</v>
      </c>
      <c r="H176" s="300">
        <f t="shared" ref="H176" si="438">SUM(H174:H175)</f>
        <v>0.37600000000019373</v>
      </c>
      <c r="I176" s="300">
        <f t="shared" ref="I176" si="439">SUM(I174:I175)</f>
        <v>0</v>
      </c>
      <c r="J176" s="300">
        <f t="shared" si="432"/>
        <v>2.7629999999887218</v>
      </c>
      <c r="K176" s="300"/>
      <c r="L176" s="300">
        <f>SUM(L174:L175)</f>
        <v>2.2359999999798954</v>
      </c>
      <c r="M176" s="300">
        <f t="shared" ref="M176" si="440">SUM(M174:M175)</f>
        <v>0.31900000000319173</v>
      </c>
      <c r="N176" s="300">
        <f t="shared" ref="N176" si="441">SUM(N174:N175)</f>
        <v>3.0999999999515956E-2</v>
      </c>
      <c r="O176" s="300">
        <f t="shared" si="433"/>
        <v>2.5859999999826031</v>
      </c>
      <c r="P176" s="300"/>
      <c r="Q176" s="300">
        <f>SUM(Q174:Q175)</f>
        <v>2.3130000000026198</v>
      </c>
      <c r="R176" s="300">
        <f t="shared" ref="R176" si="442">SUM(R174:R175)</f>
        <v>0.33300000000240726</v>
      </c>
      <c r="S176" s="300">
        <f t="shared" ref="S176" si="443">SUM(S174:S175)</f>
        <v>3.2000000000090102E-2</v>
      </c>
      <c r="T176" s="300">
        <f t="shared" si="434"/>
        <v>2.6780000000051172</v>
      </c>
      <c r="U176" s="300"/>
      <c r="V176" s="300">
        <f>SUM(V174:V175)</f>
        <v>2.4189999999832046</v>
      </c>
      <c r="W176" s="300">
        <f t="shared" ref="W176" si="444">SUM(W174:W175)</f>
        <v>0.35399999999630977</v>
      </c>
      <c r="X176" s="300">
        <f t="shared" ref="X176" si="445">SUM(X174:X175)</f>
        <v>3.3000000000831184E-2</v>
      </c>
      <c r="Y176" s="300">
        <f t="shared" si="435"/>
        <v>2.8059999999803455</v>
      </c>
    </row>
    <row r="177" spans="1:25" x14ac:dyDescent="0.2">
      <c r="C177" s="319"/>
      <c r="D177" s="319"/>
      <c r="E177" s="319"/>
      <c r="F177" s="319"/>
      <c r="G177" s="319"/>
      <c r="H177" s="319"/>
      <c r="I177" s="319"/>
      <c r="J177" s="319"/>
      <c r="K177" s="319"/>
      <c r="L177" s="319"/>
      <c r="M177" s="319"/>
      <c r="N177" s="319"/>
      <c r="O177" s="319"/>
      <c r="P177" s="319"/>
      <c r="Q177" s="319"/>
      <c r="R177" s="319"/>
      <c r="S177" s="319"/>
      <c r="T177" s="319"/>
      <c r="U177" s="319"/>
      <c r="V177" s="319"/>
      <c r="W177" s="319"/>
      <c r="X177" s="319"/>
      <c r="Y177" s="319"/>
    </row>
    <row r="178" spans="1:25" x14ac:dyDescent="0.2">
      <c r="A178" s="261" t="str">
        <f>name!A29</f>
        <v>Sewerage</v>
      </c>
      <c r="C178" s="263"/>
    </row>
    <row r="179" spans="1:25" x14ac:dyDescent="0.2">
      <c r="A179" s="260" t="s">
        <v>356</v>
      </c>
      <c r="B179" s="300">
        <v>4.3999999999373859E-2</v>
      </c>
      <c r="C179" s="300">
        <v>4.200000000015261E-2</v>
      </c>
      <c r="D179" s="300">
        <v>0</v>
      </c>
      <c r="E179" s="300">
        <f>SUM(B179:D179)</f>
        <v>8.5999999999526469E-2</v>
      </c>
      <c r="F179" s="300"/>
      <c r="G179" s="300">
        <v>0.10399999999955226</v>
      </c>
      <c r="H179" s="300">
        <v>6.9000000000348408E-2</v>
      </c>
      <c r="I179" s="300">
        <v>0</v>
      </c>
      <c r="J179" s="300">
        <f>SUM(G179:I179)</f>
        <v>0.17299999999990068</v>
      </c>
      <c r="K179" s="300"/>
      <c r="L179" s="300">
        <v>9.8999999998892793E-2</v>
      </c>
      <c r="M179" s="300">
        <v>5.5000000000273386E-2</v>
      </c>
      <c r="N179" s="300">
        <v>8.9999999998389979E-3</v>
      </c>
      <c r="O179" s="300">
        <f>SUM(L179:N179)</f>
        <v>0.16299999999900519</v>
      </c>
      <c r="P179" s="300"/>
      <c r="Q179" s="300">
        <v>0.10600000000195973</v>
      </c>
      <c r="R179" s="300">
        <v>5.8000000000794708E-2</v>
      </c>
      <c r="S179" s="300">
        <v>9.000000000044691E-3</v>
      </c>
      <c r="T179" s="300">
        <f>SUM(Q179:S179)</f>
        <v>0.17300000000279914</v>
      </c>
      <c r="U179" s="300"/>
      <c r="V179" s="300">
        <v>0.12000000000041573</v>
      </c>
      <c r="W179" s="300">
        <v>6.1999999999813135E-2</v>
      </c>
      <c r="X179" s="300">
        <v>9.0000000000071152E-3</v>
      </c>
      <c r="Y179" s="300">
        <f>SUM(V179:X179)</f>
        <v>0.19100000000023598</v>
      </c>
    </row>
    <row r="180" spans="1:25" x14ac:dyDescent="0.2">
      <c r="A180" s="260" t="s">
        <v>355</v>
      </c>
      <c r="B180" s="300">
        <v>0.92299999999009552</v>
      </c>
      <c r="C180" s="300">
        <v>7.9999999999736601E-3</v>
      </c>
      <c r="D180" s="300">
        <v>8.3999999999570682E-2</v>
      </c>
      <c r="E180" s="300">
        <f t="shared" ref="E180:E181" si="446">SUM(B180:D180)</f>
        <v>1.01499999998964</v>
      </c>
      <c r="F180" s="300"/>
      <c r="G180" s="300">
        <v>1.0380000000015857</v>
      </c>
      <c r="H180" s="300">
        <v>1.2000000000110533E-2</v>
      </c>
      <c r="I180" s="300">
        <v>0</v>
      </c>
      <c r="J180" s="300">
        <f t="shared" ref="J180:J181" si="447">SUM(G180:I180)</f>
        <v>1.0500000000016962</v>
      </c>
      <c r="K180" s="300"/>
      <c r="L180" s="300">
        <v>0.97000000000611197</v>
      </c>
      <c r="M180" s="300">
        <v>1.1000000000115808E-2</v>
      </c>
      <c r="N180" s="300">
        <v>0</v>
      </c>
      <c r="O180" s="300">
        <f t="shared" ref="O180:O181" si="448">SUM(L180:N180)</f>
        <v>0.98100000000622778</v>
      </c>
      <c r="P180" s="300"/>
      <c r="Q180" s="300">
        <v>0.99800000000831635</v>
      </c>
      <c r="R180" s="300">
        <v>1.2000000000092489E-2</v>
      </c>
      <c r="S180" s="300">
        <v>0</v>
      </c>
      <c r="T180" s="300">
        <f t="shared" ref="T180:T181" si="449">SUM(Q180:S180)</f>
        <v>1.0100000000084088</v>
      </c>
      <c r="U180" s="300"/>
      <c r="V180" s="300">
        <v>1.030000000009702</v>
      </c>
      <c r="W180" s="300">
        <v>1.2000000000104528E-2</v>
      </c>
      <c r="X180" s="300">
        <v>0</v>
      </c>
      <c r="Y180" s="300">
        <f t="shared" ref="Y180:Y181" si="450">SUM(V180:X180)</f>
        <v>1.0420000000098066</v>
      </c>
    </row>
    <row r="181" spans="1:25" x14ac:dyDescent="0.2">
      <c r="A181" s="260" t="s">
        <v>354</v>
      </c>
      <c r="B181" s="300">
        <f>SUM(B179:B180)</f>
        <v>0.96699999998946939</v>
      </c>
      <c r="C181" s="300">
        <f t="shared" ref="C181" si="451">SUM(C179:C180)</f>
        <v>5.000000000012627E-2</v>
      </c>
      <c r="D181" s="300">
        <f t="shared" ref="D181" si="452">SUM(D179:D180)</f>
        <v>8.3999999999570682E-2</v>
      </c>
      <c r="E181" s="300">
        <f t="shared" si="446"/>
        <v>1.1009999999891662</v>
      </c>
      <c r="F181" s="300"/>
      <c r="G181" s="300">
        <f>SUM(G179:G180)</f>
        <v>1.1420000000011379</v>
      </c>
      <c r="H181" s="300">
        <f t="shared" ref="H181" si="453">SUM(H179:H180)</f>
        <v>8.1000000000458941E-2</v>
      </c>
      <c r="I181" s="300">
        <f t="shared" ref="I181" si="454">SUM(I179:I180)</f>
        <v>0</v>
      </c>
      <c r="J181" s="300">
        <f t="shared" si="447"/>
        <v>1.2230000000015968</v>
      </c>
      <c r="K181" s="300"/>
      <c r="L181" s="300">
        <f>SUM(L179:L180)</f>
        <v>1.0690000000050048</v>
      </c>
      <c r="M181" s="300">
        <f t="shared" ref="M181" si="455">SUM(M179:M180)</f>
        <v>6.6000000000389192E-2</v>
      </c>
      <c r="N181" s="300">
        <f t="shared" ref="N181" si="456">SUM(N179:N180)</f>
        <v>8.9999999998389979E-3</v>
      </c>
      <c r="O181" s="300">
        <f t="shared" si="448"/>
        <v>1.1440000000052331</v>
      </c>
      <c r="P181" s="300"/>
      <c r="Q181" s="300">
        <f>SUM(Q179:Q180)</f>
        <v>1.1040000000102761</v>
      </c>
      <c r="R181" s="300">
        <f t="shared" ref="R181" si="457">SUM(R179:R180)</f>
        <v>7.00000000008872E-2</v>
      </c>
      <c r="S181" s="300">
        <f t="shared" ref="S181" si="458">SUM(S179:S180)</f>
        <v>9.000000000044691E-3</v>
      </c>
      <c r="T181" s="300">
        <f t="shared" si="449"/>
        <v>1.183000000011208</v>
      </c>
      <c r="U181" s="300"/>
      <c r="V181" s="300">
        <f>SUM(V179:V180)</f>
        <v>1.1500000000101178</v>
      </c>
      <c r="W181" s="300">
        <f t="shared" ref="W181" si="459">SUM(W179:W180)</f>
        <v>7.3999999999917659E-2</v>
      </c>
      <c r="X181" s="300">
        <f t="shared" ref="X181" si="460">SUM(X179:X180)</f>
        <v>9.0000000000071152E-3</v>
      </c>
      <c r="Y181" s="300">
        <f t="shared" si="450"/>
        <v>1.2330000000100427</v>
      </c>
    </row>
    <row r="182" spans="1:25" x14ac:dyDescent="0.2">
      <c r="C182" s="319"/>
      <c r="D182" s="319"/>
      <c r="E182" s="319"/>
      <c r="F182" s="319"/>
      <c r="G182" s="319"/>
      <c r="H182" s="319"/>
      <c r="I182" s="319"/>
      <c r="J182" s="319"/>
      <c r="K182" s="319"/>
      <c r="L182" s="319"/>
      <c r="M182" s="319"/>
      <c r="N182" s="319"/>
      <c r="O182" s="319"/>
      <c r="P182" s="319"/>
      <c r="Q182" s="319"/>
      <c r="R182" s="319"/>
      <c r="S182" s="319"/>
      <c r="T182" s="319"/>
      <c r="U182" s="319"/>
      <c r="V182" s="319"/>
      <c r="W182" s="319"/>
      <c r="X182" s="319"/>
      <c r="Y182" s="319"/>
    </row>
    <row r="183" spans="1:25" x14ac:dyDescent="0.2">
      <c r="A183" s="261" t="str">
        <f>name!A30</f>
        <v>Waste management</v>
      </c>
      <c r="C183" s="263"/>
    </row>
    <row r="184" spans="1:25" x14ac:dyDescent="0.2">
      <c r="A184" s="260" t="s">
        <v>356</v>
      </c>
      <c r="B184" s="300">
        <v>1.7709999999775581</v>
      </c>
      <c r="C184" s="300">
        <v>0.64600000000492219</v>
      </c>
      <c r="D184" s="300">
        <v>0</v>
      </c>
      <c r="E184" s="300">
        <f>SUM(B184:D184)</f>
        <v>2.4169999999824805</v>
      </c>
      <c r="F184" s="300"/>
      <c r="G184" s="300">
        <v>2.2139999999877404</v>
      </c>
      <c r="H184" s="300">
        <v>0.57100000000259454</v>
      </c>
      <c r="I184" s="300">
        <v>0</v>
      </c>
      <c r="J184" s="300">
        <f>SUM(G184:I184)</f>
        <v>2.784999999990335</v>
      </c>
      <c r="K184" s="300"/>
      <c r="L184" s="300">
        <v>2.0969999999779074</v>
      </c>
      <c r="M184" s="300">
        <v>0.45600000000348129</v>
      </c>
      <c r="N184" s="300">
        <v>3.9999999999455985E-2</v>
      </c>
      <c r="O184" s="300">
        <f>SUM(L184:N184)</f>
        <v>2.5929999999808446</v>
      </c>
      <c r="P184" s="300"/>
      <c r="Q184" s="300">
        <v>2.2550000000414707</v>
      </c>
      <c r="R184" s="300">
        <v>0.47800000000668286</v>
      </c>
      <c r="S184" s="300">
        <v>4.1000000000065179E-2</v>
      </c>
      <c r="T184" s="300">
        <f>SUM(Q184:S184)</f>
        <v>2.7740000000482188</v>
      </c>
      <c r="U184" s="300"/>
      <c r="V184" s="300">
        <v>2.5430000000078907</v>
      </c>
      <c r="W184" s="300">
        <v>0.51199999999695966</v>
      </c>
      <c r="X184" s="300">
        <v>4.1999999999910324E-2</v>
      </c>
      <c r="Y184" s="300">
        <f>SUM(V184:X184)</f>
        <v>3.0970000000047606</v>
      </c>
    </row>
    <row r="185" spans="1:25" x14ac:dyDescent="0.2">
      <c r="A185" s="260" t="s">
        <v>355</v>
      </c>
      <c r="B185" s="300">
        <v>7.475999999915766</v>
      </c>
      <c r="C185" s="300">
        <v>0.19599999999961179</v>
      </c>
      <c r="D185" s="300">
        <v>0.457999999994674</v>
      </c>
      <c r="E185" s="300">
        <f t="shared" ref="E185:E186" si="461">SUM(B185:D185)</f>
        <v>8.1299999999100514</v>
      </c>
      <c r="F185" s="300"/>
      <c r="G185" s="300">
        <v>8.2150000000104875</v>
      </c>
      <c r="H185" s="300">
        <v>0.14800000000128111</v>
      </c>
      <c r="I185" s="300">
        <v>0</v>
      </c>
      <c r="J185" s="300">
        <f t="shared" ref="J185:J186" si="462">SUM(G185:I185)</f>
        <v>8.3630000000117679</v>
      </c>
      <c r="K185" s="300"/>
      <c r="L185" s="300">
        <v>7.6810000000446506</v>
      </c>
      <c r="M185" s="300">
        <v>0.14200000000067806</v>
      </c>
      <c r="N185" s="300">
        <v>0</v>
      </c>
      <c r="O185" s="300">
        <f t="shared" ref="O185:O186" si="463">SUM(L185:N185)</f>
        <v>7.8230000000453286</v>
      </c>
      <c r="P185" s="300"/>
      <c r="Q185" s="300">
        <v>7.8960000000645518</v>
      </c>
      <c r="R185" s="300">
        <v>0.1479999999997007</v>
      </c>
      <c r="S185" s="300">
        <v>0</v>
      </c>
      <c r="T185" s="300">
        <f t="shared" ref="T185:T186" si="464">SUM(Q185:S185)</f>
        <v>8.0440000000642531</v>
      </c>
      <c r="U185" s="300"/>
      <c r="V185" s="300">
        <v>8.1550000000650851</v>
      </c>
      <c r="W185" s="300">
        <v>0.15499999999957453</v>
      </c>
      <c r="X185" s="300">
        <v>0</v>
      </c>
      <c r="Y185" s="300">
        <f t="shared" ref="Y185:Y186" si="465">SUM(V185:X185)</f>
        <v>8.3100000000646599</v>
      </c>
    </row>
    <row r="186" spans="1:25" x14ac:dyDescent="0.2">
      <c r="A186" s="260" t="s">
        <v>354</v>
      </c>
      <c r="B186" s="300">
        <f>SUM(B184:B185)</f>
        <v>9.2469999998933243</v>
      </c>
      <c r="C186" s="300">
        <f t="shared" ref="C186" si="466">SUM(C184:C185)</f>
        <v>0.84200000000453401</v>
      </c>
      <c r="D186" s="300">
        <f t="shared" ref="D186" si="467">SUM(D184:D185)</f>
        <v>0.457999999994674</v>
      </c>
      <c r="E186" s="300">
        <f t="shared" si="461"/>
        <v>10.546999999892533</v>
      </c>
      <c r="F186" s="300"/>
      <c r="G186" s="300">
        <f>SUM(G184:G185)</f>
        <v>10.428999999998227</v>
      </c>
      <c r="H186" s="300">
        <f t="shared" ref="H186" si="468">SUM(H184:H185)</f>
        <v>0.71900000000387565</v>
      </c>
      <c r="I186" s="300">
        <f t="shared" ref="I186" si="469">SUM(I184:I185)</f>
        <v>0</v>
      </c>
      <c r="J186" s="300">
        <f t="shared" si="462"/>
        <v>11.148000000002103</v>
      </c>
      <c r="K186" s="300"/>
      <c r="L186" s="300">
        <f>SUM(L184:L185)</f>
        <v>9.7780000000225584</v>
      </c>
      <c r="M186" s="300">
        <f t="shared" ref="M186" si="470">SUM(M184:M185)</f>
        <v>0.59800000000415932</v>
      </c>
      <c r="N186" s="300">
        <f t="shared" ref="N186" si="471">SUM(N184:N185)</f>
        <v>3.9999999999455985E-2</v>
      </c>
      <c r="O186" s="300">
        <f t="shared" si="463"/>
        <v>10.416000000026173</v>
      </c>
      <c r="P186" s="300"/>
      <c r="Q186" s="300">
        <f>SUM(Q184:Q185)</f>
        <v>10.151000000106023</v>
      </c>
      <c r="R186" s="300">
        <f t="shared" ref="R186" si="472">SUM(R184:R185)</f>
        <v>0.62600000000638356</v>
      </c>
      <c r="S186" s="300">
        <f t="shared" ref="S186" si="473">SUM(S184:S185)</f>
        <v>4.1000000000065179E-2</v>
      </c>
      <c r="T186" s="300">
        <f t="shared" si="464"/>
        <v>10.818000000112471</v>
      </c>
      <c r="U186" s="300"/>
      <c r="V186" s="300">
        <f>SUM(V184:V185)</f>
        <v>10.698000000072977</v>
      </c>
      <c r="W186" s="300">
        <f t="shared" ref="W186" si="474">SUM(W184:W185)</f>
        <v>0.66699999999653414</v>
      </c>
      <c r="X186" s="300">
        <f t="shared" ref="X186" si="475">SUM(X184:X185)</f>
        <v>4.1999999999910324E-2</v>
      </c>
      <c r="Y186" s="300">
        <f t="shared" si="465"/>
        <v>11.407000000069422</v>
      </c>
    </row>
    <row r="188" spans="1:25" x14ac:dyDescent="0.2">
      <c r="A188" s="261" t="s">
        <v>369</v>
      </c>
      <c r="C188" s="263"/>
    </row>
    <row r="189" spans="1:25" x14ac:dyDescent="0.2">
      <c r="A189" s="260" t="s">
        <v>356</v>
      </c>
      <c r="B189" s="300">
        <f>SUM(B174,B179,B184)</f>
        <v>2.0819999999719334</v>
      </c>
      <c r="C189" s="300">
        <f t="shared" ref="C189:D189" si="476">SUM(C174,C179,C184)</f>
        <v>0.8560000000079071</v>
      </c>
      <c r="D189" s="300">
        <f t="shared" si="476"/>
        <v>0</v>
      </c>
      <c r="E189" s="300">
        <f>SUM(B189:D189)</f>
        <v>2.9379999999798407</v>
      </c>
      <c r="F189" s="300"/>
      <c r="G189" s="300">
        <f>SUM(G174,G179,G184)</f>
        <v>2.6389999999861233</v>
      </c>
      <c r="H189" s="300">
        <f t="shared" ref="H189:I189" si="477">SUM(H174,H179,H184)</f>
        <v>0.90400000000338709</v>
      </c>
      <c r="I189" s="300">
        <f t="shared" si="477"/>
        <v>0</v>
      </c>
      <c r="J189" s="300">
        <f>SUM(G189:I189)</f>
        <v>3.5429999999895103</v>
      </c>
      <c r="K189" s="300"/>
      <c r="L189" s="300">
        <f>SUM(L174,L179,L184)</f>
        <v>2.4999999999724229</v>
      </c>
      <c r="M189" s="300">
        <f t="shared" ref="M189:N189" si="478">SUM(M174,M179,M184)</f>
        <v>0.72200000000719855</v>
      </c>
      <c r="N189" s="300">
        <f t="shared" si="478"/>
        <v>7.9999999998810939E-2</v>
      </c>
      <c r="O189" s="300">
        <f>SUM(L189:N189)</f>
        <v>3.3019999999784324</v>
      </c>
      <c r="P189" s="300"/>
      <c r="Q189" s="300">
        <f>SUM(Q174,Q179,Q184)</f>
        <v>2.688000000050951</v>
      </c>
      <c r="R189" s="300">
        <f t="shared" ref="R189:S189" si="479">SUM(R174,R179,R184)</f>
        <v>0.75700000000987178</v>
      </c>
      <c r="S189" s="300">
        <f t="shared" si="479"/>
        <v>8.2000000000199968E-2</v>
      </c>
      <c r="T189" s="300">
        <f>SUM(Q189:S189)</f>
        <v>3.5270000000610229</v>
      </c>
      <c r="U189" s="300"/>
      <c r="V189" s="300">
        <f>SUM(V174,V179,V184)</f>
        <v>3.0310000000088735</v>
      </c>
      <c r="W189" s="300">
        <f t="shared" ref="W189:X189" si="480">SUM(W174,W179,W184)</f>
        <v>0.81099999999309991</v>
      </c>
      <c r="X189" s="300">
        <f t="shared" si="480"/>
        <v>8.4000000000748615E-2</v>
      </c>
      <c r="Y189" s="300">
        <f>SUM(V189:X189)</f>
        <v>3.926000000002722</v>
      </c>
    </row>
    <row r="190" spans="1:25" x14ac:dyDescent="0.2">
      <c r="A190" s="260" t="s">
        <v>355</v>
      </c>
      <c r="B190" s="300">
        <f>SUM(B175,B180,B185)</f>
        <v>9.929999999902849</v>
      </c>
      <c r="C190" s="300">
        <f t="shared" ref="C190:D190" si="481">SUM(C175,C180,C185)</f>
        <v>0.28799999999959047</v>
      </c>
      <c r="D190" s="300">
        <f t="shared" si="481"/>
        <v>0.56399999999396311</v>
      </c>
      <c r="E190" s="300">
        <f t="shared" ref="E190:E191" si="482">SUM(B190:D190)</f>
        <v>10.781999999896403</v>
      </c>
      <c r="F190" s="300"/>
      <c r="G190" s="300">
        <f>SUM(G175,G180,G185)</f>
        <v>11.319000000001772</v>
      </c>
      <c r="H190" s="300">
        <f t="shared" ref="H190:I190" si="483">SUM(H175,H180,H185)</f>
        <v>0.27200000000114122</v>
      </c>
      <c r="I190" s="300">
        <f t="shared" si="483"/>
        <v>0</v>
      </c>
      <c r="J190" s="300">
        <f t="shared" ref="J190:J191" si="484">SUM(G190:I190)</f>
        <v>11.591000000002913</v>
      </c>
      <c r="K190" s="300"/>
      <c r="L190" s="300">
        <f>SUM(L175,L180,L185)</f>
        <v>10.583000000035035</v>
      </c>
      <c r="M190" s="300">
        <f t="shared" ref="M190:N190" si="485">SUM(M175,M180,M185)</f>
        <v>0.26100000000054174</v>
      </c>
      <c r="N190" s="300">
        <f t="shared" si="485"/>
        <v>0</v>
      </c>
      <c r="O190" s="300">
        <f t="shared" ref="O190:O191" si="486">SUM(L190:N190)</f>
        <v>10.844000000035576</v>
      </c>
      <c r="P190" s="300"/>
      <c r="Q190" s="300">
        <f>SUM(Q175,Q180,Q185)</f>
        <v>10.880000000067968</v>
      </c>
      <c r="R190" s="300">
        <f t="shared" ref="R190:S190" si="487">SUM(R175,R180,R185)</f>
        <v>0.27199999999980634</v>
      </c>
      <c r="S190" s="300">
        <f t="shared" si="487"/>
        <v>0</v>
      </c>
      <c r="T190" s="300">
        <f t="shared" ref="T190:T191" si="488">SUM(Q190:S190)</f>
        <v>11.152000000067774</v>
      </c>
      <c r="U190" s="300"/>
      <c r="V190" s="300">
        <f>SUM(V175,V180,V185)</f>
        <v>11.236000000057423</v>
      </c>
      <c r="W190" s="300">
        <f t="shared" ref="W190:X190" si="489">SUM(W175,W180,W185)</f>
        <v>0.28399999999966163</v>
      </c>
      <c r="X190" s="300">
        <f t="shared" si="489"/>
        <v>0</v>
      </c>
      <c r="Y190" s="300">
        <f t="shared" ref="Y190:Y191" si="490">SUM(V190:X190)</f>
        <v>11.520000000057085</v>
      </c>
    </row>
    <row r="191" spans="1:25" x14ac:dyDescent="0.2">
      <c r="A191" s="264" t="s">
        <v>354</v>
      </c>
      <c r="B191" s="301">
        <f>SUM(B189:B190)</f>
        <v>12.011999999874782</v>
      </c>
      <c r="C191" s="301">
        <f t="shared" ref="C191" si="491">SUM(C189:C190)</f>
        <v>1.1440000000074977</v>
      </c>
      <c r="D191" s="301">
        <f t="shared" ref="D191" si="492">SUM(D189:D190)</f>
        <v>0.56399999999396311</v>
      </c>
      <c r="E191" s="301">
        <f t="shared" si="482"/>
        <v>13.719999999876244</v>
      </c>
      <c r="F191" s="301"/>
      <c r="G191" s="301">
        <f>SUM(G189:G190)</f>
        <v>13.957999999987894</v>
      </c>
      <c r="H191" s="301">
        <f t="shared" ref="H191" si="493">SUM(H189:H190)</f>
        <v>1.1760000000045283</v>
      </c>
      <c r="I191" s="301">
        <f t="shared" ref="I191" si="494">SUM(I189:I190)</f>
        <v>0</v>
      </c>
      <c r="J191" s="301">
        <f t="shared" si="484"/>
        <v>15.133999999992422</v>
      </c>
      <c r="K191" s="301"/>
      <c r="L191" s="301">
        <f>SUM(L189:L190)</f>
        <v>13.083000000007459</v>
      </c>
      <c r="M191" s="301">
        <f t="shared" ref="M191" si="495">SUM(M189:M190)</f>
        <v>0.98300000000774035</v>
      </c>
      <c r="N191" s="301">
        <f t="shared" ref="N191" si="496">SUM(N189:N190)</f>
        <v>7.9999999998810939E-2</v>
      </c>
      <c r="O191" s="301">
        <f t="shared" si="486"/>
        <v>14.146000000014011</v>
      </c>
      <c r="P191" s="301"/>
      <c r="Q191" s="301">
        <f>SUM(Q189:Q190)</f>
        <v>13.568000000118918</v>
      </c>
      <c r="R191" s="301">
        <f t="shared" ref="R191" si="497">SUM(R189:R190)</f>
        <v>1.0290000000096782</v>
      </c>
      <c r="S191" s="301">
        <f t="shared" ref="S191" si="498">SUM(S189:S190)</f>
        <v>8.2000000000199968E-2</v>
      </c>
      <c r="T191" s="301">
        <f t="shared" si="488"/>
        <v>14.679000000128795</v>
      </c>
      <c r="U191" s="301"/>
      <c r="V191" s="301">
        <f>SUM(V189:V190)</f>
        <v>14.267000000066297</v>
      </c>
      <c r="W191" s="301">
        <f t="shared" ref="W191" si="499">SUM(W189:W190)</f>
        <v>1.0949999999927615</v>
      </c>
      <c r="X191" s="301">
        <f t="shared" ref="X191" si="500">SUM(X189:X190)</f>
        <v>8.4000000000748615E-2</v>
      </c>
      <c r="Y191" s="301">
        <f t="shared" si="490"/>
        <v>15.446000000059808</v>
      </c>
    </row>
    <row r="195" spans="1:25" ht="15" x14ac:dyDescent="0.25">
      <c r="A195" s="265" t="str">
        <f>"Industry 8 : "&amp; name!B11</f>
        <v>Industry 8 : Construction</v>
      </c>
      <c r="B195" s="371">
        <f>$B$5</f>
        <v>2015</v>
      </c>
      <c r="C195" s="371"/>
      <c r="D195" s="371"/>
      <c r="E195" s="371"/>
      <c r="F195" s="320"/>
      <c r="G195" s="371">
        <f>$G$5</f>
        <v>2019</v>
      </c>
      <c r="H195" s="371"/>
      <c r="I195" s="371"/>
      <c r="J195" s="371"/>
      <c r="K195" s="320"/>
      <c r="L195" s="371">
        <f>$L$5</f>
        <v>2020</v>
      </c>
      <c r="M195" s="371"/>
      <c r="N195" s="371"/>
      <c r="O195" s="371"/>
      <c r="P195" s="318"/>
      <c r="Q195" s="371">
        <f>$Q$5</f>
        <v>2025</v>
      </c>
      <c r="R195" s="371"/>
      <c r="S195" s="371"/>
      <c r="T195" s="371"/>
      <c r="U195" s="320"/>
      <c r="V195" s="371">
        <f>$V$5</f>
        <v>2035</v>
      </c>
      <c r="W195" s="371"/>
      <c r="X195" s="371"/>
      <c r="Y195" s="371"/>
    </row>
    <row r="196" spans="1:25" x14ac:dyDescent="0.2">
      <c r="A196" s="264"/>
      <c r="B196" s="268" t="str">
        <f>$B$6</f>
        <v>FT</v>
      </c>
      <c r="C196" s="268" t="str">
        <f>$C$6</f>
        <v>PT</v>
      </c>
      <c r="D196" s="268" t="str">
        <f>$D$6</f>
        <v>SE</v>
      </c>
      <c r="E196" s="268" t="str">
        <f>$E$6</f>
        <v>Total</v>
      </c>
      <c r="F196" s="268"/>
      <c r="G196" s="268" t="str">
        <f>$B$6</f>
        <v>FT</v>
      </c>
      <c r="H196" s="268" t="str">
        <f>$C$6</f>
        <v>PT</v>
      </c>
      <c r="I196" s="268" t="str">
        <f>$D$6</f>
        <v>SE</v>
      </c>
      <c r="J196" s="268" t="str">
        <f>$E$6</f>
        <v>Total</v>
      </c>
      <c r="K196" s="268"/>
      <c r="L196" s="268" t="str">
        <f>$L$6</f>
        <v>FT</v>
      </c>
      <c r="M196" s="268" t="str">
        <f>$M$6</f>
        <v>PT</v>
      </c>
      <c r="N196" s="268" t="str">
        <f>$N$6</f>
        <v>SE</v>
      </c>
      <c r="O196" s="268" t="str">
        <f>$O$6</f>
        <v>Total</v>
      </c>
      <c r="P196" s="268"/>
      <c r="Q196" s="268" t="str">
        <f>$L$6</f>
        <v>FT</v>
      </c>
      <c r="R196" s="268" t="str">
        <f>$M$6</f>
        <v>PT</v>
      </c>
      <c r="S196" s="268" t="str">
        <f>$N$6</f>
        <v>SE</v>
      </c>
      <c r="T196" s="268" t="str">
        <f>$O$6</f>
        <v>Total</v>
      </c>
      <c r="U196" s="268"/>
      <c r="V196" s="268" t="str">
        <f>$V$6</f>
        <v>FT</v>
      </c>
      <c r="W196" s="268" t="str">
        <f>$W$6</f>
        <v>PT</v>
      </c>
      <c r="X196" s="268" t="str">
        <f>$X$6</f>
        <v>SE</v>
      </c>
      <c r="Y196" s="268" t="str">
        <f>$Y$6</f>
        <v>Total</v>
      </c>
    </row>
    <row r="197" spans="1:25" x14ac:dyDescent="0.2">
      <c r="C197" s="319"/>
      <c r="D197" s="319"/>
      <c r="E197" s="319"/>
      <c r="F197" s="319"/>
      <c r="G197" s="319"/>
      <c r="H197" s="319"/>
      <c r="I197" s="319"/>
      <c r="J197" s="319"/>
      <c r="K197" s="319"/>
      <c r="L197" s="319"/>
      <c r="M197" s="319"/>
      <c r="N197" s="319"/>
      <c r="O197" s="319"/>
      <c r="P197" s="319"/>
      <c r="Q197" s="319"/>
      <c r="R197" s="319"/>
      <c r="S197" s="319"/>
      <c r="T197" s="319"/>
      <c r="U197" s="319"/>
      <c r="V197" s="319"/>
      <c r="W197" s="319"/>
      <c r="X197" s="319"/>
      <c r="Y197" s="319"/>
    </row>
    <row r="198" spans="1:25" x14ac:dyDescent="0.2">
      <c r="A198" s="261" t="str">
        <f>name!A31</f>
        <v>Construction</v>
      </c>
      <c r="C198" s="263"/>
    </row>
    <row r="199" spans="1:25" x14ac:dyDescent="0.2">
      <c r="A199" s="260" t="s">
        <v>356</v>
      </c>
      <c r="B199" s="300">
        <v>3.7069999999339589</v>
      </c>
      <c r="C199" s="300">
        <v>2.3840000000384487</v>
      </c>
      <c r="D199" s="300">
        <v>0.36300000000771626</v>
      </c>
      <c r="E199" s="300">
        <f>SUM(B199:D199)</f>
        <v>6.4539999999801232</v>
      </c>
      <c r="F199" s="300"/>
      <c r="G199" s="300">
        <v>4.5949999999868272</v>
      </c>
      <c r="H199" s="300">
        <v>3.077999999988601</v>
      </c>
      <c r="I199" s="300">
        <v>0.69200000000313799</v>
      </c>
      <c r="J199" s="300">
        <f>SUM(G199:I199)</f>
        <v>8.3649999999785649</v>
      </c>
      <c r="K199" s="300"/>
      <c r="L199" s="300">
        <v>4.1439999999230803</v>
      </c>
      <c r="M199" s="300">
        <v>3.0840000000391501</v>
      </c>
      <c r="N199" s="300">
        <v>1.2159999999957338</v>
      </c>
      <c r="O199" s="300">
        <f>SUM(L199:N199)</f>
        <v>8.4439999999579651</v>
      </c>
      <c r="P199" s="300"/>
      <c r="Q199" s="300">
        <v>4.263000000117291</v>
      </c>
      <c r="R199" s="300">
        <v>3.1940000000049893</v>
      </c>
      <c r="S199" s="300">
        <v>1.2239999999935307</v>
      </c>
      <c r="T199" s="300">
        <f>SUM(Q199:S199)</f>
        <v>8.6810000001158105</v>
      </c>
      <c r="U199" s="300"/>
      <c r="V199" s="300">
        <v>4.5360000000311755</v>
      </c>
      <c r="W199" s="300">
        <v>3.4359999999448072</v>
      </c>
      <c r="X199" s="300">
        <v>1.3270000000078976</v>
      </c>
      <c r="Y199" s="300">
        <f>SUM(V199:X199)</f>
        <v>9.2989999999838808</v>
      </c>
    </row>
    <row r="200" spans="1:25" x14ac:dyDescent="0.2">
      <c r="A200" s="260" t="s">
        <v>355</v>
      </c>
      <c r="B200" s="300">
        <v>15.160999999884957</v>
      </c>
      <c r="C200" s="300">
        <v>0.84599999999954723</v>
      </c>
      <c r="D200" s="300">
        <v>9.3529999994994135</v>
      </c>
      <c r="E200" s="300">
        <f t="shared" ref="E200:E201" si="501">SUM(B200:D200)</f>
        <v>25.35999999938392</v>
      </c>
      <c r="F200" s="300"/>
      <c r="G200" s="300">
        <v>16.005000000010096</v>
      </c>
      <c r="H200" s="300">
        <v>1.0910000000022855</v>
      </c>
      <c r="I200" s="300">
        <v>12.215000000259586</v>
      </c>
      <c r="J200" s="300">
        <f t="shared" ref="J200:J201" si="502">SUM(G200:I200)</f>
        <v>29.311000000271967</v>
      </c>
      <c r="K200" s="300"/>
      <c r="L200" s="300">
        <v>16.346000000053454</v>
      </c>
      <c r="M200" s="300">
        <v>1.484999999999445</v>
      </c>
      <c r="N200" s="300">
        <v>10.55199999977239</v>
      </c>
      <c r="O200" s="300">
        <f t="shared" ref="O200:O201" si="503">SUM(L200:N200)</f>
        <v>28.382999999825287</v>
      </c>
      <c r="P200" s="300"/>
      <c r="Q200" s="300">
        <v>16.530000000095932</v>
      </c>
      <c r="R200" s="300">
        <v>1.5490000000006634</v>
      </c>
      <c r="S200" s="300">
        <v>10.914999999075906</v>
      </c>
      <c r="T200" s="300">
        <f t="shared" ref="T200:T201" si="504">SUM(Q200:S200)</f>
        <v>28.993999999172502</v>
      </c>
      <c r="U200" s="300"/>
      <c r="V200" s="300">
        <v>16.803000000117414</v>
      </c>
      <c r="W200" s="300">
        <v>1.6849999999972309</v>
      </c>
      <c r="X200" s="300">
        <v>11.710999999374966</v>
      </c>
      <c r="Y200" s="300">
        <f t="shared" ref="Y200:Y201" si="505">SUM(V200:X200)</f>
        <v>30.198999999489612</v>
      </c>
    </row>
    <row r="201" spans="1:25" x14ac:dyDescent="0.2">
      <c r="A201" s="260" t="s">
        <v>354</v>
      </c>
      <c r="B201" s="300">
        <f>SUM(B199:B200)</f>
        <v>18.867999999818917</v>
      </c>
      <c r="C201" s="300">
        <f t="shared" ref="C201" si="506">SUM(C199:C200)</f>
        <v>3.2300000000379958</v>
      </c>
      <c r="D201" s="300">
        <f t="shared" ref="D201" si="507">SUM(D199:D200)</f>
        <v>9.7159999995071296</v>
      </c>
      <c r="E201" s="300">
        <f t="shared" si="501"/>
        <v>31.813999999364043</v>
      </c>
      <c r="F201" s="300"/>
      <c r="G201" s="300">
        <f>SUM(G199:G200)</f>
        <v>20.599999999996925</v>
      </c>
      <c r="H201" s="300">
        <f t="shared" ref="H201" si="508">SUM(H199:H200)</f>
        <v>4.168999999990886</v>
      </c>
      <c r="I201" s="300">
        <f t="shared" ref="I201" si="509">SUM(I199:I200)</f>
        <v>12.907000000262723</v>
      </c>
      <c r="J201" s="300">
        <f t="shared" si="502"/>
        <v>37.676000000250539</v>
      </c>
      <c r="K201" s="300"/>
      <c r="L201" s="300">
        <f>SUM(L199:L200)</f>
        <v>20.489999999976533</v>
      </c>
      <c r="M201" s="300">
        <f t="shared" ref="M201" si="510">SUM(M199:M200)</f>
        <v>4.5690000000385949</v>
      </c>
      <c r="N201" s="300">
        <f t="shared" ref="N201" si="511">SUM(N199:N200)</f>
        <v>11.767999999768124</v>
      </c>
      <c r="O201" s="300">
        <f t="shared" si="503"/>
        <v>36.826999999783254</v>
      </c>
      <c r="P201" s="300"/>
      <c r="Q201" s="300">
        <f>SUM(Q199:Q200)</f>
        <v>20.793000000213222</v>
      </c>
      <c r="R201" s="300">
        <f t="shared" ref="R201" si="512">SUM(R199:R200)</f>
        <v>4.7430000000056527</v>
      </c>
      <c r="S201" s="300">
        <f t="shared" ref="S201" si="513">SUM(S199:S200)</f>
        <v>12.138999999069437</v>
      </c>
      <c r="T201" s="300">
        <f t="shared" si="504"/>
        <v>37.674999999288318</v>
      </c>
      <c r="U201" s="300"/>
      <c r="V201" s="300">
        <f>SUM(V199:V200)</f>
        <v>21.339000000148591</v>
      </c>
      <c r="W201" s="300">
        <f t="shared" ref="W201" si="514">SUM(W199:W200)</f>
        <v>5.1209999999420379</v>
      </c>
      <c r="X201" s="300">
        <f t="shared" ref="X201" si="515">SUM(X199:X200)</f>
        <v>13.037999999382864</v>
      </c>
      <c r="Y201" s="300">
        <f t="shared" si="505"/>
        <v>39.497999999473492</v>
      </c>
    </row>
    <row r="202" spans="1:25" x14ac:dyDescent="0.2">
      <c r="C202" s="319"/>
      <c r="D202" s="319"/>
      <c r="E202" s="319"/>
      <c r="F202" s="319"/>
      <c r="G202" s="319"/>
      <c r="H202" s="319"/>
      <c r="I202" s="319"/>
      <c r="J202" s="319"/>
      <c r="K202" s="319"/>
      <c r="L202" s="319"/>
      <c r="M202" s="319"/>
      <c r="N202" s="319"/>
      <c r="O202" s="319"/>
      <c r="P202" s="319"/>
      <c r="Q202" s="319"/>
      <c r="R202" s="319"/>
      <c r="S202" s="319"/>
      <c r="T202" s="319"/>
      <c r="U202" s="319"/>
      <c r="V202" s="319"/>
      <c r="W202" s="319"/>
      <c r="X202" s="319"/>
      <c r="Y202" s="319"/>
    </row>
    <row r="203" spans="1:25" x14ac:dyDescent="0.2">
      <c r="A203" s="261" t="str">
        <f>name!A32</f>
        <v>Civil engineering</v>
      </c>
      <c r="C203" s="263"/>
    </row>
    <row r="204" spans="1:25" x14ac:dyDescent="0.2">
      <c r="A204" s="260" t="s">
        <v>356</v>
      </c>
      <c r="B204" s="300">
        <v>1.0949999999804914</v>
      </c>
      <c r="C204" s="300">
        <v>1.2640000000203853</v>
      </c>
      <c r="D204" s="300">
        <v>0.18800000000399636</v>
      </c>
      <c r="E204" s="300">
        <f>SUM(B204:D204)</f>
        <v>2.5470000000048731</v>
      </c>
      <c r="F204" s="300"/>
      <c r="G204" s="300">
        <v>0.96899999999722186</v>
      </c>
      <c r="H204" s="300">
        <v>0.36999999999862909</v>
      </c>
      <c r="I204" s="300">
        <v>0.23200000000105203</v>
      </c>
      <c r="J204" s="300">
        <f>SUM(G204:I204)</f>
        <v>1.5709999999969029</v>
      </c>
      <c r="K204" s="300"/>
      <c r="L204" s="300">
        <v>0.87399999998377731</v>
      </c>
      <c r="M204" s="300">
        <v>0.37100000000471012</v>
      </c>
      <c r="N204" s="300">
        <v>0.11199999999960704</v>
      </c>
      <c r="O204" s="300">
        <f>SUM(L204:N204)</f>
        <v>1.3569999999880946</v>
      </c>
      <c r="P204" s="300"/>
      <c r="Q204" s="300">
        <v>0.89900000002473512</v>
      </c>
      <c r="R204" s="300">
        <v>0.38400000000060008</v>
      </c>
      <c r="S204" s="300">
        <v>0.13699999999927595</v>
      </c>
      <c r="T204" s="300">
        <f>SUM(Q204:S204)</f>
        <v>1.4200000000246111</v>
      </c>
      <c r="U204" s="300"/>
      <c r="V204" s="300">
        <v>0.95700000000657903</v>
      </c>
      <c r="W204" s="300">
        <v>0.41299999999336656</v>
      </c>
      <c r="X204" s="300">
        <v>0.18800000000111886</v>
      </c>
      <c r="Y204" s="300">
        <f>SUM(V204:X204)</f>
        <v>1.5580000000010643</v>
      </c>
    </row>
    <row r="205" spans="1:25" x14ac:dyDescent="0.2">
      <c r="A205" s="260" t="s">
        <v>355</v>
      </c>
      <c r="B205" s="300">
        <v>12.71099999990356</v>
      </c>
      <c r="C205" s="300">
        <v>0.62099999999966704</v>
      </c>
      <c r="D205" s="300">
        <v>8.0899999995670093</v>
      </c>
      <c r="E205" s="300">
        <f t="shared" ref="E205:E206" si="516">SUM(B205:D205)</f>
        <v>21.421999999470238</v>
      </c>
      <c r="F205" s="300"/>
      <c r="G205" s="300">
        <v>9.5820000000060528</v>
      </c>
      <c r="H205" s="300">
        <v>0.18200000000038125</v>
      </c>
      <c r="I205" s="300">
        <v>6.8230000001449964</v>
      </c>
      <c r="J205" s="300">
        <f t="shared" ref="J205:J206" si="517">SUM(G205:I205)</f>
        <v>16.587000000151431</v>
      </c>
      <c r="K205" s="300"/>
      <c r="L205" s="300">
        <v>9.7860000000319971</v>
      </c>
      <c r="M205" s="300">
        <v>0.24699999999990743</v>
      </c>
      <c r="N205" s="300">
        <v>5.8939999998728627</v>
      </c>
      <c r="O205" s="300">
        <f t="shared" ref="O205:O206" si="518">SUM(L205:N205)</f>
        <v>15.926999999904767</v>
      </c>
      <c r="P205" s="300"/>
      <c r="Q205" s="300">
        <v>9.896000000057418</v>
      </c>
      <c r="R205" s="300">
        <v>0.25800000000011047</v>
      </c>
      <c r="S205" s="300">
        <v>6.096999999483808</v>
      </c>
      <c r="T205" s="300">
        <f t="shared" ref="T205:T206" si="519">SUM(Q205:S205)</f>
        <v>16.250999999541335</v>
      </c>
      <c r="U205" s="300"/>
      <c r="V205" s="300">
        <v>10.059000000070293</v>
      </c>
      <c r="W205" s="300">
        <v>0.28099999999953817</v>
      </c>
      <c r="X205" s="300">
        <v>6.5419999996508436</v>
      </c>
      <c r="Y205" s="300">
        <f t="shared" ref="Y205:Y206" si="520">SUM(V205:X205)</f>
        <v>16.881999999720676</v>
      </c>
    </row>
    <row r="206" spans="1:25" x14ac:dyDescent="0.2">
      <c r="A206" s="260" t="s">
        <v>354</v>
      </c>
      <c r="B206" s="300">
        <f>SUM(B204:B205)</f>
        <v>13.805999999884051</v>
      </c>
      <c r="C206" s="300">
        <f t="shared" ref="C206" si="521">SUM(C204:C205)</f>
        <v>1.8850000000200522</v>
      </c>
      <c r="D206" s="300">
        <f t="shared" ref="D206" si="522">SUM(D204:D205)</f>
        <v>8.277999999571005</v>
      </c>
      <c r="E206" s="300">
        <f t="shared" si="516"/>
        <v>23.968999999475109</v>
      </c>
      <c r="F206" s="300"/>
      <c r="G206" s="300">
        <f>SUM(G204:G205)</f>
        <v>10.551000000003274</v>
      </c>
      <c r="H206" s="300">
        <f t="shared" ref="H206" si="523">SUM(H204:H205)</f>
        <v>0.55199999999901039</v>
      </c>
      <c r="I206" s="300">
        <f t="shared" ref="I206" si="524">SUM(I204:I205)</f>
        <v>7.0550000001460482</v>
      </c>
      <c r="J206" s="300">
        <f t="shared" si="517"/>
        <v>18.158000000148334</v>
      </c>
      <c r="K206" s="300"/>
      <c r="L206" s="300">
        <f>SUM(L204:L205)</f>
        <v>10.660000000015774</v>
      </c>
      <c r="M206" s="300">
        <f t="shared" ref="M206" si="525">SUM(M204:M205)</f>
        <v>0.61800000000461752</v>
      </c>
      <c r="N206" s="300">
        <f t="shared" ref="N206" si="526">SUM(N204:N205)</f>
        <v>6.0059999998724694</v>
      </c>
      <c r="O206" s="300">
        <f t="shared" si="518"/>
        <v>17.28399999989286</v>
      </c>
      <c r="P206" s="300"/>
      <c r="Q206" s="300">
        <f>SUM(Q204:Q205)</f>
        <v>10.795000000082153</v>
      </c>
      <c r="R206" s="300">
        <f t="shared" ref="R206" si="527">SUM(R204:R205)</f>
        <v>0.64200000000071056</v>
      </c>
      <c r="S206" s="300">
        <f t="shared" ref="S206" si="528">SUM(S204:S205)</f>
        <v>6.2339999994830837</v>
      </c>
      <c r="T206" s="300">
        <f t="shared" si="519"/>
        <v>17.670999999565947</v>
      </c>
      <c r="U206" s="300"/>
      <c r="V206" s="300">
        <f>SUM(V204:V205)</f>
        <v>11.016000000076872</v>
      </c>
      <c r="W206" s="300">
        <f t="shared" ref="W206" si="529">SUM(W204:W205)</f>
        <v>0.69399999999290474</v>
      </c>
      <c r="X206" s="300">
        <f t="shared" ref="X206" si="530">SUM(X204:X205)</f>
        <v>6.7299999996519624</v>
      </c>
      <c r="Y206" s="300">
        <f t="shared" si="520"/>
        <v>18.439999999721739</v>
      </c>
    </row>
    <row r="207" spans="1:25" x14ac:dyDescent="0.2">
      <c r="C207" s="319"/>
      <c r="D207" s="319"/>
      <c r="E207" s="319"/>
      <c r="F207" s="319"/>
      <c r="G207" s="319"/>
      <c r="H207" s="319"/>
      <c r="I207" s="319"/>
      <c r="J207" s="319"/>
      <c r="K207" s="319"/>
      <c r="L207" s="319"/>
      <c r="M207" s="319"/>
      <c r="N207" s="319"/>
      <c r="O207" s="319"/>
      <c r="P207" s="319"/>
      <c r="Q207" s="319"/>
      <c r="R207" s="319"/>
      <c r="S207" s="319"/>
      <c r="T207" s="319"/>
      <c r="U207" s="319"/>
      <c r="V207" s="319"/>
      <c r="W207" s="319"/>
      <c r="X207" s="319"/>
      <c r="Y207" s="319"/>
    </row>
    <row r="208" spans="1:25" x14ac:dyDescent="0.2">
      <c r="A208" s="261" t="str">
        <f>name!A33</f>
        <v>Specialised construction</v>
      </c>
      <c r="C208" s="263"/>
    </row>
    <row r="209" spans="1:25" x14ac:dyDescent="0.2">
      <c r="A209" s="260" t="s">
        <v>356</v>
      </c>
      <c r="B209" s="300">
        <v>5.5819999999005603</v>
      </c>
      <c r="C209" s="300">
        <v>6.375000000102812</v>
      </c>
      <c r="D209" s="300">
        <v>0.77800000001653768</v>
      </c>
      <c r="E209" s="300">
        <f>SUM(B209:D209)</f>
        <v>12.735000000019911</v>
      </c>
      <c r="F209" s="300"/>
      <c r="G209" s="300">
        <v>6.673999999980861</v>
      </c>
      <c r="H209" s="300">
        <v>5.6579999999790456</v>
      </c>
      <c r="I209" s="300">
        <v>1.3670000000061981</v>
      </c>
      <c r="J209" s="300">
        <f>SUM(G209:I209)</f>
        <v>13.698999999966105</v>
      </c>
      <c r="K209" s="300"/>
      <c r="L209" s="300">
        <v>6.0199999998882516</v>
      </c>
      <c r="M209" s="300">
        <v>5.6700000000719841</v>
      </c>
      <c r="N209" s="300">
        <v>0.92699999999674743</v>
      </c>
      <c r="O209" s="300">
        <f>SUM(L209:N209)</f>
        <v>12.616999999956983</v>
      </c>
      <c r="P209" s="300"/>
      <c r="Q209" s="300">
        <v>6.1920000001703732</v>
      </c>
      <c r="R209" s="300">
        <v>5.8700000000091661</v>
      </c>
      <c r="S209" s="300">
        <v>0.96799999999488406</v>
      </c>
      <c r="T209" s="300">
        <f>SUM(Q209:S209)</f>
        <v>13.030000000174423</v>
      </c>
      <c r="U209" s="300"/>
      <c r="V209" s="300">
        <v>6.5890000000452993</v>
      </c>
      <c r="W209" s="300">
        <v>6.315999999898553</v>
      </c>
      <c r="X209" s="300">
        <v>1.0330000000061486</v>
      </c>
      <c r="Y209" s="300">
        <f>SUM(V209:X209)</f>
        <v>13.937999999950001</v>
      </c>
    </row>
    <row r="210" spans="1:25" x14ac:dyDescent="0.2">
      <c r="A210" s="260" t="s">
        <v>355</v>
      </c>
      <c r="B210" s="300">
        <v>45.832999999652216</v>
      </c>
      <c r="C210" s="300">
        <v>2.6439999999985848</v>
      </c>
      <c r="D210" s="300">
        <v>29.136999998440544</v>
      </c>
      <c r="E210" s="300">
        <f t="shared" ref="E210:E211" si="531">SUM(B210:D210)</f>
        <v>77.613999998091344</v>
      </c>
      <c r="F210" s="300"/>
      <c r="G210" s="300">
        <v>46.680000000029523</v>
      </c>
      <c r="H210" s="300">
        <v>2.3440000000049079</v>
      </c>
      <c r="I210" s="300">
        <v>35.093000000745761</v>
      </c>
      <c r="J210" s="300">
        <f t="shared" ref="J210:J211" si="532">SUM(G210:I210)</f>
        <v>84.117000000780195</v>
      </c>
      <c r="K210" s="300"/>
      <c r="L210" s="300">
        <v>47.674000000155893</v>
      </c>
      <c r="M210" s="300">
        <v>3.1899999999988062</v>
      </c>
      <c r="N210" s="300">
        <v>30.314999999346085</v>
      </c>
      <c r="O210" s="300">
        <f t="shared" ref="O210:O211" si="533">SUM(L210:N210)</f>
        <v>81.178999999500775</v>
      </c>
      <c r="P210" s="300"/>
      <c r="Q210" s="300">
        <v>48.209000000279822</v>
      </c>
      <c r="R210" s="300">
        <v>3.3270000000014237</v>
      </c>
      <c r="S210" s="300">
        <v>31.358999997345002</v>
      </c>
      <c r="T210" s="300">
        <f t="shared" ref="T210:T211" si="534">SUM(Q210:S210)</f>
        <v>82.894999997626257</v>
      </c>
      <c r="U210" s="300"/>
      <c r="V210" s="300">
        <v>49.006000000342496</v>
      </c>
      <c r="W210" s="300">
        <v>3.6189999999940494</v>
      </c>
      <c r="X210" s="300">
        <v>33.643999998204357</v>
      </c>
      <c r="Y210" s="300">
        <f t="shared" ref="Y210:Y211" si="535">SUM(V210:X210)</f>
        <v>86.268999998540906</v>
      </c>
    </row>
    <row r="211" spans="1:25" x14ac:dyDescent="0.2">
      <c r="A211" s="260" t="s">
        <v>354</v>
      </c>
      <c r="B211" s="300">
        <f>SUM(B209:B210)</f>
        <v>51.414999999552776</v>
      </c>
      <c r="C211" s="300">
        <f t="shared" ref="C211" si="536">SUM(C209:C210)</f>
        <v>9.0190000001013964</v>
      </c>
      <c r="D211" s="300">
        <f t="shared" ref="D211" si="537">SUM(D209:D210)</f>
        <v>29.91499999845708</v>
      </c>
      <c r="E211" s="300">
        <f t="shared" si="531"/>
        <v>90.348999998111253</v>
      </c>
      <c r="F211" s="300"/>
      <c r="G211" s="300">
        <f>SUM(G209:G210)</f>
        <v>53.354000000010387</v>
      </c>
      <c r="H211" s="300">
        <f t="shared" ref="H211" si="538">SUM(H209:H210)</f>
        <v>8.0019999999839531</v>
      </c>
      <c r="I211" s="300">
        <f t="shared" ref="I211" si="539">SUM(I209:I210)</f>
        <v>36.460000000751961</v>
      </c>
      <c r="J211" s="300">
        <f t="shared" si="532"/>
        <v>97.8160000007463</v>
      </c>
      <c r="K211" s="300"/>
      <c r="L211" s="300">
        <f>SUM(L209:L210)</f>
        <v>53.694000000044142</v>
      </c>
      <c r="M211" s="300">
        <f t="shared" ref="M211" si="540">SUM(M209:M210)</f>
        <v>8.8600000000707908</v>
      </c>
      <c r="N211" s="300">
        <f t="shared" ref="N211" si="541">SUM(N209:N210)</f>
        <v>31.241999999342834</v>
      </c>
      <c r="O211" s="300">
        <f t="shared" si="533"/>
        <v>93.795999999457763</v>
      </c>
      <c r="P211" s="300"/>
      <c r="Q211" s="300">
        <f>SUM(Q209:Q210)</f>
        <v>54.401000000450196</v>
      </c>
      <c r="R211" s="300">
        <f t="shared" ref="R211" si="542">SUM(R209:R210)</f>
        <v>9.1970000000105898</v>
      </c>
      <c r="S211" s="300">
        <f t="shared" ref="S211" si="543">SUM(S209:S210)</f>
        <v>32.326999997339882</v>
      </c>
      <c r="T211" s="300">
        <f t="shared" si="534"/>
        <v>95.924999997800668</v>
      </c>
      <c r="U211" s="300"/>
      <c r="V211" s="300">
        <f>SUM(V209:V210)</f>
        <v>55.595000000387799</v>
      </c>
      <c r="W211" s="300">
        <f t="shared" ref="W211" si="544">SUM(W209:W210)</f>
        <v>9.934999999892602</v>
      </c>
      <c r="X211" s="300">
        <f t="shared" ref="X211" si="545">SUM(X209:X210)</f>
        <v>34.676999998210505</v>
      </c>
      <c r="Y211" s="300">
        <f t="shared" si="535"/>
        <v>100.2069999984909</v>
      </c>
    </row>
    <row r="212" spans="1:25" x14ac:dyDescent="0.2">
      <c r="C212" s="263"/>
    </row>
    <row r="213" spans="1:25" x14ac:dyDescent="0.2">
      <c r="A213" s="261" t="s">
        <v>368</v>
      </c>
      <c r="C213" s="263"/>
    </row>
    <row r="214" spans="1:25" x14ac:dyDescent="0.2">
      <c r="A214" s="260" t="s">
        <v>356</v>
      </c>
      <c r="B214" s="300">
        <f>SUM(B199,B204,B209)</f>
        <v>10.383999999815011</v>
      </c>
      <c r="C214" s="300">
        <f t="shared" ref="C214:D214" si="546">SUM(C199,C204,C209)</f>
        <v>10.023000000161646</v>
      </c>
      <c r="D214" s="300">
        <f t="shared" si="546"/>
        <v>1.3290000000282503</v>
      </c>
      <c r="E214" s="300">
        <f>SUM(B214:D214)</f>
        <v>21.736000000004907</v>
      </c>
      <c r="F214" s="300"/>
      <c r="G214" s="300">
        <f>SUM(G199,G204,G209)</f>
        <v>12.237999999964909</v>
      </c>
      <c r="H214" s="300">
        <f t="shared" ref="H214:I214" si="547">SUM(H199,H204,H209)</f>
        <v>9.1059999999662757</v>
      </c>
      <c r="I214" s="300">
        <f t="shared" si="547"/>
        <v>2.2910000000103881</v>
      </c>
      <c r="J214" s="300">
        <f>SUM(G214:I214)</f>
        <v>23.634999999941574</v>
      </c>
      <c r="K214" s="300"/>
      <c r="L214" s="300">
        <f>SUM(L199,L204,L209)</f>
        <v>11.037999999795108</v>
      </c>
      <c r="M214" s="300">
        <f t="shared" ref="M214:N214" si="548">SUM(M199,M204,M209)</f>
        <v>9.1250000001158433</v>
      </c>
      <c r="N214" s="300">
        <f t="shared" si="548"/>
        <v>2.2549999999920884</v>
      </c>
      <c r="O214" s="300">
        <f>SUM(L214:N214)</f>
        <v>22.417999999903039</v>
      </c>
      <c r="P214" s="300"/>
      <c r="Q214" s="300">
        <f>SUM(Q199,Q204,Q209)</f>
        <v>11.3540000003124</v>
      </c>
      <c r="R214" s="300">
        <f t="shared" ref="R214:S214" si="549">SUM(R199,R204,R209)</f>
        <v>9.4480000000147548</v>
      </c>
      <c r="S214" s="300">
        <f t="shared" si="549"/>
        <v>2.3289999999876905</v>
      </c>
      <c r="T214" s="300">
        <f>SUM(Q214:S214)</f>
        <v>23.131000000314845</v>
      </c>
      <c r="U214" s="300"/>
      <c r="V214" s="300">
        <f>SUM(V199,V204,V209)</f>
        <v>12.082000000083054</v>
      </c>
      <c r="W214" s="300">
        <f t="shared" ref="W214:X214" si="550">SUM(W199,W204,W209)</f>
        <v>10.164999999836727</v>
      </c>
      <c r="X214" s="300">
        <f t="shared" si="550"/>
        <v>2.5480000000151648</v>
      </c>
      <c r="Y214" s="300">
        <f>SUM(V214:X214)</f>
        <v>24.794999999934944</v>
      </c>
    </row>
    <row r="215" spans="1:25" x14ac:dyDescent="0.2">
      <c r="A215" s="260" t="s">
        <v>355</v>
      </c>
      <c r="B215" s="300">
        <f>SUM(B200,B205,B210)</f>
        <v>73.70499999944073</v>
      </c>
      <c r="C215" s="300">
        <f t="shared" ref="C215:D215" si="551">SUM(C200,C205,C210)</f>
        <v>4.1109999999977989</v>
      </c>
      <c r="D215" s="300">
        <f t="shared" si="551"/>
        <v>46.579999997506967</v>
      </c>
      <c r="E215" s="300">
        <f t="shared" ref="E215:E216" si="552">SUM(B215:D215)</f>
        <v>124.39599999694551</v>
      </c>
      <c r="F215" s="300"/>
      <c r="G215" s="300">
        <f>SUM(G200,G205,G210)</f>
        <v>72.26700000004567</v>
      </c>
      <c r="H215" s="300">
        <f t="shared" ref="H215:I215" si="553">SUM(H200,H205,H210)</f>
        <v>3.6170000000075744</v>
      </c>
      <c r="I215" s="300">
        <f t="shared" si="553"/>
        <v>54.13100000115034</v>
      </c>
      <c r="J215" s="300">
        <f t="shared" ref="J215:J216" si="554">SUM(G215:I215)</f>
        <v>130.01500000120359</v>
      </c>
      <c r="K215" s="300"/>
      <c r="L215" s="300">
        <f>SUM(L200,L205,L210)</f>
        <v>73.80600000024134</v>
      </c>
      <c r="M215" s="300">
        <f t="shared" ref="M215:N215" si="555">SUM(M200,M205,M210)</f>
        <v>4.9219999999981585</v>
      </c>
      <c r="N215" s="300">
        <f t="shared" si="555"/>
        <v>46.760999998991338</v>
      </c>
      <c r="O215" s="300">
        <f t="shared" ref="O215:O216" si="556">SUM(L215:N215)</f>
        <v>125.48899999923084</v>
      </c>
      <c r="P215" s="300"/>
      <c r="Q215" s="300">
        <f>SUM(Q200,Q205,Q210)</f>
        <v>74.635000000433166</v>
      </c>
      <c r="R215" s="300">
        <f t="shared" ref="R215:S215" si="557">SUM(R200,R205,R210)</f>
        <v>5.1340000000021977</v>
      </c>
      <c r="S215" s="300">
        <f t="shared" si="557"/>
        <v>48.370999995904718</v>
      </c>
      <c r="T215" s="300">
        <f t="shared" ref="T215:T216" si="558">SUM(Q215:S215)</f>
        <v>128.13999999634009</v>
      </c>
      <c r="U215" s="300"/>
      <c r="V215" s="300">
        <f>SUM(V200,V205,V210)</f>
        <v>75.868000000530202</v>
      </c>
      <c r="W215" s="300">
        <f t="shared" ref="W215:X215" si="559">SUM(W200,W205,W210)</f>
        <v>5.5849999999908189</v>
      </c>
      <c r="X215" s="300">
        <f t="shared" si="559"/>
        <v>51.896999997230168</v>
      </c>
      <c r="Y215" s="300">
        <f t="shared" ref="Y215:Y216" si="560">SUM(V215:X215)</f>
        <v>133.34999999775118</v>
      </c>
    </row>
    <row r="216" spans="1:25" x14ac:dyDescent="0.2">
      <c r="A216" s="264" t="s">
        <v>354</v>
      </c>
      <c r="B216" s="301">
        <f>SUM(B214:B215)</f>
        <v>84.088999999255748</v>
      </c>
      <c r="C216" s="301">
        <f t="shared" ref="C216" si="561">SUM(C214:C215)</f>
        <v>14.134000000159446</v>
      </c>
      <c r="D216" s="301">
        <f t="shared" ref="D216" si="562">SUM(D214:D215)</f>
        <v>47.908999997535219</v>
      </c>
      <c r="E216" s="301">
        <f t="shared" si="552"/>
        <v>146.13199999695041</v>
      </c>
      <c r="F216" s="301"/>
      <c r="G216" s="301">
        <f>SUM(G214:G215)</f>
        <v>84.505000000010583</v>
      </c>
      <c r="H216" s="301">
        <f t="shared" ref="H216" si="563">SUM(H214:H215)</f>
        <v>12.722999999973851</v>
      </c>
      <c r="I216" s="301">
        <f t="shared" ref="I216" si="564">SUM(I214:I215)</f>
        <v>56.422000001160725</v>
      </c>
      <c r="J216" s="301">
        <f t="shared" si="554"/>
        <v>153.65000000114514</v>
      </c>
      <c r="K216" s="301"/>
      <c r="L216" s="301">
        <f>SUM(L214:L215)</f>
        <v>84.844000000036445</v>
      </c>
      <c r="M216" s="301">
        <f t="shared" ref="M216" si="565">SUM(M214:M215)</f>
        <v>14.047000000114002</v>
      </c>
      <c r="N216" s="301">
        <f t="shared" ref="N216" si="566">SUM(N214:N215)</f>
        <v>49.015999998983425</v>
      </c>
      <c r="O216" s="301">
        <f t="shared" si="556"/>
        <v>147.90699999913386</v>
      </c>
      <c r="P216" s="301"/>
      <c r="Q216" s="301">
        <f>SUM(Q214:Q215)</f>
        <v>85.989000000745563</v>
      </c>
      <c r="R216" s="301">
        <f t="shared" ref="R216" si="567">SUM(R214:R215)</f>
        <v>14.582000000016953</v>
      </c>
      <c r="S216" s="301">
        <f t="shared" ref="S216" si="568">SUM(S214:S215)</f>
        <v>50.699999995892412</v>
      </c>
      <c r="T216" s="301">
        <f t="shared" si="558"/>
        <v>151.27099999665492</v>
      </c>
      <c r="U216" s="301"/>
      <c r="V216" s="301">
        <f>SUM(V214:V215)</f>
        <v>87.950000000613258</v>
      </c>
      <c r="W216" s="301">
        <f t="shared" ref="W216" si="569">SUM(W214:W215)</f>
        <v>15.749999999827546</v>
      </c>
      <c r="X216" s="301">
        <f t="shared" ref="X216" si="570">SUM(X214:X215)</f>
        <v>54.444999997245333</v>
      </c>
      <c r="Y216" s="301">
        <f t="shared" si="560"/>
        <v>158.14499999768614</v>
      </c>
    </row>
    <row r="217" spans="1:25" x14ac:dyDescent="0.2">
      <c r="C217" s="263"/>
    </row>
    <row r="218" spans="1:25" x14ac:dyDescent="0.2">
      <c r="C218" s="263"/>
    </row>
    <row r="219" spans="1:25" x14ac:dyDescent="0.2">
      <c r="C219" s="263"/>
    </row>
    <row r="220" spans="1:25" ht="15" x14ac:dyDescent="0.25">
      <c r="A220" s="265" t="str">
        <f>"Industry 9 : "&amp; name!B12</f>
        <v>Industry 9 : Wholesale and retail trade</v>
      </c>
      <c r="B220" s="371">
        <f>$B$5</f>
        <v>2015</v>
      </c>
      <c r="C220" s="371"/>
      <c r="D220" s="371"/>
      <c r="E220" s="371"/>
      <c r="F220" s="320"/>
      <c r="G220" s="371">
        <f>$G$5</f>
        <v>2019</v>
      </c>
      <c r="H220" s="371"/>
      <c r="I220" s="371"/>
      <c r="J220" s="371"/>
      <c r="K220" s="320"/>
      <c r="L220" s="371">
        <f>$L$5</f>
        <v>2020</v>
      </c>
      <c r="M220" s="371"/>
      <c r="N220" s="371"/>
      <c r="O220" s="371"/>
      <c r="P220" s="318"/>
      <c r="Q220" s="371">
        <f>$Q$5</f>
        <v>2025</v>
      </c>
      <c r="R220" s="371"/>
      <c r="S220" s="371"/>
      <c r="T220" s="371"/>
      <c r="U220" s="320"/>
      <c r="V220" s="371">
        <f>$V$5</f>
        <v>2035</v>
      </c>
      <c r="W220" s="371"/>
      <c r="X220" s="371"/>
      <c r="Y220" s="371"/>
    </row>
    <row r="221" spans="1:25" x14ac:dyDescent="0.2">
      <c r="A221" s="264"/>
      <c r="B221" s="268" t="str">
        <f>$B$6</f>
        <v>FT</v>
      </c>
      <c r="C221" s="268" t="str">
        <f>$C$6</f>
        <v>PT</v>
      </c>
      <c r="D221" s="268" t="str">
        <f>$D$6</f>
        <v>SE</v>
      </c>
      <c r="E221" s="268" t="str">
        <f>$E$6</f>
        <v>Total</v>
      </c>
      <c r="F221" s="268"/>
      <c r="G221" s="268" t="str">
        <f>$B$6</f>
        <v>FT</v>
      </c>
      <c r="H221" s="268" t="str">
        <f>$C$6</f>
        <v>PT</v>
      </c>
      <c r="I221" s="268" t="str">
        <f>$D$6</f>
        <v>SE</v>
      </c>
      <c r="J221" s="268" t="str">
        <f>$E$6</f>
        <v>Total</v>
      </c>
      <c r="K221" s="268"/>
      <c r="L221" s="268" t="str">
        <f>$L$6</f>
        <v>FT</v>
      </c>
      <c r="M221" s="268" t="str">
        <f>$M$6</f>
        <v>PT</v>
      </c>
      <c r="N221" s="268" t="str">
        <f>$N$6</f>
        <v>SE</v>
      </c>
      <c r="O221" s="268" t="str">
        <f>$O$6</f>
        <v>Total</v>
      </c>
      <c r="P221" s="268"/>
      <c r="Q221" s="268" t="str">
        <f>$L$6</f>
        <v>FT</v>
      </c>
      <c r="R221" s="268" t="str">
        <f>$M$6</f>
        <v>PT</v>
      </c>
      <c r="S221" s="268" t="str">
        <f>$N$6</f>
        <v>SE</v>
      </c>
      <c r="T221" s="268" t="str">
        <f>$O$6</f>
        <v>Total</v>
      </c>
      <c r="U221" s="268"/>
      <c r="V221" s="268" t="str">
        <f>$V$6</f>
        <v>FT</v>
      </c>
      <c r="W221" s="268" t="str">
        <f>$W$6</f>
        <v>PT</v>
      </c>
      <c r="X221" s="268" t="str">
        <f>$X$6</f>
        <v>SE</v>
      </c>
      <c r="Y221" s="268" t="str">
        <f>$Y$6</f>
        <v>Total</v>
      </c>
    </row>
    <row r="222" spans="1:25" x14ac:dyDescent="0.2">
      <c r="C222" s="319"/>
      <c r="D222" s="319"/>
      <c r="E222" s="319"/>
      <c r="F222" s="319"/>
      <c r="G222" s="319"/>
      <c r="H222" s="319"/>
      <c r="I222" s="319"/>
      <c r="J222" s="319"/>
      <c r="K222" s="319"/>
      <c r="L222" s="319"/>
      <c r="M222" s="319"/>
      <c r="N222" s="319"/>
      <c r="O222" s="319"/>
      <c r="P222" s="319"/>
      <c r="Q222" s="319"/>
      <c r="R222" s="319"/>
      <c r="S222" s="319"/>
      <c r="T222" s="319"/>
      <c r="U222" s="319"/>
      <c r="V222" s="319"/>
      <c r="W222" s="319"/>
      <c r="X222" s="319"/>
      <c r="Y222" s="319"/>
    </row>
    <row r="223" spans="1:25" x14ac:dyDescent="0.2">
      <c r="A223" s="261" t="str">
        <f>name!A34</f>
        <v>Motor vehicle trade</v>
      </c>
      <c r="C223" s="263"/>
    </row>
    <row r="224" spans="1:25" x14ac:dyDescent="0.2">
      <c r="A224" s="260" t="s">
        <v>356</v>
      </c>
      <c r="B224" s="300">
        <v>4.807000000046469</v>
      </c>
      <c r="C224" s="300">
        <v>2.9400000001449698</v>
      </c>
      <c r="D224" s="300">
        <v>0.41300000000669984</v>
      </c>
      <c r="E224" s="300">
        <f>SUM(B224:D224)</f>
        <v>8.1600000001981385</v>
      </c>
      <c r="F224" s="300"/>
      <c r="G224" s="300">
        <v>4.3129999999114972</v>
      </c>
      <c r="H224" s="300">
        <v>2.6140000000163113</v>
      </c>
      <c r="I224" s="300">
        <v>1.195000000008406</v>
      </c>
      <c r="J224" s="300">
        <f>SUM(G224:I224)</f>
        <v>8.1219999999362145</v>
      </c>
      <c r="K224" s="300"/>
      <c r="L224" s="300">
        <v>4.0210000000199297</v>
      </c>
      <c r="M224" s="300">
        <v>2.3180000001025616</v>
      </c>
      <c r="N224" s="300">
        <v>0.51199999999699575</v>
      </c>
      <c r="O224" s="300">
        <f>SUM(L224:N224)</f>
        <v>6.8510000001194866</v>
      </c>
      <c r="P224" s="300"/>
      <c r="Q224" s="300">
        <v>4.3410000000473046</v>
      </c>
      <c r="R224" s="300">
        <v>2.2840000000813765</v>
      </c>
      <c r="S224" s="300">
        <v>0.52599999999835068</v>
      </c>
      <c r="T224" s="300">
        <f>SUM(Q224:S224)</f>
        <v>7.1510000001270315</v>
      </c>
      <c r="U224" s="300"/>
      <c r="V224" s="300">
        <v>4.8729999999327758</v>
      </c>
      <c r="W224" s="300">
        <v>2.1129999999673137</v>
      </c>
      <c r="X224" s="300">
        <v>0.53899999999721804</v>
      </c>
      <c r="Y224" s="300">
        <f>SUM(V224:X224)</f>
        <v>7.5249999998973074</v>
      </c>
    </row>
    <row r="225" spans="1:25" x14ac:dyDescent="0.2">
      <c r="A225" s="260" t="s">
        <v>355</v>
      </c>
      <c r="B225" s="300">
        <v>29.270999999678878</v>
      </c>
      <c r="C225" s="300">
        <v>2.7419999999942983</v>
      </c>
      <c r="D225" s="300">
        <v>3.5759999999437206</v>
      </c>
      <c r="E225" s="300">
        <f t="shared" ref="E225:E226" si="571">SUM(B225:D225)</f>
        <v>35.588999999616895</v>
      </c>
      <c r="F225" s="300"/>
      <c r="G225" s="300">
        <v>30.883000000068126</v>
      </c>
      <c r="H225" s="300">
        <v>1.4890000000179424</v>
      </c>
      <c r="I225" s="300">
        <v>6.4360000001108437</v>
      </c>
      <c r="J225" s="300">
        <f t="shared" ref="J225:J226" si="572">SUM(G225:I225)</f>
        <v>38.808000000196913</v>
      </c>
      <c r="K225" s="300"/>
      <c r="L225" s="300">
        <v>26.918000000179084</v>
      </c>
      <c r="M225" s="300">
        <v>1.838000000017721</v>
      </c>
      <c r="N225" s="300">
        <v>5.2099999999940634</v>
      </c>
      <c r="O225" s="300">
        <f t="shared" ref="O225:O226" si="573">SUM(L225:N225)</f>
        <v>33.966000000190867</v>
      </c>
      <c r="P225" s="300"/>
      <c r="Q225" s="300">
        <v>28.207000000237642</v>
      </c>
      <c r="R225" s="300">
        <v>1.9060000000143569</v>
      </c>
      <c r="S225" s="300">
        <v>5.456999999879077</v>
      </c>
      <c r="T225" s="300">
        <f t="shared" ref="T225:T226" si="574">SUM(Q225:S225)</f>
        <v>35.570000000131074</v>
      </c>
      <c r="U225" s="300"/>
      <c r="V225" s="300">
        <v>29.931000000298909</v>
      </c>
      <c r="W225" s="300">
        <v>1.9770000000156582</v>
      </c>
      <c r="X225" s="300">
        <v>5.8049999999568591</v>
      </c>
      <c r="Y225" s="300">
        <f t="shared" ref="Y225:Y226" si="575">SUM(V225:X225)</f>
        <v>37.713000000271421</v>
      </c>
    </row>
    <row r="226" spans="1:25" x14ac:dyDescent="0.2">
      <c r="A226" s="260" t="s">
        <v>354</v>
      </c>
      <c r="B226" s="300">
        <f>SUM(B224:B225)</f>
        <v>34.07799999972535</v>
      </c>
      <c r="C226" s="300">
        <f t="shared" ref="C226" si="576">SUM(C224:C225)</f>
        <v>5.6820000001392685</v>
      </c>
      <c r="D226" s="300">
        <f t="shared" ref="D226" si="577">SUM(D224:D225)</f>
        <v>3.9889999999504204</v>
      </c>
      <c r="E226" s="300">
        <f t="shared" si="571"/>
        <v>43.748999999815041</v>
      </c>
      <c r="F226" s="300"/>
      <c r="G226" s="300">
        <f>SUM(G224:G225)</f>
        <v>35.19599999997962</v>
      </c>
      <c r="H226" s="300">
        <f t="shared" ref="H226" si="578">SUM(H224:H225)</f>
        <v>4.1030000000342532</v>
      </c>
      <c r="I226" s="300">
        <f t="shared" ref="I226" si="579">SUM(I224:I225)</f>
        <v>7.6310000001192497</v>
      </c>
      <c r="J226" s="300">
        <f t="shared" si="572"/>
        <v>46.930000000133127</v>
      </c>
      <c r="K226" s="300"/>
      <c r="L226" s="300">
        <f>SUM(L224:L225)</f>
        <v>30.939000000199016</v>
      </c>
      <c r="M226" s="300">
        <f t="shared" ref="M226" si="580">SUM(M224:M225)</f>
        <v>4.156000000120283</v>
      </c>
      <c r="N226" s="300">
        <f t="shared" ref="N226" si="581">SUM(N224:N225)</f>
        <v>5.7219999999910591</v>
      </c>
      <c r="O226" s="300">
        <f t="shared" si="573"/>
        <v>40.817000000310358</v>
      </c>
      <c r="P226" s="300"/>
      <c r="Q226" s="300">
        <f>SUM(Q224:Q225)</f>
        <v>32.548000000284944</v>
      </c>
      <c r="R226" s="300">
        <f t="shared" ref="R226" si="582">SUM(R224:R225)</f>
        <v>4.1900000000957336</v>
      </c>
      <c r="S226" s="300">
        <f t="shared" ref="S226" si="583">SUM(S224:S225)</f>
        <v>5.9829999998774275</v>
      </c>
      <c r="T226" s="300">
        <f t="shared" si="574"/>
        <v>42.721000000258108</v>
      </c>
      <c r="U226" s="300"/>
      <c r="V226" s="300">
        <f>SUM(V224:V225)</f>
        <v>34.804000000231682</v>
      </c>
      <c r="W226" s="300">
        <f t="shared" ref="W226" si="584">SUM(W224:W225)</f>
        <v>4.0899999999829717</v>
      </c>
      <c r="X226" s="300">
        <f t="shared" ref="X226" si="585">SUM(X224:X225)</f>
        <v>6.343999999954077</v>
      </c>
      <c r="Y226" s="300">
        <f t="shared" si="575"/>
        <v>45.238000000168732</v>
      </c>
    </row>
    <row r="227" spans="1:25" x14ac:dyDescent="0.2">
      <c r="C227" s="319"/>
      <c r="D227" s="319"/>
      <c r="E227" s="319"/>
      <c r="F227" s="319"/>
      <c r="G227" s="319"/>
      <c r="H227" s="319"/>
      <c r="I227" s="319"/>
      <c r="J227" s="319"/>
      <c r="K227" s="319"/>
      <c r="L227" s="319"/>
      <c r="M227" s="319"/>
      <c r="N227" s="319"/>
      <c r="O227" s="319"/>
      <c r="P227" s="319"/>
      <c r="Q227" s="319"/>
      <c r="R227" s="319"/>
      <c r="S227" s="319"/>
      <c r="T227" s="319"/>
      <c r="U227" s="319"/>
      <c r="V227" s="319"/>
      <c r="W227" s="319"/>
      <c r="X227" s="319"/>
      <c r="Y227" s="319"/>
    </row>
    <row r="228" spans="1:25" x14ac:dyDescent="0.2">
      <c r="A228" s="261" t="str">
        <f>name!A35</f>
        <v>Wholesale trade</v>
      </c>
      <c r="C228" s="263"/>
    </row>
    <row r="229" spans="1:25" x14ac:dyDescent="0.2">
      <c r="A229" s="260" t="s">
        <v>356</v>
      </c>
      <c r="B229" s="300">
        <v>23.756000000222517</v>
      </c>
      <c r="C229" s="300">
        <v>7.6370000003220486</v>
      </c>
      <c r="D229" s="300">
        <v>1.9800000000315903</v>
      </c>
      <c r="E229" s="300">
        <f>SUM(B229:D229)</f>
        <v>33.373000000576155</v>
      </c>
      <c r="F229" s="300"/>
      <c r="G229" s="300">
        <v>32.388999999114574</v>
      </c>
      <c r="H229" s="300">
        <v>9.7940000000178422</v>
      </c>
      <c r="I229" s="300">
        <v>3.1760000000311215</v>
      </c>
      <c r="J229" s="300">
        <f>SUM(G229:I229)</f>
        <v>45.358999999163544</v>
      </c>
      <c r="K229" s="300"/>
      <c r="L229" s="300">
        <v>30.452000000108924</v>
      </c>
      <c r="M229" s="300">
        <v>9.7910000003598334</v>
      </c>
      <c r="N229" s="300">
        <v>1.3639999999841479</v>
      </c>
      <c r="O229" s="300">
        <f>SUM(L229:N229)</f>
        <v>41.607000000452899</v>
      </c>
      <c r="P229" s="300"/>
      <c r="Q229" s="300">
        <v>32.752000000688142</v>
      </c>
      <c r="R229" s="300">
        <v>9.6180000002542929</v>
      </c>
      <c r="S229" s="300">
        <v>1.389999999996224</v>
      </c>
      <c r="T229" s="300">
        <f>SUM(Q229:S229)</f>
        <v>43.76000000093866</v>
      </c>
      <c r="U229" s="300"/>
      <c r="V229" s="300">
        <v>36.469999999409644</v>
      </c>
      <c r="W229" s="300">
        <v>8.912999999874426</v>
      </c>
      <c r="X229" s="300">
        <v>1.4019999999943842</v>
      </c>
      <c r="Y229" s="300">
        <f>SUM(V229:X229)</f>
        <v>46.784999999278455</v>
      </c>
    </row>
    <row r="230" spans="1:25" x14ac:dyDescent="0.2">
      <c r="A230" s="260" t="s">
        <v>355</v>
      </c>
      <c r="B230" s="300">
        <v>53.796999999444147</v>
      </c>
      <c r="C230" s="300">
        <v>4.6559999999897519</v>
      </c>
      <c r="D230" s="300">
        <v>3.0090000000252277</v>
      </c>
      <c r="E230" s="300">
        <f t="shared" ref="E230:E231" si="586">SUM(B230:D230)</f>
        <v>61.461999999459124</v>
      </c>
      <c r="F230" s="300"/>
      <c r="G230" s="300">
        <v>70.084000000164465</v>
      </c>
      <c r="H230" s="300">
        <v>5.9230000000602878</v>
      </c>
      <c r="I230" s="300">
        <v>4.0990000000304878</v>
      </c>
      <c r="J230" s="300">
        <f t="shared" ref="J230:J231" si="587">SUM(G230:I230)</f>
        <v>80.106000000255236</v>
      </c>
      <c r="K230" s="300"/>
      <c r="L230" s="300">
        <v>64.555000000423064</v>
      </c>
      <c r="M230" s="300">
        <v>5.508000000037808</v>
      </c>
      <c r="N230" s="300">
        <v>7.6540000001053468</v>
      </c>
      <c r="O230" s="300">
        <f t="shared" ref="O230:O231" si="588">SUM(L230:N230)</f>
        <v>77.717000000566216</v>
      </c>
      <c r="P230" s="300"/>
      <c r="Q230" s="300">
        <v>65.034000000492938</v>
      </c>
      <c r="R230" s="300">
        <v>5.5860000000316932</v>
      </c>
      <c r="S230" s="300">
        <v>7.8660000001858839</v>
      </c>
      <c r="T230" s="300">
        <f t="shared" ref="T230:T231" si="589">SUM(Q230:S230)</f>
        <v>78.486000000710504</v>
      </c>
      <c r="U230" s="300"/>
      <c r="V230" s="300">
        <v>63.9390000004854</v>
      </c>
      <c r="W230" s="300">
        <v>5.5640000000242686</v>
      </c>
      <c r="X230" s="300">
        <v>8.0700000001469547</v>
      </c>
      <c r="Y230" s="300">
        <f t="shared" ref="Y230:Y231" si="590">SUM(V230:X230)</f>
        <v>77.573000000656634</v>
      </c>
    </row>
    <row r="231" spans="1:25" x14ac:dyDescent="0.2">
      <c r="A231" s="260" t="s">
        <v>354</v>
      </c>
      <c r="B231" s="300">
        <f>SUM(B229:B230)</f>
        <v>77.552999999666667</v>
      </c>
      <c r="C231" s="300">
        <f t="shared" ref="C231" si="591">SUM(C229:C230)</f>
        <v>12.2930000003118</v>
      </c>
      <c r="D231" s="300">
        <f t="shared" ref="D231" si="592">SUM(D229:D230)</f>
        <v>4.9890000000568175</v>
      </c>
      <c r="E231" s="300">
        <f t="shared" si="586"/>
        <v>94.835000000035279</v>
      </c>
      <c r="F231" s="300"/>
      <c r="G231" s="300">
        <f>SUM(G229:G230)</f>
        <v>102.47299999927904</v>
      </c>
      <c r="H231" s="300">
        <f t="shared" ref="H231" si="593">SUM(H229:H230)</f>
        <v>15.71700000007813</v>
      </c>
      <c r="I231" s="300">
        <f t="shared" ref="I231" si="594">SUM(I229:I230)</f>
        <v>7.2750000000616097</v>
      </c>
      <c r="J231" s="300">
        <f t="shared" si="587"/>
        <v>125.46499999941878</v>
      </c>
      <c r="K231" s="300"/>
      <c r="L231" s="300">
        <f>SUM(L229:L230)</f>
        <v>95.007000000531988</v>
      </c>
      <c r="M231" s="300">
        <f t="shared" ref="M231" si="595">SUM(M229:M230)</f>
        <v>15.299000000397641</v>
      </c>
      <c r="N231" s="300">
        <f t="shared" ref="N231" si="596">SUM(N229:N230)</f>
        <v>9.0180000000894953</v>
      </c>
      <c r="O231" s="300">
        <f t="shared" si="588"/>
        <v>119.32400000101913</v>
      </c>
      <c r="P231" s="300"/>
      <c r="Q231" s="300">
        <f>SUM(Q229:Q230)</f>
        <v>97.78600000118108</v>
      </c>
      <c r="R231" s="300">
        <f t="shared" ref="R231" si="597">SUM(R229:R230)</f>
        <v>15.204000000285987</v>
      </c>
      <c r="S231" s="300">
        <f t="shared" ref="S231" si="598">SUM(S229:S230)</f>
        <v>9.2560000001821088</v>
      </c>
      <c r="T231" s="300">
        <f t="shared" si="589"/>
        <v>122.24600000164918</v>
      </c>
      <c r="U231" s="300"/>
      <c r="V231" s="300">
        <f>SUM(V229:V230)</f>
        <v>100.40899999989504</v>
      </c>
      <c r="W231" s="300">
        <f t="shared" ref="W231" si="599">SUM(W229:W230)</f>
        <v>14.476999999898695</v>
      </c>
      <c r="X231" s="300">
        <f t="shared" ref="X231" si="600">SUM(X229:X230)</f>
        <v>9.4720000001413389</v>
      </c>
      <c r="Y231" s="300">
        <f t="shared" si="590"/>
        <v>124.35799999993507</v>
      </c>
    </row>
    <row r="232" spans="1:25" x14ac:dyDescent="0.2">
      <c r="C232" s="319"/>
      <c r="D232" s="319"/>
      <c r="E232" s="319"/>
      <c r="F232" s="319"/>
      <c r="G232" s="319"/>
      <c r="H232" s="319"/>
      <c r="I232" s="319"/>
      <c r="J232" s="319"/>
      <c r="K232" s="319"/>
      <c r="L232" s="319"/>
      <c r="M232" s="319"/>
      <c r="N232" s="319"/>
      <c r="O232" s="319"/>
      <c r="P232" s="319"/>
      <c r="Q232" s="319"/>
      <c r="R232" s="319"/>
      <c r="S232" s="319"/>
      <c r="T232" s="319"/>
      <c r="U232" s="319"/>
      <c r="V232" s="319"/>
      <c r="W232" s="319"/>
      <c r="X232" s="319"/>
      <c r="Y232" s="319"/>
    </row>
    <row r="233" spans="1:25" x14ac:dyDescent="0.2">
      <c r="A233" s="261" t="str">
        <f>name!A36</f>
        <v>Retail trade</v>
      </c>
      <c r="C233" s="263"/>
    </row>
    <row r="234" spans="1:25" x14ac:dyDescent="0.2">
      <c r="A234" s="260" t="s">
        <v>356</v>
      </c>
      <c r="B234" s="300">
        <v>44.21600000040074</v>
      </c>
      <c r="C234" s="300">
        <v>82.628000005485248</v>
      </c>
      <c r="D234" s="300">
        <v>8.76200000015554</v>
      </c>
      <c r="E234" s="300">
        <f>SUM(B234:D234)</f>
        <v>135.60600000604154</v>
      </c>
      <c r="F234" s="300"/>
      <c r="G234" s="300">
        <v>40.110999999009543</v>
      </c>
      <c r="H234" s="300">
        <v>78.738000001447944</v>
      </c>
      <c r="I234" s="300">
        <v>11.81600000016523</v>
      </c>
      <c r="J234" s="300">
        <f>SUM(G234:I234)</f>
        <v>130.66500000062271</v>
      </c>
      <c r="K234" s="300"/>
      <c r="L234" s="300">
        <v>36.962000000138254</v>
      </c>
      <c r="M234" s="300">
        <v>78.240000004734569</v>
      </c>
      <c r="N234" s="300">
        <v>6.8289999998959159</v>
      </c>
      <c r="O234" s="300">
        <f>SUM(L234:N234)</f>
        <v>122.03100000476873</v>
      </c>
      <c r="P234" s="300"/>
      <c r="Q234" s="300">
        <v>38.391000000686418</v>
      </c>
      <c r="R234" s="300">
        <v>76.375000004560292</v>
      </c>
      <c r="S234" s="300">
        <v>7.1829999999846876</v>
      </c>
      <c r="T234" s="300">
        <f>SUM(Q234:S234)</f>
        <v>121.9490000052314</v>
      </c>
      <c r="U234" s="300"/>
      <c r="V234" s="300">
        <v>41.225999999462573</v>
      </c>
      <c r="W234" s="300">
        <v>72.326999999008009</v>
      </c>
      <c r="X234" s="300">
        <v>7.8989999999858176</v>
      </c>
      <c r="Y234" s="300">
        <f>SUM(V234:X234)</f>
        <v>121.4519999984564</v>
      </c>
    </row>
    <row r="235" spans="1:25" x14ac:dyDescent="0.2">
      <c r="A235" s="260" t="s">
        <v>355</v>
      </c>
      <c r="B235" s="300">
        <v>49.149999999606301</v>
      </c>
      <c r="C235" s="300">
        <v>33.352000000091046</v>
      </c>
      <c r="D235" s="300">
        <v>6.932000000062013</v>
      </c>
      <c r="E235" s="300">
        <f t="shared" ref="E235:E236" si="601">SUM(B235:D235)</f>
        <v>89.433999999759365</v>
      </c>
      <c r="F235" s="300"/>
      <c r="G235" s="300">
        <v>46.172000000077716</v>
      </c>
      <c r="H235" s="300">
        <v>30.67600000047976</v>
      </c>
      <c r="I235" s="300">
        <v>7.2410000000871477</v>
      </c>
      <c r="J235" s="300">
        <f t="shared" ref="J235:J236" si="602">SUM(G235:I235)</f>
        <v>84.089000000644631</v>
      </c>
      <c r="K235" s="300"/>
      <c r="L235" s="300">
        <v>41.92100000018597</v>
      </c>
      <c r="M235" s="300">
        <v>32.309000000067691</v>
      </c>
      <c r="N235" s="300">
        <v>9.3130000001121793</v>
      </c>
      <c r="O235" s="300">
        <f t="shared" ref="O235:O236" si="603">SUM(L235:N235)</f>
        <v>83.543000000365836</v>
      </c>
      <c r="P235" s="300"/>
      <c r="Q235" s="300">
        <v>43.590000000231278</v>
      </c>
      <c r="R235" s="300">
        <v>32.748000000187005</v>
      </c>
      <c r="S235" s="300">
        <v>9.4570000001667136</v>
      </c>
      <c r="T235" s="300">
        <f t="shared" ref="T235:T236" si="604">SUM(Q235:S235)</f>
        <v>85.795000000584992</v>
      </c>
      <c r="U235" s="300"/>
      <c r="V235" s="300">
        <v>46.896000000203443</v>
      </c>
      <c r="W235" s="300">
        <v>33.567000000175362</v>
      </c>
      <c r="X235" s="300">
        <v>9.7400000001727598</v>
      </c>
      <c r="Y235" s="300">
        <f t="shared" ref="Y235:Y236" si="605">SUM(V235:X235)</f>
        <v>90.203000000551555</v>
      </c>
    </row>
    <row r="236" spans="1:25" x14ac:dyDescent="0.2">
      <c r="A236" s="260" t="s">
        <v>354</v>
      </c>
      <c r="B236" s="300">
        <f>SUM(B234:B235)</f>
        <v>93.366000000007034</v>
      </c>
      <c r="C236" s="300">
        <f t="shared" ref="C236" si="606">SUM(C234:C235)</f>
        <v>115.9800000055763</v>
      </c>
      <c r="D236" s="300">
        <f t="shared" ref="D236" si="607">SUM(D234:D235)</f>
        <v>15.694000000217553</v>
      </c>
      <c r="E236" s="300">
        <f t="shared" si="601"/>
        <v>225.04000000580089</v>
      </c>
      <c r="F236" s="300"/>
      <c r="G236" s="300">
        <f>SUM(G234:G235)</f>
        <v>86.282999999087252</v>
      </c>
      <c r="H236" s="300">
        <f t="shared" ref="H236" si="608">SUM(H234:H235)</f>
        <v>109.4140000019277</v>
      </c>
      <c r="I236" s="300">
        <f t="shared" ref="I236" si="609">SUM(I234:I235)</f>
        <v>19.05700000025238</v>
      </c>
      <c r="J236" s="300">
        <f t="shared" si="602"/>
        <v>214.75400000126731</v>
      </c>
      <c r="K236" s="300"/>
      <c r="L236" s="300">
        <f>SUM(L234:L235)</f>
        <v>78.883000000324216</v>
      </c>
      <c r="M236" s="300">
        <f t="shared" ref="M236" si="610">SUM(M234:M235)</f>
        <v>110.54900000480225</v>
      </c>
      <c r="N236" s="300">
        <f t="shared" ref="N236" si="611">SUM(N234:N235)</f>
        <v>16.142000000008096</v>
      </c>
      <c r="O236" s="300">
        <f t="shared" si="603"/>
        <v>205.57400000513456</v>
      </c>
      <c r="P236" s="300"/>
      <c r="Q236" s="300">
        <f>SUM(Q234:Q235)</f>
        <v>81.981000000917703</v>
      </c>
      <c r="R236" s="300">
        <f t="shared" ref="R236" si="612">SUM(R234:R235)</f>
        <v>109.1230000047473</v>
      </c>
      <c r="S236" s="300">
        <f t="shared" ref="S236" si="613">SUM(S234:S235)</f>
        <v>16.640000000151403</v>
      </c>
      <c r="T236" s="300">
        <f t="shared" si="604"/>
        <v>207.74400000581642</v>
      </c>
      <c r="U236" s="300"/>
      <c r="V236" s="300">
        <f>SUM(V234:V235)</f>
        <v>88.121999999666016</v>
      </c>
      <c r="W236" s="300">
        <f t="shared" ref="W236" si="614">SUM(W234:W235)</f>
        <v>105.89399999918336</v>
      </c>
      <c r="X236" s="300">
        <f t="shared" ref="X236" si="615">SUM(X234:X235)</f>
        <v>17.639000000158578</v>
      </c>
      <c r="Y236" s="300">
        <f t="shared" si="605"/>
        <v>211.65499999900797</v>
      </c>
    </row>
    <row r="237" spans="1:25" x14ac:dyDescent="0.2">
      <c r="C237" s="263"/>
    </row>
    <row r="238" spans="1:25" x14ac:dyDescent="0.2">
      <c r="A238" s="261" t="s">
        <v>367</v>
      </c>
      <c r="C238" s="263"/>
    </row>
    <row r="239" spans="1:25" x14ac:dyDescent="0.2">
      <c r="A239" s="260" t="s">
        <v>356</v>
      </c>
      <c r="B239" s="300">
        <f>SUM(B224,B229,B234)</f>
        <v>72.779000000669726</v>
      </c>
      <c r="C239" s="300">
        <f t="shared" ref="C239:D239" si="616">SUM(C224,C229,C234)</f>
        <v>93.205000005952272</v>
      </c>
      <c r="D239" s="300">
        <f t="shared" si="616"/>
        <v>11.15500000019383</v>
      </c>
      <c r="E239" s="300">
        <f>SUM(B239:D239)</f>
        <v>177.13900000681585</v>
      </c>
      <c r="F239" s="300"/>
      <c r="G239" s="300">
        <f>SUM(G224,G229,G234)</f>
        <v>76.812999998035622</v>
      </c>
      <c r="H239" s="300">
        <f t="shared" ref="H239:I239" si="617">SUM(H224,H229,H234)</f>
        <v>91.146000001482093</v>
      </c>
      <c r="I239" s="300">
        <f t="shared" si="617"/>
        <v>16.187000000204758</v>
      </c>
      <c r="J239" s="300">
        <f>SUM(G239:I239)</f>
        <v>184.14599999972248</v>
      </c>
      <c r="K239" s="300"/>
      <c r="L239" s="300">
        <f>SUM(L224,L229,L234)</f>
        <v>71.435000000267109</v>
      </c>
      <c r="M239" s="300">
        <f t="shared" ref="M239:N239" si="618">SUM(M224,M229,M234)</f>
        <v>90.349000005196956</v>
      </c>
      <c r="N239" s="300">
        <f t="shared" si="618"/>
        <v>8.7049999998770602</v>
      </c>
      <c r="O239" s="300">
        <f>SUM(L239:N239)</f>
        <v>170.48900000534113</v>
      </c>
      <c r="P239" s="300"/>
      <c r="Q239" s="300">
        <f>SUM(Q224,Q229,Q234)</f>
        <v>75.484000001421862</v>
      </c>
      <c r="R239" s="300">
        <f t="shared" ref="R239:S239" si="619">SUM(R224,R229,R234)</f>
        <v>88.277000004895967</v>
      </c>
      <c r="S239" s="300">
        <f t="shared" si="619"/>
        <v>9.098999999979263</v>
      </c>
      <c r="T239" s="300">
        <f>SUM(Q239:S239)</f>
        <v>172.8600000062971</v>
      </c>
      <c r="U239" s="300"/>
      <c r="V239" s="300">
        <f>SUM(V224,V229,V234)</f>
        <v>82.568999998804998</v>
      </c>
      <c r="W239" s="300">
        <f t="shared" ref="W239:X239" si="620">SUM(W224,W229,W234)</f>
        <v>83.352999998849754</v>
      </c>
      <c r="X239" s="300">
        <f t="shared" si="620"/>
        <v>9.8399999999774188</v>
      </c>
      <c r="Y239" s="300">
        <f>SUM(V239:X239)</f>
        <v>175.76199999763216</v>
      </c>
    </row>
    <row r="240" spans="1:25" x14ac:dyDescent="0.2">
      <c r="A240" s="260" t="s">
        <v>355</v>
      </c>
      <c r="B240" s="300">
        <f>SUM(B225,B230,B235)</f>
        <v>132.21799999872934</v>
      </c>
      <c r="C240" s="300">
        <f t="shared" ref="C240:D240" si="621">SUM(C225,C230,C235)</f>
        <v>40.750000000075097</v>
      </c>
      <c r="D240" s="300">
        <f t="shared" si="621"/>
        <v>13.517000000030961</v>
      </c>
      <c r="E240" s="300">
        <f t="shared" ref="E240:E241" si="622">SUM(B240:D240)</f>
        <v>186.48499999883541</v>
      </c>
      <c r="F240" s="300"/>
      <c r="G240" s="300">
        <f>SUM(G225,G230,G235)</f>
        <v>147.13900000031032</v>
      </c>
      <c r="H240" s="300">
        <f t="shared" ref="H240:I240" si="623">SUM(H225,H230,H235)</f>
        <v>38.08800000055799</v>
      </c>
      <c r="I240" s="300">
        <f t="shared" si="623"/>
        <v>17.776000000228478</v>
      </c>
      <c r="J240" s="300">
        <f t="shared" ref="J240:J241" si="624">SUM(G240:I240)</f>
        <v>203.00300000109678</v>
      </c>
      <c r="K240" s="300"/>
      <c r="L240" s="300">
        <f>SUM(L225,L230,L235)</f>
        <v>133.39400000078814</v>
      </c>
      <c r="M240" s="300">
        <f t="shared" ref="M240:N240" si="625">SUM(M225,M230,M235)</f>
        <v>39.655000000123223</v>
      </c>
      <c r="N240" s="300">
        <f t="shared" si="625"/>
        <v>22.177000000211589</v>
      </c>
      <c r="O240" s="300">
        <f t="shared" ref="O240:O241" si="626">SUM(L240:N240)</f>
        <v>195.22600000112294</v>
      </c>
      <c r="P240" s="300"/>
      <c r="Q240" s="300">
        <f>SUM(Q225,Q230,Q235)</f>
        <v>136.83100000096186</v>
      </c>
      <c r="R240" s="300">
        <f t="shared" ref="R240:S240" si="627">SUM(R225,R230,R235)</f>
        <v>40.240000000233053</v>
      </c>
      <c r="S240" s="300">
        <f t="shared" si="627"/>
        <v>22.780000000231674</v>
      </c>
      <c r="T240" s="300">
        <f t="shared" ref="T240:T241" si="628">SUM(Q240:S240)</f>
        <v>199.8510000014266</v>
      </c>
      <c r="U240" s="300"/>
      <c r="V240" s="300">
        <f>SUM(V225,V230,V235)</f>
        <v>140.76600000098773</v>
      </c>
      <c r="W240" s="300">
        <f t="shared" ref="W240:X240" si="629">SUM(W225,W230,W235)</f>
        <v>41.108000000215291</v>
      </c>
      <c r="X240" s="300">
        <f t="shared" si="629"/>
        <v>23.615000000276574</v>
      </c>
      <c r="Y240" s="300">
        <f t="shared" ref="Y240:Y241" si="630">SUM(V240:X240)</f>
        <v>205.48900000147961</v>
      </c>
    </row>
    <row r="241" spans="1:25" x14ac:dyDescent="0.2">
      <c r="A241" s="264" t="s">
        <v>354</v>
      </c>
      <c r="B241" s="301">
        <f>SUM(B239:B240)</f>
        <v>204.99699999939907</v>
      </c>
      <c r="C241" s="301">
        <f t="shared" ref="C241" si="631">SUM(C239:C240)</f>
        <v>133.95500000602738</v>
      </c>
      <c r="D241" s="301">
        <f t="shared" ref="D241" si="632">SUM(D239:D240)</f>
        <v>24.672000000224791</v>
      </c>
      <c r="E241" s="301">
        <f t="shared" si="622"/>
        <v>363.62400000565123</v>
      </c>
      <c r="F241" s="301"/>
      <c r="G241" s="301">
        <f>SUM(G239:G240)</f>
        <v>223.95199999834594</v>
      </c>
      <c r="H241" s="301">
        <f t="shared" ref="H241" si="633">SUM(H239:H240)</f>
        <v>129.23400000204009</v>
      </c>
      <c r="I241" s="301">
        <f t="shared" ref="I241" si="634">SUM(I239:I240)</f>
        <v>33.96300000043324</v>
      </c>
      <c r="J241" s="301">
        <f t="shared" si="624"/>
        <v>387.14900000081923</v>
      </c>
      <c r="K241" s="301"/>
      <c r="L241" s="301">
        <f>SUM(L239:L240)</f>
        <v>204.82900000105525</v>
      </c>
      <c r="M241" s="301">
        <f t="shared" ref="M241" si="635">SUM(M239:M240)</f>
        <v>130.00400000532017</v>
      </c>
      <c r="N241" s="301">
        <f t="shared" ref="N241" si="636">SUM(N239:N240)</f>
        <v>30.882000000088649</v>
      </c>
      <c r="O241" s="301">
        <f t="shared" si="626"/>
        <v>365.71500000646404</v>
      </c>
      <c r="P241" s="301"/>
      <c r="Q241" s="301">
        <f>SUM(Q239:Q240)</f>
        <v>212.31500000238373</v>
      </c>
      <c r="R241" s="301">
        <f t="shared" ref="R241" si="637">SUM(R239:R240)</f>
        <v>128.51700000512903</v>
      </c>
      <c r="S241" s="301">
        <f t="shared" ref="S241" si="638">SUM(S239:S240)</f>
        <v>31.879000000210937</v>
      </c>
      <c r="T241" s="301">
        <f t="shared" si="628"/>
        <v>372.71100000772367</v>
      </c>
      <c r="U241" s="301"/>
      <c r="V241" s="301">
        <f>SUM(V239:V240)</f>
        <v>223.33499999979273</v>
      </c>
      <c r="W241" s="301">
        <f t="shared" ref="W241" si="639">SUM(W239:W240)</f>
        <v>124.46099999906505</v>
      </c>
      <c r="X241" s="301">
        <f t="shared" ref="X241" si="640">SUM(X239:X240)</f>
        <v>33.455000000253989</v>
      </c>
      <c r="Y241" s="301">
        <f t="shared" si="630"/>
        <v>381.25099999911174</v>
      </c>
    </row>
    <row r="242" spans="1:25" x14ac:dyDescent="0.2">
      <c r="A242" s="266"/>
      <c r="B242" s="320"/>
      <c r="C242" s="320"/>
      <c r="D242" s="320"/>
      <c r="E242" s="320"/>
      <c r="F242" s="320"/>
      <c r="G242" s="320"/>
      <c r="H242" s="320"/>
      <c r="I242" s="320"/>
      <c r="J242" s="320"/>
      <c r="K242" s="320"/>
      <c r="L242" s="320"/>
      <c r="M242" s="320"/>
      <c r="N242" s="320"/>
      <c r="O242" s="320"/>
      <c r="P242" s="320"/>
      <c r="Q242" s="320"/>
      <c r="R242" s="320"/>
      <c r="S242" s="320"/>
      <c r="T242" s="320"/>
      <c r="U242" s="320"/>
      <c r="V242" s="320"/>
      <c r="W242" s="320"/>
      <c r="X242" s="320"/>
      <c r="Y242" s="320"/>
    </row>
    <row r="243" spans="1:25" x14ac:dyDescent="0.2">
      <c r="C243" s="263"/>
    </row>
    <row r="244" spans="1:25" x14ac:dyDescent="0.2">
      <c r="A244" s="261"/>
    </row>
    <row r="245" spans="1:25" ht="15" x14ac:dyDescent="0.25">
      <c r="A245" s="265" t="str">
        <f>"Industry 10 : "&amp; name!B13</f>
        <v>Industry 10 : Transport and storage</v>
      </c>
      <c r="B245" s="371">
        <f>$B$5</f>
        <v>2015</v>
      </c>
      <c r="C245" s="371"/>
      <c r="D245" s="371"/>
      <c r="E245" s="371"/>
      <c r="F245" s="320"/>
      <c r="G245" s="371">
        <f>$G$5</f>
        <v>2019</v>
      </c>
      <c r="H245" s="371"/>
      <c r="I245" s="371"/>
      <c r="J245" s="371"/>
      <c r="K245" s="320"/>
      <c r="L245" s="371">
        <f>$L$5</f>
        <v>2020</v>
      </c>
      <c r="M245" s="371"/>
      <c r="N245" s="371"/>
      <c r="O245" s="371"/>
      <c r="P245" s="318"/>
      <c r="Q245" s="371">
        <f>$Q$5</f>
        <v>2025</v>
      </c>
      <c r="R245" s="371"/>
      <c r="S245" s="371"/>
      <c r="T245" s="371"/>
      <c r="U245" s="320"/>
      <c r="V245" s="371">
        <f>$V$5</f>
        <v>2035</v>
      </c>
      <c r="W245" s="371"/>
      <c r="X245" s="371"/>
      <c r="Y245" s="371"/>
    </row>
    <row r="246" spans="1:25" x14ac:dyDescent="0.2">
      <c r="A246" s="264"/>
      <c r="B246" s="268" t="str">
        <f>$B$6</f>
        <v>FT</v>
      </c>
      <c r="C246" s="268" t="str">
        <f>$C$6</f>
        <v>PT</v>
      </c>
      <c r="D246" s="268" t="str">
        <f>$D$6</f>
        <v>SE</v>
      </c>
      <c r="E246" s="268" t="str">
        <f>$E$6</f>
        <v>Total</v>
      </c>
      <c r="F246" s="268"/>
      <c r="G246" s="268" t="str">
        <f>$B$6</f>
        <v>FT</v>
      </c>
      <c r="H246" s="268" t="str">
        <f>$C$6</f>
        <v>PT</v>
      </c>
      <c r="I246" s="268" t="str">
        <f>$D$6</f>
        <v>SE</v>
      </c>
      <c r="J246" s="268" t="str">
        <f>$E$6</f>
        <v>Total</v>
      </c>
      <c r="K246" s="268"/>
      <c r="L246" s="268" t="str">
        <f>$L$6</f>
        <v>FT</v>
      </c>
      <c r="M246" s="268" t="str">
        <f>$M$6</f>
        <v>PT</v>
      </c>
      <c r="N246" s="268" t="str">
        <f>$N$6</f>
        <v>SE</v>
      </c>
      <c r="O246" s="268" t="str">
        <f>$O$6</f>
        <v>Total</v>
      </c>
      <c r="P246" s="268"/>
      <c r="Q246" s="268" t="str">
        <f>$L$6</f>
        <v>FT</v>
      </c>
      <c r="R246" s="268" t="str">
        <f>$M$6</f>
        <v>PT</v>
      </c>
      <c r="S246" s="268" t="str">
        <f>$N$6</f>
        <v>SE</v>
      </c>
      <c r="T246" s="268" t="str">
        <f>$O$6</f>
        <v>Total</v>
      </c>
      <c r="U246" s="268"/>
      <c r="V246" s="268" t="str">
        <f>$V$6</f>
        <v>FT</v>
      </c>
      <c r="W246" s="268" t="str">
        <f>$W$6</f>
        <v>PT</v>
      </c>
      <c r="X246" s="268" t="str">
        <f>$X$6</f>
        <v>SE</v>
      </c>
      <c r="Y246" s="268" t="str">
        <f>$Y$6</f>
        <v>Total</v>
      </c>
    </row>
    <row r="247" spans="1:25" x14ac:dyDescent="0.2">
      <c r="C247" s="319"/>
      <c r="D247" s="319"/>
      <c r="E247" s="319"/>
      <c r="F247" s="319"/>
      <c r="G247" s="319"/>
      <c r="H247" s="319"/>
      <c r="I247" s="319"/>
      <c r="J247" s="319"/>
      <c r="K247" s="319"/>
      <c r="L247" s="319"/>
      <c r="M247" s="319"/>
      <c r="N247" s="319"/>
      <c r="O247" s="319"/>
      <c r="P247" s="319"/>
      <c r="Q247" s="319"/>
      <c r="R247" s="319"/>
      <c r="S247" s="319"/>
      <c r="T247" s="319"/>
      <c r="U247" s="319"/>
      <c r="V247" s="319"/>
      <c r="W247" s="319"/>
      <c r="X247" s="319"/>
      <c r="Y247" s="319"/>
    </row>
    <row r="248" spans="1:25" x14ac:dyDescent="0.2">
      <c r="A248" s="261" t="str">
        <f>name!A37</f>
        <v>Land transport, etc</v>
      </c>
      <c r="C248" s="263"/>
    </row>
    <row r="249" spans="1:25" x14ac:dyDescent="0.2">
      <c r="A249" s="260" t="s">
        <v>356</v>
      </c>
      <c r="B249" s="300">
        <v>3.9619999999785258</v>
      </c>
      <c r="C249" s="300">
        <v>3.1100000001084411</v>
      </c>
      <c r="D249" s="300">
        <v>0.14900000000545771</v>
      </c>
      <c r="E249" s="300">
        <f>SUM(B249:D249)</f>
        <v>7.2210000000924248</v>
      </c>
      <c r="F249" s="300"/>
      <c r="G249" s="300">
        <v>5.1539999999279846</v>
      </c>
      <c r="H249" s="300">
        <v>4.2879999999615919</v>
      </c>
      <c r="I249" s="300">
        <v>0.98299999999818943</v>
      </c>
      <c r="J249" s="300">
        <f>SUM(G249:I249)</f>
        <v>10.424999999887765</v>
      </c>
      <c r="K249" s="300"/>
      <c r="L249" s="300">
        <v>5.9139999999611863</v>
      </c>
      <c r="M249" s="300">
        <v>5.0560000001463443</v>
      </c>
      <c r="N249" s="300">
        <v>2.0460000000142928</v>
      </c>
      <c r="O249" s="300">
        <f>SUM(L249:N249)</f>
        <v>13.016000000121824</v>
      </c>
      <c r="P249" s="300"/>
      <c r="Q249" s="300">
        <v>5.964000000142673</v>
      </c>
      <c r="R249" s="300">
        <v>5.1630000000307259</v>
      </c>
      <c r="S249" s="300">
        <v>2.0509999999761872</v>
      </c>
      <c r="T249" s="300">
        <f>SUM(Q249:S249)</f>
        <v>13.178000000149588</v>
      </c>
      <c r="U249" s="300"/>
      <c r="V249" s="300">
        <v>6.0989999999727038</v>
      </c>
      <c r="W249" s="300">
        <v>5.33299999991078</v>
      </c>
      <c r="X249" s="300">
        <v>2.0109999999628161</v>
      </c>
      <c r="Y249" s="300">
        <f>SUM(V249:X249)</f>
        <v>13.4429999998463</v>
      </c>
    </row>
    <row r="250" spans="1:25" x14ac:dyDescent="0.2">
      <c r="A250" s="260" t="s">
        <v>355</v>
      </c>
      <c r="B250" s="300">
        <v>30.643999999554627</v>
      </c>
      <c r="C250" s="300">
        <v>2.0329999999921871</v>
      </c>
      <c r="D250" s="300">
        <v>11.889999999851705</v>
      </c>
      <c r="E250" s="300">
        <f t="shared" ref="E250:E251" si="641">SUM(B250:D250)</f>
        <v>44.566999999398519</v>
      </c>
      <c r="F250" s="300"/>
      <c r="G250" s="300">
        <v>34.616000000099753</v>
      </c>
      <c r="H250" s="300">
        <v>3.0380000000419618</v>
      </c>
      <c r="I250" s="300">
        <v>12.239999999184565</v>
      </c>
      <c r="J250" s="300">
        <f t="shared" ref="J250:J251" si="642">SUM(G250:I250)</f>
        <v>49.893999999326283</v>
      </c>
      <c r="K250" s="300"/>
      <c r="L250" s="300">
        <v>37.398000000356134</v>
      </c>
      <c r="M250" s="300">
        <v>4.3180000000467578</v>
      </c>
      <c r="N250" s="300">
        <v>16.26500000055081</v>
      </c>
      <c r="O250" s="300">
        <f t="shared" ref="O250:O251" si="643">SUM(L250:N250)</f>
        <v>57.981000000953699</v>
      </c>
      <c r="P250" s="300"/>
      <c r="Q250" s="300">
        <v>36.163000000394973</v>
      </c>
      <c r="R250" s="300">
        <v>4.3060000000415641</v>
      </c>
      <c r="S250" s="300">
        <v>16.536000001381108</v>
      </c>
      <c r="T250" s="300">
        <f t="shared" ref="T250:T251" si="644">SUM(Q250:S250)</f>
        <v>57.005000001817649</v>
      </c>
      <c r="U250" s="300"/>
      <c r="V250" s="300">
        <v>33.520000000394354</v>
      </c>
      <c r="W250" s="300">
        <v>4.3080000000652037</v>
      </c>
      <c r="X250" s="300">
        <v>17.057000001142164</v>
      </c>
      <c r="Y250" s="300">
        <f t="shared" ref="Y250:Y251" si="645">SUM(V250:X250)</f>
        <v>54.885000001601725</v>
      </c>
    </row>
    <row r="251" spans="1:25" x14ac:dyDescent="0.2">
      <c r="A251" s="260" t="s">
        <v>354</v>
      </c>
      <c r="B251" s="300">
        <f>SUM(B249:B250)</f>
        <v>34.605999999533154</v>
      </c>
      <c r="C251" s="300">
        <f t="shared" ref="C251" si="646">SUM(C249:C250)</f>
        <v>5.1430000001006277</v>
      </c>
      <c r="D251" s="300">
        <f t="shared" ref="D251" si="647">SUM(D249:D250)</f>
        <v>12.038999999857163</v>
      </c>
      <c r="E251" s="300">
        <f t="shared" si="641"/>
        <v>51.787999999490943</v>
      </c>
      <c r="F251" s="300"/>
      <c r="G251" s="300">
        <f>SUM(G249:G250)</f>
        <v>39.770000000027736</v>
      </c>
      <c r="H251" s="300">
        <f t="shared" ref="H251" si="648">SUM(H249:H250)</f>
        <v>7.3260000000035532</v>
      </c>
      <c r="I251" s="300">
        <f t="shared" ref="I251" si="649">SUM(I249:I250)</f>
        <v>13.222999999182754</v>
      </c>
      <c r="J251" s="300">
        <f t="shared" si="642"/>
        <v>60.318999999214043</v>
      </c>
      <c r="K251" s="300"/>
      <c r="L251" s="300">
        <f>SUM(L249:L250)</f>
        <v>43.312000000317319</v>
      </c>
      <c r="M251" s="300">
        <f t="shared" ref="M251" si="650">SUM(M249:M250)</f>
        <v>9.374000000193103</v>
      </c>
      <c r="N251" s="300">
        <f t="shared" ref="N251" si="651">SUM(N249:N250)</f>
        <v>18.311000000565102</v>
      </c>
      <c r="O251" s="300">
        <f t="shared" si="643"/>
        <v>70.99700000107552</v>
      </c>
      <c r="P251" s="300"/>
      <c r="Q251" s="300">
        <f>SUM(Q249:Q250)</f>
        <v>42.127000000537649</v>
      </c>
      <c r="R251" s="300">
        <f t="shared" ref="R251" si="652">SUM(R249:R250)</f>
        <v>9.46900000007229</v>
      </c>
      <c r="S251" s="300">
        <f t="shared" ref="S251" si="653">SUM(S249:S250)</f>
        <v>18.587000001357296</v>
      </c>
      <c r="T251" s="300">
        <f t="shared" si="644"/>
        <v>70.18300000196723</v>
      </c>
      <c r="U251" s="300"/>
      <c r="V251" s="300">
        <f>SUM(V249:V250)</f>
        <v>39.619000000367059</v>
      </c>
      <c r="W251" s="300">
        <f t="shared" ref="W251" si="654">SUM(W249:W250)</f>
        <v>9.6409999999759837</v>
      </c>
      <c r="X251" s="300">
        <f t="shared" ref="X251" si="655">SUM(X249:X250)</f>
        <v>19.068000001104981</v>
      </c>
      <c r="Y251" s="300">
        <f t="shared" si="645"/>
        <v>68.328000001448018</v>
      </c>
    </row>
    <row r="252" spans="1:25" x14ac:dyDescent="0.2">
      <c r="C252" s="319"/>
      <c r="D252" s="319"/>
      <c r="E252" s="319"/>
      <c r="F252" s="319"/>
      <c r="G252" s="319"/>
      <c r="H252" s="319"/>
      <c r="I252" s="319"/>
      <c r="J252" s="319"/>
      <c r="K252" s="319"/>
      <c r="L252" s="319"/>
      <c r="M252" s="319"/>
      <c r="N252" s="319"/>
      <c r="O252" s="319"/>
      <c r="P252" s="319"/>
      <c r="Q252" s="319"/>
      <c r="R252" s="319"/>
      <c r="S252" s="319"/>
      <c r="T252" s="319"/>
      <c r="U252" s="319"/>
      <c r="V252" s="319"/>
      <c r="W252" s="319"/>
      <c r="X252" s="319"/>
      <c r="Y252" s="319"/>
    </row>
    <row r="253" spans="1:25" x14ac:dyDescent="0.2">
      <c r="A253" s="261" t="str">
        <f>name!A38</f>
        <v>Water transport</v>
      </c>
      <c r="C253" s="263"/>
    </row>
    <row r="254" spans="1:25" x14ac:dyDescent="0.2">
      <c r="A254" s="260" t="s">
        <v>356</v>
      </c>
      <c r="B254" s="300">
        <v>9.9999999999693867E-4</v>
      </c>
      <c r="C254" s="300">
        <v>1.0000000000247062E-3</v>
      </c>
      <c r="D254" s="300">
        <v>2.0000000000764471E-3</v>
      </c>
      <c r="E254" s="300">
        <f>SUM(B254:D254)</f>
        <v>4.0000000000980918E-3</v>
      </c>
      <c r="F254" s="300"/>
      <c r="G254" s="300">
        <v>9.9999999998420992E-4</v>
      </c>
      <c r="H254" s="300">
        <v>2.9999999999748171E-3</v>
      </c>
      <c r="I254" s="300">
        <v>9.9999999999140728E-4</v>
      </c>
      <c r="J254" s="300">
        <f>SUM(G254:I254)</f>
        <v>4.9999999999504339E-3</v>
      </c>
      <c r="K254" s="300"/>
      <c r="L254" s="300">
        <v>9.9999999999549386E-4</v>
      </c>
      <c r="M254" s="300">
        <v>4.0000000000758014E-3</v>
      </c>
      <c r="N254" s="300">
        <v>1.0000000000119267E-3</v>
      </c>
      <c r="O254" s="300">
        <f>SUM(L254:N254)</f>
        <v>6.0000000000832217E-3</v>
      </c>
      <c r="P254" s="300"/>
      <c r="Q254" s="300">
        <v>1.0000000000235667E-3</v>
      </c>
      <c r="R254" s="300">
        <v>2.9999999999955492E-3</v>
      </c>
      <c r="S254" s="300">
        <v>9.9999999999461501E-4</v>
      </c>
      <c r="T254" s="300">
        <f>SUM(Q254:S254)</f>
        <v>5.0000000000137313E-3</v>
      </c>
      <c r="U254" s="300"/>
      <c r="V254" s="300">
        <v>9.9999999999341848E-4</v>
      </c>
      <c r="W254" s="300">
        <v>2.9999999999640883E-3</v>
      </c>
      <c r="X254" s="300">
        <v>9.9999999999282412E-4</v>
      </c>
      <c r="Y254" s="300">
        <f>SUM(V254:X254)</f>
        <v>4.9999999999503306E-3</v>
      </c>
    </row>
    <row r="255" spans="1:25" x14ac:dyDescent="0.2">
      <c r="A255" s="260" t="s">
        <v>355</v>
      </c>
      <c r="B255" s="300">
        <v>1.4999999999929951E-2</v>
      </c>
      <c r="C255" s="300">
        <v>1.0000000000016454E-3</v>
      </c>
      <c r="D255" s="300">
        <v>0</v>
      </c>
      <c r="E255" s="300">
        <f t="shared" ref="E255:E256" si="656">SUM(B255:D255)</f>
        <v>1.5999999999931597E-2</v>
      </c>
      <c r="F255" s="300"/>
      <c r="G255" s="300">
        <v>5.0000000000003349E-3</v>
      </c>
      <c r="H255" s="300">
        <v>1.9999999999948783E-3</v>
      </c>
      <c r="I255" s="300">
        <v>2.0000000000137573E-3</v>
      </c>
      <c r="J255" s="300">
        <f t="shared" ref="J255:J256" si="657">SUM(G255:I255)</f>
        <v>9.0000000000089696E-3</v>
      </c>
      <c r="K255" s="300"/>
      <c r="L255" s="300">
        <v>6.0000000000037341E-3</v>
      </c>
      <c r="M255" s="300">
        <v>2.9999999999801965E-3</v>
      </c>
      <c r="N255" s="300">
        <v>3.000000000049307E-3</v>
      </c>
      <c r="O255" s="300">
        <f t="shared" ref="O255:O256" si="658">SUM(L255:N255)</f>
        <v>1.2000000000033238E-2</v>
      </c>
      <c r="P255" s="300"/>
      <c r="Q255" s="300">
        <v>4.9999999999805747E-3</v>
      </c>
      <c r="R255" s="300">
        <v>9.9999999999562006E-4</v>
      </c>
      <c r="S255" s="300">
        <v>2.0000000000630698E-3</v>
      </c>
      <c r="T255" s="300">
        <f t="shared" ref="T255:T256" si="659">SUM(Q255:S255)</f>
        <v>8.0000000000392639E-3</v>
      </c>
      <c r="U255" s="300"/>
      <c r="V255" s="300">
        <v>4.9999999999609515E-3</v>
      </c>
      <c r="W255" s="300">
        <v>9.9999999998974585E-4</v>
      </c>
      <c r="X255" s="300">
        <v>2.0000000000526931E-3</v>
      </c>
      <c r="Y255" s="300">
        <f t="shared" ref="Y255:Y256" si="660">SUM(V255:X255)</f>
        <v>8.0000000000033898E-3</v>
      </c>
    </row>
    <row r="256" spans="1:25" x14ac:dyDescent="0.2">
      <c r="A256" s="260" t="s">
        <v>354</v>
      </c>
      <c r="B256" s="300">
        <f>SUM(B254:B255)</f>
        <v>1.5999999999926889E-2</v>
      </c>
      <c r="C256" s="300">
        <f t="shared" ref="C256" si="661">SUM(C254:C255)</f>
        <v>2.0000000000263514E-3</v>
      </c>
      <c r="D256" s="300">
        <f t="shared" ref="D256" si="662">SUM(D254:D255)</f>
        <v>2.0000000000764471E-3</v>
      </c>
      <c r="E256" s="300">
        <f t="shared" si="656"/>
        <v>2.0000000000029688E-2</v>
      </c>
      <c r="F256" s="300"/>
      <c r="G256" s="300">
        <f>SUM(G254:G255)</f>
        <v>5.9999999999845446E-3</v>
      </c>
      <c r="H256" s="300">
        <f t="shared" ref="H256" si="663">SUM(H254:H255)</f>
        <v>4.9999999999696954E-3</v>
      </c>
      <c r="I256" s="300">
        <f t="shared" ref="I256" si="664">SUM(I254:I255)</f>
        <v>3.0000000000051643E-3</v>
      </c>
      <c r="J256" s="300">
        <f t="shared" si="657"/>
        <v>1.3999999999959406E-2</v>
      </c>
      <c r="K256" s="300"/>
      <c r="L256" s="300">
        <f>SUM(L254:L255)</f>
        <v>6.9999999999992282E-3</v>
      </c>
      <c r="M256" s="300">
        <f t="shared" ref="M256" si="665">SUM(M254:M255)</f>
        <v>7.0000000000559979E-3</v>
      </c>
      <c r="N256" s="300">
        <f t="shared" ref="N256" si="666">SUM(N254:N255)</f>
        <v>4.0000000000612341E-3</v>
      </c>
      <c r="O256" s="300">
        <f t="shared" si="658"/>
        <v>1.8000000000116458E-2</v>
      </c>
      <c r="P256" s="300"/>
      <c r="Q256" s="300">
        <f>SUM(Q254:Q255)</f>
        <v>6.0000000000041409E-3</v>
      </c>
      <c r="R256" s="300">
        <f t="shared" ref="R256" si="667">SUM(R254:R255)</f>
        <v>3.9999999999911695E-3</v>
      </c>
      <c r="S256" s="300">
        <f t="shared" ref="S256" si="668">SUM(S254:S255)</f>
        <v>3.0000000000576848E-3</v>
      </c>
      <c r="T256" s="300">
        <f t="shared" si="659"/>
        <v>1.3000000000052997E-2</v>
      </c>
      <c r="U256" s="300"/>
      <c r="V256" s="300">
        <f>SUM(V254:V255)</f>
        <v>5.99999999995437E-3</v>
      </c>
      <c r="W256" s="300">
        <f t="shared" ref="W256" si="669">SUM(W254:W255)</f>
        <v>3.9999999999538339E-3</v>
      </c>
      <c r="X256" s="300">
        <f t="shared" ref="X256" si="670">SUM(X254:X255)</f>
        <v>3.0000000000455175E-3</v>
      </c>
      <c r="Y256" s="300">
        <f t="shared" si="660"/>
        <v>1.2999999999953722E-2</v>
      </c>
    </row>
    <row r="257" spans="1:25" x14ac:dyDescent="0.2">
      <c r="C257" s="319"/>
      <c r="D257" s="319"/>
      <c r="E257" s="319"/>
      <c r="F257" s="319"/>
      <c r="G257" s="319"/>
      <c r="H257" s="319"/>
      <c r="I257" s="319"/>
      <c r="J257" s="319"/>
      <c r="K257" s="319"/>
      <c r="L257" s="319"/>
      <c r="M257" s="319"/>
      <c r="N257" s="319"/>
      <c r="O257" s="319"/>
      <c r="P257" s="319"/>
      <c r="Q257" s="319"/>
      <c r="R257" s="319"/>
      <c r="S257" s="319"/>
      <c r="T257" s="319"/>
      <c r="U257" s="319"/>
      <c r="V257" s="319"/>
      <c r="W257" s="319"/>
      <c r="X257" s="319"/>
      <c r="Y257" s="319"/>
    </row>
    <row r="258" spans="1:25" x14ac:dyDescent="0.2">
      <c r="A258" s="261" t="str">
        <f>name!A39</f>
        <v>Air transport</v>
      </c>
      <c r="C258" s="263"/>
    </row>
    <row r="259" spans="1:25" x14ac:dyDescent="0.2">
      <c r="A259" s="260" t="s">
        <v>356</v>
      </c>
      <c r="B259" s="300">
        <v>0.50899999999886691</v>
      </c>
      <c r="C259" s="300">
        <v>0.18700000000489217</v>
      </c>
      <c r="D259" s="300">
        <v>1.0000000000060731E-3</v>
      </c>
      <c r="E259" s="300">
        <f>SUM(B259:D259)</f>
        <v>0.69700000000376516</v>
      </c>
      <c r="F259" s="300"/>
      <c r="G259" s="300">
        <v>0.33699999999418068</v>
      </c>
      <c r="H259" s="300">
        <v>0.23799999999945945</v>
      </c>
      <c r="I259" s="300">
        <v>1.3000000000055269E-2</v>
      </c>
      <c r="J259" s="300">
        <f>SUM(G259:I259)</f>
        <v>0.58799999999369545</v>
      </c>
      <c r="K259" s="300"/>
      <c r="L259" s="300">
        <v>0.30299999999855648</v>
      </c>
      <c r="M259" s="300">
        <v>0.19600000000485981</v>
      </c>
      <c r="N259" s="300">
        <v>6.9999999999771868E-3</v>
      </c>
      <c r="O259" s="300">
        <f>SUM(L259:N259)</f>
        <v>0.5060000000033934</v>
      </c>
      <c r="P259" s="300"/>
      <c r="Q259" s="300">
        <v>0.39100000000963037</v>
      </c>
      <c r="R259" s="300">
        <v>0.27800000000347758</v>
      </c>
      <c r="S259" s="300">
        <v>7.9999999999906674E-3</v>
      </c>
      <c r="T259" s="300">
        <f>SUM(Q259:S259)</f>
        <v>0.67700000001309868</v>
      </c>
      <c r="U259" s="300"/>
      <c r="V259" s="300">
        <v>0.41299999999830223</v>
      </c>
      <c r="W259" s="300">
        <v>0.30399999999658023</v>
      </c>
      <c r="X259" s="300">
        <v>7.9999999999398261E-3</v>
      </c>
      <c r="Y259" s="300">
        <f>SUM(V259:X259)</f>
        <v>0.72499999999482223</v>
      </c>
    </row>
    <row r="260" spans="1:25" x14ac:dyDescent="0.2">
      <c r="A260" s="260" t="s">
        <v>355</v>
      </c>
      <c r="B260" s="300">
        <v>0.71999999999804076</v>
      </c>
      <c r="C260" s="300">
        <v>7.899999999967966E-2</v>
      </c>
      <c r="D260" s="300">
        <v>3.9999999999658902E-3</v>
      </c>
      <c r="E260" s="300">
        <f t="shared" ref="E260:E261" si="671">SUM(B260:D260)</f>
        <v>0.80299999999768634</v>
      </c>
      <c r="F260" s="300"/>
      <c r="G260" s="300">
        <v>0.45600000000002194</v>
      </c>
      <c r="H260" s="300">
        <v>8.5999999999907928E-2</v>
      </c>
      <c r="I260" s="300">
        <v>1.0000000000061769E-3</v>
      </c>
      <c r="J260" s="300">
        <f t="shared" ref="J260:J261" si="672">SUM(G260:I260)</f>
        <v>0.54299999999993609</v>
      </c>
      <c r="K260" s="300"/>
      <c r="L260" s="300">
        <v>0.44199999999993389</v>
      </c>
      <c r="M260" s="300">
        <v>7.6000000000316967E-2</v>
      </c>
      <c r="N260" s="300">
        <v>3.9000000000057537E-2</v>
      </c>
      <c r="O260" s="300">
        <f t="shared" ref="O260:O261" si="673">SUM(L260:N260)</f>
        <v>0.55700000000030836</v>
      </c>
      <c r="P260" s="300"/>
      <c r="Q260" s="300">
        <v>0.56900000000064133</v>
      </c>
      <c r="R260" s="300">
        <v>0.10100000000014309</v>
      </c>
      <c r="S260" s="300">
        <v>5.1999999999559836E-2</v>
      </c>
      <c r="T260" s="300">
        <f t="shared" ref="T260:T261" si="674">SUM(Q260:S260)</f>
        <v>0.72200000000034426</v>
      </c>
      <c r="U260" s="300"/>
      <c r="V260" s="300">
        <v>0.57200000000023676</v>
      </c>
      <c r="W260" s="300">
        <v>0.10499999999985608</v>
      </c>
      <c r="X260" s="300">
        <v>5.4999999999819547E-2</v>
      </c>
      <c r="Y260" s="300">
        <f t="shared" ref="Y260:Y261" si="675">SUM(V260:X260)</f>
        <v>0.73199999999991239</v>
      </c>
    </row>
    <row r="261" spans="1:25" x14ac:dyDescent="0.2">
      <c r="A261" s="260" t="s">
        <v>354</v>
      </c>
      <c r="B261" s="300">
        <f>SUM(B259:B260)</f>
        <v>1.2289999999969077</v>
      </c>
      <c r="C261" s="300">
        <f t="shared" ref="C261" si="676">SUM(C259:C260)</f>
        <v>0.2660000000045718</v>
      </c>
      <c r="D261" s="300">
        <f t="shared" ref="D261" si="677">SUM(D259:D260)</f>
        <v>4.9999999999719635E-3</v>
      </c>
      <c r="E261" s="300">
        <f t="shared" si="671"/>
        <v>1.5000000000014513</v>
      </c>
      <c r="F261" s="300"/>
      <c r="G261" s="300">
        <f>SUM(G259:G260)</f>
        <v>0.79299999999420256</v>
      </c>
      <c r="H261" s="300">
        <f t="shared" ref="H261" si="678">SUM(H259:H260)</f>
        <v>0.32399999999936735</v>
      </c>
      <c r="I261" s="300">
        <f t="shared" ref="I261" si="679">SUM(I259:I260)</f>
        <v>1.4000000000061446E-2</v>
      </c>
      <c r="J261" s="300">
        <f t="shared" si="672"/>
        <v>1.1309999999936315</v>
      </c>
      <c r="K261" s="300"/>
      <c r="L261" s="300">
        <f>SUM(L259:L260)</f>
        <v>0.74499999999849043</v>
      </c>
      <c r="M261" s="300">
        <f t="shared" ref="M261" si="680">SUM(M259:M260)</f>
        <v>0.27200000000517677</v>
      </c>
      <c r="N261" s="300">
        <f t="shared" ref="N261" si="681">SUM(N259:N260)</f>
        <v>4.6000000000034721E-2</v>
      </c>
      <c r="O261" s="300">
        <f t="shared" si="673"/>
        <v>1.0630000000037019</v>
      </c>
      <c r="P261" s="300"/>
      <c r="Q261" s="300">
        <f>SUM(Q259:Q260)</f>
        <v>0.96000000001027175</v>
      </c>
      <c r="R261" s="300">
        <f t="shared" ref="R261" si="682">SUM(R259:R260)</f>
        <v>0.37900000000362066</v>
      </c>
      <c r="S261" s="300">
        <f t="shared" ref="S261" si="683">SUM(S259:S260)</f>
        <v>5.9999999999550503E-2</v>
      </c>
      <c r="T261" s="300">
        <f t="shared" si="674"/>
        <v>1.3990000000134428</v>
      </c>
      <c r="U261" s="300"/>
      <c r="V261" s="300">
        <f>SUM(V259:V260)</f>
        <v>0.98499999999853904</v>
      </c>
      <c r="W261" s="300">
        <f t="shared" ref="W261" si="684">SUM(W259:W260)</f>
        <v>0.40899999999643633</v>
      </c>
      <c r="X261" s="300">
        <f t="shared" ref="X261" si="685">SUM(X259:X260)</f>
        <v>6.2999999999759373E-2</v>
      </c>
      <c r="Y261" s="300">
        <f t="shared" si="675"/>
        <v>1.4569999999947347</v>
      </c>
    </row>
    <row r="262" spans="1:25" x14ac:dyDescent="0.2">
      <c r="C262" s="319"/>
      <c r="D262" s="319"/>
      <c r="E262" s="319"/>
      <c r="F262" s="319"/>
      <c r="G262" s="319"/>
      <c r="H262" s="319"/>
      <c r="I262" s="319"/>
      <c r="J262" s="319"/>
      <c r="K262" s="319"/>
      <c r="L262" s="319"/>
      <c r="M262" s="319"/>
      <c r="N262" s="319"/>
      <c r="O262" s="319"/>
      <c r="P262" s="319"/>
      <c r="Q262" s="319"/>
      <c r="R262" s="319"/>
      <c r="S262" s="319"/>
      <c r="T262" s="319"/>
      <c r="U262" s="319"/>
      <c r="V262" s="319"/>
      <c r="W262" s="319"/>
      <c r="X262" s="319"/>
      <c r="Y262" s="319"/>
    </row>
    <row r="263" spans="1:25" x14ac:dyDescent="0.2">
      <c r="A263" s="261" t="str">
        <f>name!A40</f>
        <v>Warehousing, etc</v>
      </c>
      <c r="C263" s="263"/>
    </row>
    <row r="264" spans="1:25" x14ac:dyDescent="0.2">
      <c r="A264" s="260" t="s">
        <v>356</v>
      </c>
      <c r="B264" s="300">
        <v>4.0080000000107558</v>
      </c>
      <c r="C264" s="300">
        <v>1.4380000000446702</v>
      </c>
      <c r="D264" s="300">
        <v>0.12300000000331753</v>
      </c>
      <c r="E264" s="300">
        <f>SUM(B264:D264)</f>
        <v>5.5690000000587432</v>
      </c>
      <c r="F264" s="300"/>
      <c r="G264" s="300">
        <v>5.708999999866597</v>
      </c>
      <c r="H264" s="300">
        <v>1.4679999999949447</v>
      </c>
      <c r="I264" s="300">
        <v>1.0940000000167238</v>
      </c>
      <c r="J264" s="300">
        <f>SUM(G264:I264)</f>
        <v>8.2709999998782653</v>
      </c>
      <c r="K264" s="300"/>
      <c r="L264" s="300">
        <v>6.3459999999962315</v>
      </c>
      <c r="M264" s="300">
        <v>1.7260000000484947</v>
      </c>
      <c r="N264" s="300">
        <v>1.4999999999755292E-2</v>
      </c>
      <c r="O264" s="300">
        <f>SUM(L264:N264)</f>
        <v>8.0870000000444815</v>
      </c>
      <c r="P264" s="300"/>
      <c r="Q264" s="300">
        <v>6.943000000161125</v>
      </c>
      <c r="R264" s="300">
        <v>1.9240000000229596</v>
      </c>
      <c r="S264" s="300">
        <v>1.7999999999883016E-2</v>
      </c>
      <c r="T264" s="300">
        <f>SUM(Q264:S264)</f>
        <v>8.8850000001839682</v>
      </c>
      <c r="U264" s="300"/>
      <c r="V264" s="300">
        <v>7.3709999998711053</v>
      </c>
      <c r="W264" s="300">
        <v>2.156999999965282</v>
      </c>
      <c r="X264" s="300">
        <v>1.8999999999783822E-2</v>
      </c>
      <c r="Y264" s="300">
        <f>SUM(V264:X264)</f>
        <v>9.5469999998361708</v>
      </c>
    </row>
    <row r="265" spans="1:25" x14ac:dyDescent="0.2">
      <c r="A265" s="260" t="s">
        <v>355</v>
      </c>
      <c r="B265" s="300">
        <v>31.199999999611673</v>
      </c>
      <c r="C265" s="300">
        <v>2.7680000000118521</v>
      </c>
      <c r="D265" s="300">
        <v>1.3880000000153625</v>
      </c>
      <c r="E265" s="300">
        <f t="shared" ref="E265:E266" si="686">SUM(B265:D265)</f>
        <v>35.355999999638883</v>
      </c>
      <c r="F265" s="300"/>
      <c r="G265" s="300">
        <v>36.87100000010031</v>
      </c>
      <c r="H265" s="300">
        <v>3.9220000000441195</v>
      </c>
      <c r="I265" s="300">
        <v>0.92600000000036997</v>
      </c>
      <c r="J265" s="300">
        <f t="shared" ref="J265:J266" si="687">SUM(G265:I265)</f>
        <v>41.719000000144803</v>
      </c>
      <c r="K265" s="300"/>
      <c r="L265" s="300">
        <v>41.427000000343625</v>
      </c>
      <c r="M265" s="300">
        <v>5.2629999999936192</v>
      </c>
      <c r="N265" s="300">
        <v>2.5940000000323122</v>
      </c>
      <c r="O265" s="300">
        <f t="shared" ref="O265:O266" si="688">SUM(L265:N265)</f>
        <v>49.284000000369552</v>
      </c>
      <c r="P265" s="300"/>
      <c r="Q265" s="300">
        <v>43.955000000406088</v>
      </c>
      <c r="R265" s="300">
        <v>5.5260000000199252</v>
      </c>
      <c r="S265" s="300">
        <v>2.5440000000784835</v>
      </c>
      <c r="T265" s="300">
        <f t="shared" ref="T265:T266" si="689">SUM(Q265:S265)</f>
        <v>52.025000000504498</v>
      </c>
      <c r="U265" s="300"/>
      <c r="V265" s="300">
        <v>44.912000000453034</v>
      </c>
      <c r="W265" s="300">
        <v>5.8620000000252688</v>
      </c>
      <c r="X265" s="300">
        <v>2.5440000000642375</v>
      </c>
      <c r="Y265" s="300">
        <f t="shared" ref="Y265:Y266" si="690">SUM(V265:X265)</f>
        <v>53.31800000054254</v>
      </c>
    </row>
    <row r="266" spans="1:25" x14ac:dyDescent="0.2">
      <c r="A266" s="260" t="s">
        <v>354</v>
      </c>
      <c r="B266" s="300">
        <f>SUM(B264:B265)</f>
        <v>35.20799999962243</v>
      </c>
      <c r="C266" s="300">
        <f t="shared" ref="C266" si="691">SUM(C264:C265)</f>
        <v>4.2060000000565223</v>
      </c>
      <c r="D266" s="300">
        <f t="shared" ref="D266" si="692">SUM(D264:D265)</f>
        <v>1.5110000000186801</v>
      </c>
      <c r="E266" s="300">
        <f t="shared" si="686"/>
        <v>40.924999999697633</v>
      </c>
      <c r="F266" s="300"/>
      <c r="G266" s="300">
        <f>SUM(G264:G265)</f>
        <v>42.579999999966908</v>
      </c>
      <c r="H266" s="300">
        <f t="shared" ref="H266" si="693">SUM(H264:H265)</f>
        <v>5.3900000000390644</v>
      </c>
      <c r="I266" s="300">
        <f t="shared" ref="I266" si="694">SUM(I264:I265)</f>
        <v>2.0200000000170939</v>
      </c>
      <c r="J266" s="300">
        <f t="shared" si="687"/>
        <v>49.990000000023066</v>
      </c>
      <c r="K266" s="300"/>
      <c r="L266" s="300">
        <f>SUM(L264:L265)</f>
        <v>47.773000000339856</v>
      </c>
      <c r="M266" s="300">
        <f t="shared" ref="M266" si="695">SUM(M264:M265)</f>
        <v>6.9890000000421137</v>
      </c>
      <c r="N266" s="300">
        <f t="shared" ref="N266" si="696">SUM(N264:N265)</f>
        <v>2.6090000000320677</v>
      </c>
      <c r="O266" s="300">
        <f t="shared" si="688"/>
        <v>57.371000000414035</v>
      </c>
      <c r="P266" s="300"/>
      <c r="Q266" s="300">
        <f>SUM(Q264:Q265)</f>
        <v>50.898000000567215</v>
      </c>
      <c r="R266" s="300">
        <f t="shared" ref="R266" si="697">SUM(R264:R265)</f>
        <v>7.450000000042885</v>
      </c>
      <c r="S266" s="300">
        <f t="shared" ref="S266" si="698">SUM(S264:S265)</f>
        <v>2.5620000000783665</v>
      </c>
      <c r="T266" s="300">
        <f t="shared" si="689"/>
        <v>60.910000000688463</v>
      </c>
      <c r="U266" s="300"/>
      <c r="V266" s="300">
        <f>SUM(V264:V265)</f>
        <v>52.283000000324137</v>
      </c>
      <c r="W266" s="300">
        <f t="shared" ref="W266" si="699">SUM(W264:W265)</f>
        <v>8.0189999999905517</v>
      </c>
      <c r="X266" s="300">
        <f t="shared" ref="X266" si="700">SUM(X264:X265)</f>
        <v>2.5630000000640214</v>
      </c>
      <c r="Y266" s="300">
        <f t="shared" si="690"/>
        <v>62.865000000378714</v>
      </c>
    </row>
    <row r="267" spans="1:25" x14ac:dyDescent="0.2">
      <c r="C267" s="319"/>
      <c r="D267" s="319"/>
      <c r="E267" s="319"/>
      <c r="F267" s="319"/>
      <c r="G267" s="319"/>
      <c r="H267" s="319"/>
      <c r="I267" s="319"/>
      <c r="J267" s="319"/>
      <c r="K267" s="319"/>
      <c r="L267" s="319"/>
      <c r="M267" s="319"/>
      <c r="N267" s="319"/>
      <c r="O267" s="319"/>
      <c r="P267" s="319"/>
      <c r="Q267" s="319"/>
      <c r="R267" s="319"/>
      <c r="S267" s="319"/>
      <c r="T267" s="319"/>
      <c r="U267" s="319"/>
      <c r="V267" s="319"/>
      <c r="W267" s="319"/>
      <c r="X267" s="319"/>
      <c r="Y267" s="319"/>
    </row>
    <row r="268" spans="1:25" x14ac:dyDescent="0.2">
      <c r="A268" s="261" t="str">
        <f>name!A41</f>
        <v>Postal and courier</v>
      </c>
      <c r="C268" s="263"/>
    </row>
    <row r="269" spans="1:25" x14ac:dyDescent="0.2">
      <c r="A269" s="260" t="s">
        <v>356</v>
      </c>
      <c r="B269" s="300">
        <v>6.4890000000096455</v>
      </c>
      <c r="C269" s="300">
        <v>4.1700000001460138</v>
      </c>
      <c r="D269" s="300">
        <v>5.3000000001627356E-2</v>
      </c>
      <c r="E269" s="300">
        <f>SUM(B269:D269)</f>
        <v>10.712000000157287</v>
      </c>
      <c r="F269" s="300"/>
      <c r="G269" s="300">
        <v>8.1959999998503612</v>
      </c>
      <c r="H269" s="300">
        <v>4.8079999999803942</v>
      </c>
      <c r="I269" s="300">
        <v>0.43800000000121242</v>
      </c>
      <c r="J269" s="300">
        <f>SUM(G269:I269)</f>
        <v>13.441999999831967</v>
      </c>
      <c r="K269" s="300"/>
      <c r="L269" s="300">
        <v>9.1099999999829055</v>
      </c>
      <c r="M269" s="300">
        <v>5.6540000001752926</v>
      </c>
      <c r="N269" s="300">
        <v>0.69799999999962925</v>
      </c>
      <c r="O269" s="300">
        <f>SUM(L269:N269)</f>
        <v>15.462000000157827</v>
      </c>
      <c r="P269" s="300"/>
      <c r="Q269" s="300">
        <v>9.9670000002057915</v>
      </c>
      <c r="R269" s="300">
        <v>6.3020000000833152</v>
      </c>
      <c r="S269" s="300">
        <v>0.6579999999940559</v>
      </c>
      <c r="T269" s="300">
        <f>SUM(Q269:S269)</f>
        <v>16.927000000283165</v>
      </c>
      <c r="U269" s="300"/>
      <c r="V269" s="300">
        <v>10.58299999989829</v>
      </c>
      <c r="W269" s="300">
        <v>7.0649999998847033</v>
      </c>
      <c r="X269" s="300">
        <v>0.62899999999021239</v>
      </c>
      <c r="Y269" s="300">
        <f>SUM(V269:X269)</f>
        <v>18.276999999773206</v>
      </c>
    </row>
    <row r="270" spans="1:25" x14ac:dyDescent="0.2">
      <c r="A270" s="260" t="s">
        <v>355</v>
      </c>
      <c r="B270" s="300">
        <v>10.328999999864532</v>
      </c>
      <c r="C270" s="300">
        <v>1.8699999999938866</v>
      </c>
      <c r="D270" s="300">
        <v>0.65799999999141134</v>
      </c>
      <c r="E270" s="300">
        <f t="shared" ref="E270:E271" si="701">SUM(B270:D270)</f>
        <v>12.85699999984983</v>
      </c>
      <c r="F270" s="300"/>
      <c r="G270" s="300">
        <v>10.823000000040075</v>
      </c>
      <c r="H270" s="300">
        <v>2.993000000041961</v>
      </c>
      <c r="I270" s="300">
        <v>0.4039999999943063</v>
      </c>
      <c r="J270" s="300">
        <f t="shared" ref="J270:J271" si="702">SUM(G270:I270)</f>
        <v>14.220000000076343</v>
      </c>
      <c r="K270" s="300"/>
      <c r="L270" s="300">
        <v>12.160000000125532</v>
      </c>
      <c r="M270" s="300">
        <v>4.0170000000425539</v>
      </c>
      <c r="N270" s="300">
        <v>1.1310000000174736</v>
      </c>
      <c r="O270" s="300">
        <f t="shared" ref="O270:O271" si="703">SUM(L270:N270)</f>
        <v>17.308000000185558</v>
      </c>
      <c r="P270" s="300"/>
      <c r="Q270" s="300">
        <v>12.902000000137697</v>
      </c>
      <c r="R270" s="300">
        <v>4.2170000000402679</v>
      </c>
      <c r="S270" s="300">
        <v>1.1100000000299286</v>
      </c>
      <c r="T270" s="300">
        <f t="shared" ref="T270:T271" si="704">SUM(Q270:S270)</f>
        <v>18.229000000207893</v>
      </c>
      <c r="U270" s="300"/>
      <c r="V270" s="300">
        <v>13.183000000166944</v>
      </c>
      <c r="W270" s="300">
        <v>4.474000000055776</v>
      </c>
      <c r="X270" s="300">
        <v>1.1100000000290522</v>
      </c>
      <c r="Y270" s="300">
        <f t="shared" ref="Y270:Y271" si="705">SUM(V270:X270)</f>
        <v>18.767000000251773</v>
      </c>
    </row>
    <row r="271" spans="1:25" x14ac:dyDescent="0.2">
      <c r="A271" s="260" t="s">
        <v>354</v>
      </c>
      <c r="B271" s="300">
        <f>SUM(B269:B270)</f>
        <v>16.817999999874178</v>
      </c>
      <c r="C271" s="300">
        <f t="shared" ref="C271" si="706">SUM(C269:C270)</f>
        <v>6.0400000001399006</v>
      </c>
      <c r="D271" s="300">
        <f t="shared" ref="D271" si="707">SUM(D269:D270)</f>
        <v>0.71099999999303876</v>
      </c>
      <c r="E271" s="300">
        <f t="shared" si="701"/>
        <v>23.569000000007119</v>
      </c>
      <c r="F271" s="300"/>
      <c r="G271" s="300">
        <f>SUM(G269:G270)</f>
        <v>19.018999999890436</v>
      </c>
      <c r="H271" s="300">
        <f t="shared" ref="H271" si="708">SUM(H269:H270)</f>
        <v>7.8010000000223556</v>
      </c>
      <c r="I271" s="300">
        <f t="shared" ref="I271" si="709">SUM(I269:I270)</f>
        <v>0.84199999999551878</v>
      </c>
      <c r="J271" s="300">
        <f t="shared" si="702"/>
        <v>27.661999999908311</v>
      </c>
      <c r="K271" s="300"/>
      <c r="L271" s="300">
        <f>SUM(L269:L270)</f>
        <v>21.270000000108439</v>
      </c>
      <c r="M271" s="300">
        <f t="shared" ref="M271" si="710">SUM(M269:M270)</f>
        <v>9.6710000002178464</v>
      </c>
      <c r="N271" s="300">
        <f t="shared" ref="N271" si="711">SUM(N269:N270)</f>
        <v>1.8290000000171029</v>
      </c>
      <c r="O271" s="300">
        <f t="shared" si="703"/>
        <v>32.770000000343387</v>
      </c>
      <c r="P271" s="300"/>
      <c r="Q271" s="300">
        <f>SUM(Q269:Q270)</f>
        <v>22.86900000034349</v>
      </c>
      <c r="R271" s="300">
        <f t="shared" ref="R271" si="712">SUM(R269:R270)</f>
        <v>10.519000000123583</v>
      </c>
      <c r="S271" s="300">
        <f t="shared" ref="S271" si="713">SUM(S269:S270)</f>
        <v>1.7680000000239846</v>
      </c>
      <c r="T271" s="300">
        <f t="shared" si="704"/>
        <v>35.156000000491055</v>
      </c>
      <c r="U271" s="300"/>
      <c r="V271" s="300">
        <f>SUM(V269:V270)</f>
        <v>23.766000000065233</v>
      </c>
      <c r="W271" s="300">
        <f t="shared" ref="W271" si="714">SUM(W269:W270)</f>
        <v>11.538999999940479</v>
      </c>
      <c r="X271" s="300">
        <f t="shared" ref="X271" si="715">SUM(X269:X270)</f>
        <v>1.7390000000192645</v>
      </c>
      <c r="Y271" s="300">
        <f t="shared" si="705"/>
        <v>37.04400000002498</v>
      </c>
    </row>
    <row r="272" spans="1:25" x14ac:dyDescent="0.2">
      <c r="C272" s="263"/>
    </row>
    <row r="273" spans="1:25" x14ac:dyDescent="0.2">
      <c r="A273" s="261" t="s">
        <v>366</v>
      </c>
    </row>
    <row r="274" spans="1:25" x14ac:dyDescent="0.2">
      <c r="A274" s="260" t="s">
        <v>356</v>
      </c>
      <c r="B274" s="300">
        <f>SUM(B249,B254,B259,B264,B269)</f>
        <v>14.968999999997791</v>
      </c>
      <c r="C274" s="300">
        <f t="shared" ref="C274:D275" si="716">SUM(C249,C254,C259,C264,C269)</f>
        <v>8.9060000003040436</v>
      </c>
      <c r="D274" s="300">
        <f t="shared" si="716"/>
        <v>0.32800000001048513</v>
      </c>
      <c r="E274" s="300">
        <f>SUM(B274:D274)</f>
        <v>24.203000000312318</v>
      </c>
      <c r="F274" s="300"/>
      <c r="G274" s="300">
        <f>SUM(G249,G254,G259,G264,G269)</f>
        <v>19.396999999639107</v>
      </c>
      <c r="H274" s="300">
        <f t="shared" ref="H274:I274" si="717">SUM(H249,H254,H259,H264,H269)</f>
        <v>10.804999999936365</v>
      </c>
      <c r="I274" s="300">
        <f t="shared" si="717"/>
        <v>2.5290000000161723</v>
      </c>
      <c r="J274" s="300">
        <f>SUM(G274:I274)</f>
        <v>32.730999999591646</v>
      </c>
      <c r="K274" s="300"/>
      <c r="L274" s="300">
        <f>SUM(L249,L254,L259,L264,L269)</f>
        <v>21.673999999938879</v>
      </c>
      <c r="M274" s="300">
        <f t="shared" ref="M274:N274" si="718">SUM(M249,M254,M259,M264,M269)</f>
        <v>12.636000000375066</v>
      </c>
      <c r="N274" s="300">
        <f t="shared" si="718"/>
        <v>2.7670000000136663</v>
      </c>
      <c r="O274" s="300">
        <f>SUM(L274:N274)</f>
        <v>37.077000000327615</v>
      </c>
      <c r="P274" s="300"/>
      <c r="Q274" s="300">
        <f>SUM(Q249,Q254,Q259,Q264,Q269)</f>
        <v>23.266000000519242</v>
      </c>
      <c r="R274" s="300">
        <f t="shared" ref="R274:S274" si="719">SUM(R249,R254,R259,R264,R269)</f>
        <v>13.670000000140474</v>
      </c>
      <c r="S274" s="300">
        <f t="shared" si="719"/>
        <v>2.7359999999701112</v>
      </c>
      <c r="T274" s="300">
        <f>SUM(Q274:S274)</f>
        <v>39.672000000629829</v>
      </c>
      <c r="U274" s="300"/>
      <c r="V274" s="300">
        <f>SUM(V249,V254,V259,V264,V269)</f>
        <v>24.466999999740395</v>
      </c>
      <c r="W274" s="300">
        <f t="shared" ref="W274:X274" si="720">SUM(W249,W254,W259,W264,W269)</f>
        <v>14.861999999757309</v>
      </c>
      <c r="X274" s="300">
        <f t="shared" si="720"/>
        <v>2.6679999999527446</v>
      </c>
      <c r="Y274" s="300">
        <f>SUM(V274:X274)</f>
        <v>41.996999999450452</v>
      </c>
    </row>
    <row r="275" spans="1:25" x14ac:dyDescent="0.2">
      <c r="A275" s="260" t="s">
        <v>355</v>
      </c>
      <c r="B275" s="300">
        <f>SUM(B250,B255,B260,B265,B270)</f>
        <v>72.907999999028803</v>
      </c>
      <c r="C275" s="300">
        <f t="shared" si="716"/>
        <v>6.7509999999976067</v>
      </c>
      <c r="D275" s="300">
        <f t="shared" si="716"/>
        <v>13.939999999858443</v>
      </c>
      <c r="E275" s="300">
        <f t="shared" ref="E275:E276" si="721">SUM(B275:D275)</f>
        <v>93.59899999888485</v>
      </c>
      <c r="F275" s="300"/>
      <c r="G275" s="300">
        <f>SUM(G250,G255,G260,G265,G270)</f>
        <v>82.771000000240178</v>
      </c>
      <c r="H275" s="300">
        <f t="shared" ref="H275:I275" si="722">SUM(H250,H255,H260,H265,H270)</f>
        <v>10.041000000127946</v>
      </c>
      <c r="I275" s="300">
        <f t="shared" si="722"/>
        <v>13.572999999179261</v>
      </c>
      <c r="J275" s="300">
        <f t="shared" ref="J275:J276" si="723">SUM(G275:I275)</f>
        <v>106.38499999954739</v>
      </c>
      <c r="K275" s="300"/>
      <c r="L275" s="300">
        <f>SUM(L250,L255,L260,L265,L270)</f>
        <v>91.433000000825231</v>
      </c>
      <c r="M275" s="300">
        <f t="shared" ref="M275:N275" si="724">SUM(M250,M255,M260,M265,M270)</f>
        <v>13.677000000083229</v>
      </c>
      <c r="N275" s="300">
        <f t="shared" si="724"/>
        <v>20.032000000600704</v>
      </c>
      <c r="O275" s="300">
        <f t="shared" ref="O275:O276" si="725">SUM(L275:N275)</f>
        <v>125.14200000150916</v>
      </c>
      <c r="P275" s="300"/>
      <c r="Q275" s="300">
        <f>SUM(Q250,Q255,Q260,Q265,Q270)</f>
        <v>93.594000000939388</v>
      </c>
      <c r="R275" s="300">
        <f t="shared" ref="R275:S275" si="726">SUM(R250,R255,R260,R265,R270)</f>
        <v>14.151000000101895</v>
      </c>
      <c r="S275" s="300">
        <f t="shared" si="726"/>
        <v>20.244000001489141</v>
      </c>
      <c r="T275" s="300">
        <f t="shared" ref="T275:T276" si="727">SUM(Q275:S275)</f>
        <v>127.98900000253043</v>
      </c>
      <c r="U275" s="300"/>
      <c r="V275" s="300">
        <f>SUM(V250,V255,V260,V265,V270)</f>
        <v>92.19200000101452</v>
      </c>
      <c r="W275" s="300">
        <f t="shared" ref="W275:X275" si="728">SUM(W250,W255,W260,W265,W270)</f>
        <v>14.750000000146093</v>
      </c>
      <c r="X275" s="300">
        <f t="shared" si="728"/>
        <v>20.768000001235325</v>
      </c>
      <c r="Y275" s="300">
        <f t="shared" ref="Y275:Y276" si="729">SUM(V275:X275)</f>
        <v>127.71000000239593</v>
      </c>
    </row>
    <row r="276" spans="1:25" x14ac:dyDescent="0.2">
      <c r="A276" s="264" t="s">
        <v>354</v>
      </c>
      <c r="B276" s="301">
        <f>SUM(B274:B275)</f>
        <v>87.876999999026594</v>
      </c>
      <c r="C276" s="301">
        <f t="shared" ref="C276" si="730">SUM(C274:C275)</f>
        <v>15.65700000030165</v>
      </c>
      <c r="D276" s="301">
        <f t="shared" ref="D276" si="731">SUM(D274:D275)</f>
        <v>14.267999999868929</v>
      </c>
      <c r="E276" s="301">
        <f t="shared" si="721"/>
        <v>117.80199999919718</v>
      </c>
      <c r="F276" s="301"/>
      <c r="G276" s="301">
        <f>SUM(G274:G275)</f>
        <v>102.16799999987929</v>
      </c>
      <c r="H276" s="301">
        <f t="shared" ref="H276" si="732">SUM(H274:H275)</f>
        <v>20.846000000064311</v>
      </c>
      <c r="I276" s="301">
        <f t="shared" ref="I276" si="733">SUM(I274:I275)</f>
        <v>16.101999999195435</v>
      </c>
      <c r="J276" s="301">
        <f t="shared" si="723"/>
        <v>139.11599999913904</v>
      </c>
      <c r="K276" s="301"/>
      <c r="L276" s="301">
        <f>SUM(L274:L275)</f>
        <v>113.10700000076412</v>
      </c>
      <c r="M276" s="301">
        <f t="shared" ref="M276" si="734">SUM(M274:M275)</f>
        <v>26.313000000458295</v>
      </c>
      <c r="N276" s="301">
        <f t="shared" ref="N276" si="735">SUM(N274:N275)</f>
        <v>22.79900000061437</v>
      </c>
      <c r="O276" s="301">
        <f t="shared" si="725"/>
        <v>162.21900000183678</v>
      </c>
      <c r="P276" s="301"/>
      <c r="Q276" s="301">
        <f>SUM(Q274:Q275)</f>
        <v>116.86000000145863</v>
      </c>
      <c r="R276" s="301">
        <f t="shared" ref="R276" si="736">SUM(R274:R275)</f>
        <v>27.821000000242371</v>
      </c>
      <c r="S276" s="301">
        <f t="shared" ref="S276" si="737">SUM(S274:S275)</f>
        <v>22.980000001459253</v>
      </c>
      <c r="T276" s="301">
        <f t="shared" si="727"/>
        <v>167.66100000316024</v>
      </c>
      <c r="U276" s="301"/>
      <c r="V276" s="301">
        <f>SUM(V274:V275)</f>
        <v>116.65900000075492</v>
      </c>
      <c r="W276" s="301">
        <f t="shared" ref="W276" si="738">SUM(W274:W275)</f>
        <v>29.611999999903404</v>
      </c>
      <c r="X276" s="301">
        <f t="shared" ref="X276" si="739">SUM(X274:X275)</f>
        <v>23.43600000118807</v>
      </c>
      <c r="Y276" s="301">
        <f t="shared" si="729"/>
        <v>169.70700000184638</v>
      </c>
    </row>
    <row r="277" spans="1:25" x14ac:dyDescent="0.2">
      <c r="C277" s="263"/>
    </row>
    <row r="278" spans="1:25" x14ac:dyDescent="0.2">
      <c r="C278" s="263"/>
    </row>
    <row r="279" spans="1:25" x14ac:dyDescent="0.2">
      <c r="C279" s="263"/>
    </row>
    <row r="280" spans="1:25" ht="15" x14ac:dyDescent="0.25">
      <c r="A280" s="265" t="str">
        <f>"Industry 11 : "&amp; name!B14</f>
        <v>Industry 11 : Accommodation and food</v>
      </c>
      <c r="B280" s="371">
        <f>$B$5</f>
        <v>2015</v>
      </c>
      <c r="C280" s="371"/>
      <c r="D280" s="371"/>
      <c r="E280" s="371"/>
      <c r="F280" s="320"/>
      <c r="G280" s="371">
        <f>$G$5</f>
        <v>2019</v>
      </c>
      <c r="H280" s="371"/>
      <c r="I280" s="371"/>
      <c r="J280" s="371"/>
      <c r="K280" s="320"/>
      <c r="L280" s="371">
        <f>$L$5</f>
        <v>2020</v>
      </c>
      <c r="M280" s="371"/>
      <c r="N280" s="371"/>
      <c r="O280" s="371"/>
      <c r="P280" s="318"/>
      <c r="Q280" s="371">
        <f>$Q$5</f>
        <v>2025</v>
      </c>
      <c r="R280" s="371"/>
      <c r="S280" s="371"/>
      <c r="T280" s="371"/>
      <c r="U280" s="320"/>
      <c r="V280" s="371">
        <f>$V$5</f>
        <v>2035</v>
      </c>
      <c r="W280" s="371"/>
      <c r="X280" s="371"/>
      <c r="Y280" s="371"/>
    </row>
    <row r="281" spans="1:25" x14ac:dyDescent="0.2">
      <c r="A281" s="264"/>
      <c r="B281" s="268" t="str">
        <f>$B$6</f>
        <v>FT</v>
      </c>
      <c r="C281" s="268" t="str">
        <f>$C$6</f>
        <v>PT</v>
      </c>
      <c r="D281" s="268" t="str">
        <f>$D$6</f>
        <v>SE</v>
      </c>
      <c r="E281" s="268" t="str">
        <f>$E$6</f>
        <v>Total</v>
      </c>
      <c r="F281" s="268"/>
      <c r="G281" s="268" t="str">
        <f>$B$6</f>
        <v>FT</v>
      </c>
      <c r="H281" s="268" t="str">
        <f>$C$6</f>
        <v>PT</v>
      </c>
      <c r="I281" s="268" t="str">
        <f>$D$6</f>
        <v>SE</v>
      </c>
      <c r="J281" s="268" t="str">
        <f>$E$6</f>
        <v>Total</v>
      </c>
      <c r="K281" s="268"/>
      <c r="L281" s="268" t="str">
        <f>$L$6</f>
        <v>FT</v>
      </c>
      <c r="M281" s="268" t="str">
        <f>$M$6</f>
        <v>PT</v>
      </c>
      <c r="N281" s="268" t="str">
        <f>$N$6</f>
        <v>SE</v>
      </c>
      <c r="O281" s="268" t="str">
        <f>$O$6</f>
        <v>Total</v>
      </c>
      <c r="P281" s="268"/>
      <c r="Q281" s="268" t="str">
        <f>$L$6</f>
        <v>FT</v>
      </c>
      <c r="R281" s="268" t="str">
        <f>$M$6</f>
        <v>PT</v>
      </c>
      <c r="S281" s="268" t="str">
        <f>$N$6</f>
        <v>SE</v>
      </c>
      <c r="T281" s="268" t="str">
        <f>$O$6</f>
        <v>Total</v>
      </c>
      <c r="U281" s="268"/>
      <c r="V281" s="268" t="str">
        <f>$V$6</f>
        <v>FT</v>
      </c>
      <c r="W281" s="268" t="str">
        <f>$W$6</f>
        <v>PT</v>
      </c>
      <c r="X281" s="268" t="str">
        <f>$X$6</f>
        <v>SE</v>
      </c>
      <c r="Y281" s="268" t="str">
        <f>$Y$6</f>
        <v>Total</v>
      </c>
    </row>
    <row r="282" spans="1:25" x14ac:dyDescent="0.2">
      <c r="C282" s="319"/>
      <c r="D282" s="319"/>
      <c r="E282" s="319"/>
      <c r="F282" s="319"/>
      <c r="G282" s="319"/>
      <c r="H282" s="319"/>
      <c r="I282" s="319"/>
      <c r="J282" s="319"/>
      <c r="K282" s="319"/>
      <c r="L282" s="319"/>
      <c r="M282" s="319"/>
      <c r="N282" s="319"/>
      <c r="O282" s="319"/>
      <c r="P282" s="319"/>
      <c r="Q282" s="319"/>
      <c r="R282" s="319"/>
      <c r="S282" s="319"/>
      <c r="T282" s="319"/>
      <c r="U282" s="319"/>
      <c r="V282" s="319"/>
      <c r="W282" s="319"/>
      <c r="X282" s="319"/>
      <c r="Y282" s="319"/>
    </row>
    <row r="283" spans="1:25" x14ac:dyDescent="0.2">
      <c r="A283" s="261" t="str">
        <f>name!A42</f>
        <v>Accommodation</v>
      </c>
      <c r="C283" s="263"/>
    </row>
    <row r="284" spans="1:25" x14ac:dyDescent="0.2">
      <c r="A284" s="260" t="s">
        <v>356</v>
      </c>
      <c r="B284" s="300">
        <v>5.4180000000476172</v>
      </c>
      <c r="C284" s="300">
        <v>9.0430000003894158</v>
      </c>
      <c r="D284" s="300">
        <v>2.3700000000812369</v>
      </c>
      <c r="E284" s="300">
        <f>SUM(B284:D284)</f>
        <v>16.831000000518269</v>
      </c>
      <c r="F284" s="300"/>
      <c r="G284" s="300">
        <v>5.7279999998928277</v>
      </c>
      <c r="H284" s="300">
        <v>11.27300000006664</v>
      </c>
      <c r="I284" s="300">
        <v>1.926000000023129</v>
      </c>
      <c r="J284" s="300">
        <f>SUM(G284:I284)</f>
        <v>18.926999999982598</v>
      </c>
      <c r="K284" s="300"/>
      <c r="L284" s="300">
        <v>5.6120000000247217</v>
      </c>
      <c r="M284" s="300">
        <v>11.740000000475812</v>
      </c>
      <c r="N284" s="300">
        <v>1.6259999999802806</v>
      </c>
      <c r="O284" s="300">
        <f>SUM(L284:N284)</f>
        <v>18.978000000480812</v>
      </c>
      <c r="P284" s="300"/>
      <c r="Q284" s="300">
        <v>6.3990000000864038</v>
      </c>
      <c r="R284" s="300">
        <v>13.852000000477425</v>
      </c>
      <c r="S284" s="300">
        <v>1.8919999999789161</v>
      </c>
      <c r="T284" s="300">
        <f>SUM(Q284:S284)</f>
        <v>22.143000000542745</v>
      </c>
      <c r="U284" s="300"/>
      <c r="V284" s="300">
        <v>6.8189999999507869</v>
      </c>
      <c r="W284" s="300">
        <v>15.677999999814963</v>
      </c>
      <c r="X284" s="300">
        <v>2.0859999999783181</v>
      </c>
      <c r="Y284" s="300">
        <f>SUM(V284:X284)</f>
        <v>24.582999999744068</v>
      </c>
    </row>
    <row r="285" spans="1:25" x14ac:dyDescent="0.2">
      <c r="A285" s="260" t="s">
        <v>355</v>
      </c>
      <c r="B285" s="300">
        <v>6.4949999999416574</v>
      </c>
      <c r="C285" s="300">
        <v>3.7419999999994742</v>
      </c>
      <c r="D285" s="300">
        <v>1.0180000000041325</v>
      </c>
      <c r="E285" s="300">
        <f t="shared" ref="E285:E286" si="740">SUM(B285:D285)</f>
        <v>11.254999999945264</v>
      </c>
      <c r="F285" s="300"/>
      <c r="G285" s="300">
        <v>5.6379999999986392</v>
      </c>
      <c r="H285" s="300">
        <v>4.2990000000555488</v>
      </c>
      <c r="I285" s="300">
        <v>0.52800000000461222</v>
      </c>
      <c r="J285" s="300">
        <f t="shared" ref="J285:J286" si="741">SUM(G285:I285)</f>
        <v>10.465000000058799</v>
      </c>
      <c r="K285" s="300"/>
      <c r="L285" s="300">
        <v>4.9710000000043193</v>
      </c>
      <c r="M285" s="300">
        <v>4.1820000000202748</v>
      </c>
      <c r="N285" s="300">
        <v>0.47800000000657544</v>
      </c>
      <c r="O285" s="300">
        <f t="shared" ref="O285:O286" si="742">SUM(L285:N285)</f>
        <v>9.63100000003117</v>
      </c>
      <c r="P285" s="300"/>
      <c r="Q285" s="300">
        <v>5.6390000000215492</v>
      </c>
      <c r="R285" s="300">
        <v>4.8450000000278228</v>
      </c>
      <c r="S285" s="300">
        <v>0.55700000000933869</v>
      </c>
      <c r="T285" s="300">
        <f t="shared" ref="T285:T286" si="743">SUM(Q285:S285)</f>
        <v>11.041000000058711</v>
      </c>
      <c r="U285" s="300"/>
      <c r="V285" s="300">
        <v>5.970000000001078</v>
      </c>
      <c r="W285" s="300">
        <v>5.2670000000196762</v>
      </c>
      <c r="X285" s="300">
        <v>0.61300000000193877</v>
      </c>
      <c r="Y285" s="300">
        <f t="shared" ref="Y285:Y286" si="744">SUM(V285:X285)</f>
        <v>11.850000000022693</v>
      </c>
    </row>
    <row r="286" spans="1:25" x14ac:dyDescent="0.2">
      <c r="A286" s="260" t="s">
        <v>354</v>
      </c>
      <c r="B286" s="300">
        <f>SUM(B284:B285)</f>
        <v>11.912999999989275</v>
      </c>
      <c r="C286" s="300">
        <f t="shared" ref="C286" si="745">SUM(C284:C285)</f>
        <v>12.785000000388891</v>
      </c>
      <c r="D286" s="300">
        <f t="shared" ref="D286" si="746">SUM(D284:D285)</f>
        <v>3.3880000000853694</v>
      </c>
      <c r="E286" s="300">
        <f t="shared" si="740"/>
        <v>28.086000000463535</v>
      </c>
      <c r="F286" s="300"/>
      <c r="G286" s="300">
        <f>SUM(G284:G285)</f>
        <v>11.365999999891468</v>
      </c>
      <c r="H286" s="300">
        <f t="shared" ref="H286" si="747">SUM(H284:H285)</f>
        <v>15.572000000122188</v>
      </c>
      <c r="I286" s="300">
        <f t="shared" ref="I286" si="748">SUM(I284:I285)</f>
        <v>2.4540000000277411</v>
      </c>
      <c r="J286" s="300">
        <f t="shared" si="741"/>
        <v>29.392000000041396</v>
      </c>
      <c r="K286" s="300"/>
      <c r="L286" s="300">
        <f>SUM(L284:L285)</f>
        <v>10.583000000029042</v>
      </c>
      <c r="M286" s="300">
        <f t="shared" ref="M286" si="749">SUM(M284:M285)</f>
        <v>15.922000000496087</v>
      </c>
      <c r="N286" s="300">
        <f t="shared" ref="N286" si="750">SUM(N284:N285)</f>
        <v>2.1039999999868559</v>
      </c>
      <c r="O286" s="300">
        <f t="shared" si="742"/>
        <v>28.609000000511983</v>
      </c>
      <c r="P286" s="300"/>
      <c r="Q286" s="300">
        <f>SUM(Q284:Q285)</f>
        <v>12.038000000107953</v>
      </c>
      <c r="R286" s="300">
        <f t="shared" ref="R286" si="751">SUM(R284:R285)</f>
        <v>18.697000000505248</v>
      </c>
      <c r="S286" s="300">
        <f t="shared" ref="S286" si="752">SUM(S284:S285)</f>
        <v>2.4489999999882546</v>
      </c>
      <c r="T286" s="300">
        <f t="shared" si="743"/>
        <v>33.184000000601458</v>
      </c>
      <c r="U286" s="300"/>
      <c r="V286" s="300">
        <f>SUM(V284:V285)</f>
        <v>12.788999999951866</v>
      </c>
      <c r="W286" s="300">
        <f t="shared" ref="W286" si="753">SUM(W284:W285)</f>
        <v>20.944999999834639</v>
      </c>
      <c r="X286" s="300">
        <f t="shared" ref="X286" si="754">SUM(X284:X285)</f>
        <v>2.698999999980257</v>
      </c>
      <c r="Y286" s="300">
        <f t="shared" si="744"/>
        <v>36.432999999766764</v>
      </c>
    </row>
    <row r="287" spans="1:25" x14ac:dyDescent="0.2">
      <c r="C287" s="319"/>
      <c r="D287" s="319"/>
      <c r="E287" s="319"/>
      <c r="F287" s="319"/>
      <c r="G287" s="319"/>
      <c r="H287" s="319"/>
      <c r="I287" s="319"/>
      <c r="J287" s="319"/>
      <c r="K287" s="319"/>
      <c r="L287" s="319"/>
      <c r="M287" s="319"/>
      <c r="N287" s="319"/>
      <c r="O287" s="319"/>
      <c r="P287" s="319"/>
      <c r="Q287" s="319"/>
      <c r="R287" s="319"/>
      <c r="S287" s="319"/>
      <c r="T287" s="319"/>
      <c r="U287" s="319"/>
      <c r="V287" s="319"/>
      <c r="W287" s="319"/>
      <c r="X287" s="319"/>
      <c r="Y287" s="319"/>
    </row>
    <row r="288" spans="1:25" x14ac:dyDescent="0.2">
      <c r="A288" s="261" t="str">
        <f>name!A43</f>
        <v>Food and beverage services</v>
      </c>
      <c r="C288" s="263"/>
    </row>
    <row r="289" spans="1:25" x14ac:dyDescent="0.2">
      <c r="A289" s="260" t="s">
        <v>356</v>
      </c>
      <c r="B289" s="300">
        <v>12.939000000113717</v>
      </c>
      <c r="C289" s="300">
        <v>35.285000001519464</v>
      </c>
      <c r="D289" s="300">
        <v>3.5450000001215094</v>
      </c>
      <c r="E289" s="300">
        <f>SUM(B289:D289)</f>
        <v>51.769000001754691</v>
      </c>
      <c r="F289" s="300"/>
      <c r="G289" s="300">
        <v>17.953999999664092</v>
      </c>
      <c r="H289" s="300">
        <v>42.755000000252736</v>
      </c>
      <c r="I289" s="300">
        <v>2.1440000000257493</v>
      </c>
      <c r="J289" s="300">
        <f>SUM(G289:I289)</f>
        <v>62.852999999942575</v>
      </c>
      <c r="K289" s="300"/>
      <c r="L289" s="300">
        <v>21.37400000009416</v>
      </c>
      <c r="M289" s="300">
        <v>41.480000001681134</v>
      </c>
      <c r="N289" s="300">
        <v>2.3739999999712111</v>
      </c>
      <c r="O289" s="300">
        <f>SUM(L289:N289)</f>
        <v>65.228000001746494</v>
      </c>
      <c r="P289" s="300"/>
      <c r="Q289" s="300">
        <v>20.452000000276154</v>
      </c>
      <c r="R289" s="300">
        <v>39.235000001352283</v>
      </c>
      <c r="S289" s="300">
        <v>2.2809999999745796</v>
      </c>
      <c r="T289" s="300">
        <f>SUM(Q289:S289)</f>
        <v>61.968000001603016</v>
      </c>
      <c r="U289" s="300"/>
      <c r="V289" s="300">
        <v>21.998999999841239</v>
      </c>
      <c r="W289" s="300">
        <v>41.041999999515596</v>
      </c>
      <c r="X289" s="300">
        <v>2.4529999999744962</v>
      </c>
      <c r="Y289" s="300">
        <f>SUM(V289:X289)</f>
        <v>65.493999999331336</v>
      </c>
    </row>
    <row r="290" spans="1:25" x14ac:dyDescent="0.2">
      <c r="A290" s="260" t="s">
        <v>355</v>
      </c>
      <c r="B290" s="300">
        <v>19.292999999826684</v>
      </c>
      <c r="C290" s="300">
        <v>29.758999999995812</v>
      </c>
      <c r="D290" s="300">
        <v>3.6410000000147789</v>
      </c>
      <c r="E290" s="300">
        <f t="shared" ref="E290:E291" si="755">SUM(B290:D290)</f>
        <v>52.692999999837276</v>
      </c>
      <c r="F290" s="300"/>
      <c r="G290" s="300">
        <v>21.521999999994797</v>
      </c>
      <c r="H290" s="300">
        <v>30.411000000392967</v>
      </c>
      <c r="I290" s="300">
        <v>1.7210000000150316</v>
      </c>
      <c r="J290" s="300">
        <f t="shared" ref="J290:J291" si="756">SUM(G290:I290)</f>
        <v>53.654000000402796</v>
      </c>
      <c r="K290" s="300"/>
      <c r="L290" s="300">
        <v>20.755000000018033</v>
      </c>
      <c r="M290" s="300">
        <v>28.116000000136303</v>
      </c>
      <c r="N290" s="300">
        <v>0.93200000001282124</v>
      </c>
      <c r="O290" s="300">
        <f t="shared" ref="O290:O291" si="757">SUM(L290:N290)</f>
        <v>49.80300000016716</v>
      </c>
      <c r="P290" s="300"/>
      <c r="Q290" s="300">
        <v>19.966000000076296</v>
      </c>
      <c r="R290" s="300">
        <v>26.650000000153057</v>
      </c>
      <c r="S290" s="300">
        <v>0.89300000001497193</v>
      </c>
      <c r="T290" s="300">
        <f t="shared" ref="T290:T291" si="758">SUM(Q290:S290)</f>
        <v>47.50900000024432</v>
      </c>
      <c r="U290" s="300"/>
      <c r="V290" s="300">
        <v>21.715000000003926</v>
      </c>
      <c r="W290" s="300">
        <v>28.080000000104906</v>
      </c>
      <c r="X290" s="300">
        <v>0.96000000000303676</v>
      </c>
      <c r="Y290" s="300">
        <f t="shared" ref="Y290:Y291" si="759">SUM(V290:X290)</f>
        <v>50.755000000111863</v>
      </c>
    </row>
    <row r="291" spans="1:25" x14ac:dyDescent="0.2">
      <c r="A291" s="260" t="s">
        <v>354</v>
      </c>
      <c r="B291" s="300">
        <f>SUM(B289:B290)</f>
        <v>32.231999999940399</v>
      </c>
      <c r="C291" s="300">
        <f t="shared" ref="C291" si="760">SUM(C289:C290)</f>
        <v>65.044000001515272</v>
      </c>
      <c r="D291" s="300">
        <f t="shared" ref="D291" si="761">SUM(D289:D290)</f>
        <v>7.1860000001362883</v>
      </c>
      <c r="E291" s="300">
        <f t="shared" si="755"/>
        <v>104.46200000159196</v>
      </c>
      <c r="F291" s="300"/>
      <c r="G291" s="300">
        <f>SUM(G289:G290)</f>
        <v>39.475999999658889</v>
      </c>
      <c r="H291" s="300">
        <f t="shared" ref="H291" si="762">SUM(H289:H290)</f>
        <v>73.16600000064571</v>
      </c>
      <c r="I291" s="300">
        <f t="shared" ref="I291" si="763">SUM(I289:I290)</f>
        <v>3.8650000000407809</v>
      </c>
      <c r="J291" s="300">
        <f t="shared" si="756"/>
        <v>116.50700000034537</v>
      </c>
      <c r="K291" s="300"/>
      <c r="L291" s="300">
        <f>SUM(L289:L290)</f>
        <v>42.129000000112192</v>
      </c>
      <c r="M291" s="300">
        <f t="shared" ref="M291" si="764">SUM(M289:M290)</f>
        <v>69.59600000181743</v>
      </c>
      <c r="N291" s="300">
        <f t="shared" ref="N291" si="765">SUM(N289:N290)</f>
        <v>3.3059999999840324</v>
      </c>
      <c r="O291" s="300">
        <f t="shared" si="757"/>
        <v>115.03100000191367</v>
      </c>
      <c r="P291" s="300"/>
      <c r="Q291" s="300">
        <f>SUM(Q289:Q290)</f>
        <v>40.41800000035245</v>
      </c>
      <c r="R291" s="300">
        <f t="shared" ref="R291" si="766">SUM(R289:R290)</f>
        <v>65.885000001505347</v>
      </c>
      <c r="S291" s="300">
        <f t="shared" ref="S291" si="767">SUM(S289:S290)</f>
        <v>3.1739999999895514</v>
      </c>
      <c r="T291" s="300">
        <f t="shared" si="758"/>
        <v>109.47700000184734</v>
      </c>
      <c r="U291" s="300"/>
      <c r="V291" s="300">
        <f>SUM(V289:V290)</f>
        <v>43.713999999845164</v>
      </c>
      <c r="W291" s="300">
        <f t="shared" ref="W291" si="768">SUM(W289:W290)</f>
        <v>69.121999999620499</v>
      </c>
      <c r="X291" s="300">
        <f t="shared" ref="X291" si="769">SUM(X289:X290)</f>
        <v>3.4129999999775329</v>
      </c>
      <c r="Y291" s="300">
        <f t="shared" si="759"/>
        <v>116.24899999944319</v>
      </c>
    </row>
    <row r="292" spans="1:25" x14ac:dyDescent="0.2">
      <c r="C292" s="263"/>
    </row>
    <row r="293" spans="1:25" x14ac:dyDescent="0.2">
      <c r="A293" s="261" t="s">
        <v>365</v>
      </c>
    </row>
    <row r="294" spans="1:25" x14ac:dyDescent="0.2">
      <c r="A294" s="260" t="s">
        <v>356</v>
      </c>
      <c r="B294" s="300">
        <f>SUM(B284,B289)</f>
        <v>18.357000000161335</v>
      </c>
      <c r="C294" s="300">
        <f t="shared" ref="C294:D295" si="770">SUM(C284,C289)</f>
        <v>44.328000001908876</v>
      </c>
      <c r="D294" s="300">
        <f t="shared" si="770"/>
        <v>5.9150000002027463</v>
      </c>
      <c r="E294" s="300">
        <f>SUM(B294:D294)</f>
        <v>68.600000002272964</v>
      </c>
      <c r="F294" s="300"/>
      <c r="G294" s="300">
        <f>SUM(G284,G289)</f>
        <v>23.681999999556918</v>
      </c>
      <c r="H294" s="300">
        <f t="shared" ref="H294:I294" si="771">SUM(H284,H289)</f>
        <v>54.028000000319373</v>
      </c>
      <c r="I294" s="300">
        <f t="shared" si="771"/>
        <v>4.0700000000488785</v>
      </c>
      <c r="J294" s="300">
        <f>SUM(G294:I294)</f>
        <v>81.779999999925167</v>
      </c>
      <c r="K294" s="300"/>
      <c r="L294" s="300">
        <f>SUM(L284,L289)</f>
        <v>26.986000000118882</v>
      </c>
      <c r="M294" s="300">
        <f t="shared" ref="M294:N294" si="772">SUM(M284,M289)</f>
        <v>53.220000002156944</v>
      </c>
      <c r="N294" s="300">
        <f t="shared" si="772"/>
        <v>3.9999999999514917</v>
      </c>
      <c r="O294" s="300">
        <f>SUM(L294:N294)</f>
        <v>84.206000002227327</v>
      </c>
      <c r="P294" s="300"/>
      <c r="Q294" s="300">
        <f>SUM(Q284,Q289)</f>
        <v>26.851000000362557</v>
      </c>
      <c r="R294" s="300">
        <f t="shared" ref="R294:S294" si="773">SUM(R284,R289)</f>
        <v>53.087000001829708</v>
      </c>
      <c r="S294" s="300">
        <f t="shared" si="773"/>
        <v>4.1729999999534959</v>
      </c>
      <c r="T294" s="300">
        <f>SUM(Q294:S294)</f>
        <v>84.111000002145758</v>
      </c>
      <c r="U294" s="300"/>
      <c r="V294" s="300">
        <f>SUM(V284,V289)</f>
        <v>28.817999999792026</v>
      </c>
      <c r="W294" s="300">
        <f t="shared" ref="W294:X294" si="774">SUM(W284,W289)</f>
        <v>56.719999999330561</v>
      </c>
      <c r="X294" s="300">
        <f t="shared" si="774"/>
        <v>4.5389999999528143</v>
      </c>
      <c r="Y294" s="300">
        <f>SUM(V294:X294)</f>
        <v>90.076999999075412</v>
      </c>
    </row>
    <row r="295" spans="1:25" x14ac:dyDescent="0.2">
      <c r="A295" s="260" t="s">
        <v>355</v>
      </c>
      <c r="B295" s="300">
        <f>SUM(B285,B290)</f>
        <v>25.787999999768342</v>
      </c>
      <c r="C295" s="300">
        <f t="shared" si="770"/>
        <v>33.500999999995287</v>
      </c>
      <c r="D295" s="300">
        <f t="shared" si="770"/>
        <v>4.6590000000189118</v>
      </c>
      <c r="E295" s="300">
        <f t="shared" ref="E295:E296" si="775">SUM(B295:D295)</f>
        <v>63.947999999782546</v>
      </c>
      <c r="F295" s="300"/>
      <c r="G295" s="300">
        <f>SUM(G285,G290)</f>
        <v>27.159999999993438</v>
      </c>
      <c r="H295" s="300">
        <f t="shared" ref="H295:I295" si="776">SUM(H285,H290)</f>
        <v>34.710000000448517</v>
      </c>
      <c r="I295" s="300">
        <f t="shared" si="776"/>
        <v>2.249000000019644</v>
      </c>
      <c r="J295" s="300">
        <f t="shared" ref="J295:J296" si="777">SUM(G295:I295)</f>
        <v>64.119000000461597</v>
      </c>
      <c r="K295" s="300"/>
      <c r="L295" s="300">
        <f>SUM(L285,L290)</f>
        <v>25.726000000022353</v>
      </c>
      <c r="M295" s="300">
        <f t="shared" ref="M295:N295" si="778">SUM(M285,M290)</f>
        <v>32.298000000156577</v>
      </c>
      <c r="N295" s="300">
        <f t="shared" si="778"/>
        <v>1.4100000000193966</v>
      </c>
      <c r="O295" s="300">
        <f t="shared" ref="O295:O296" si="779">SUM(L295:N295)</f>
        <v>59.434000000198324</v>
      </c>
      <c r="P295" s="300"/>
      <c r="Q295" s="300">
        <f>SUM(Q285,Q290)</f>
        <v>25.605000000097846</v>
      </c>
      <c r="R295" s="300">
        <f t="shared" ref="R295:S295" si="780">SUM(R285,R290)</f>
        <v>31.49500000018088</v>
      </c>
      <c r="S295" s="300">
        <f t="shared" si="780"/>
        <v>1.4500000000243105</v>
      </c>
      <c r="T295" s="300">
        <f t="shared" ref="T295:T296" si="781">SUM(Q295:S295)</f>
        <v>58.550000000303037</v>
      </c>
      <c r="U295" s="300"/>
      <c r="V295" s="300">
        <f>SUM(V285,V290)</f>
        <v>27.685000000005004</v>
      </c>
      <c r="W295" s="300">
        <f t="shared" ref="W295:X295" si="782">SUM(W285,W290)</f>
        <v>33.347000000124581</v>
      </c>
      <c r="X295" s="300">
        <f t="shared" si="782"/>
        <v>1.5730000000049755</v>
      </c>
      <c r="Y295" s="300">
        <f t="shared" ref="Y295:Y296" si="783">SUM(V295:X295)</f>
        <v>62.605000000134559</v>
      </c>
    </row>
    <row r="296" spans="1:25" x14ac:dyDescent="0.2">
      <c r="A296" s="264" t="s">
        <v>354</v>
      </c>
      <c r="B296" s="301">
        <f>SUM(B294:B295)</f>
        <v>44.144999999929681</v>
      </c>
      <c r="C296" s="301">
        <f t="shared" ref="C296" si="784">SUM(C294:C295)</f>
        <v>77.829000001904163</v>
      </c>
      <c r="D296" s="301">
        <f t="shared" ref="D296" si="785">SUM(D294:D295)</f>
        <v>10.574000000221659</v>
      </c>
      <c r="E296" s="301">
        <f t="shared" si="775"/>
        <v>132.54800000205552</v>
      </c>
      <c r="F296" s="301"/>
      <c r="G296" s="301">
        <f>SUM(G294:G295)</f>
        <v>50.841999999550353</v>
      </c>
      <c r="H296" s="301">
        <f t="shared" ref="H296" si="786">SUM(H294:H295)</f>
        <v>88.738000000767897</v>
      </c>
      <c r="I296" s="301">
        <f t="shared" ref="I296" si="787">SUM(I294:I295)</f>
        <v>6.319000000068522</v>
      </c>
      <c r="J296" s="301">
        <f t="shared" si="777"/>
        <v>145.89900000038676</v>
      </c>
      <c r="K296" s="301"/>
      <c r="L296" s="301">
        <f>SUM(L294:L295)</f>
        <v>52.712000000141231</v>
      </c>
      <c r="M296" s="301">
        <f t="shared" ref="M296" si="788">SUM(M294:M295)</f>
        <v>85.518000002313528</v>
      </c>
      <c r="N296" s="301">
        <f t="shared" ref="N296" si="789">SUM(N294:N295)</f>
        <v>5.4099999999708883</v>
      </c>
      <c r="O296" s="301">
        <f t="shared" si="779"/>
        <v>143.64000000242564</v>
      </c>
      <c r="P296" s="301"/>
      <c r="Q296" s="301">
        <f>SUM(Q294:Q295)</f>
        <v>52.456000000460406</v>
      </c>
      <c r="R296" s="301">
        <f t="shared" ref="R296" si="790">SUM(R294:R295)</f>
        <v>84.582000002010588</v>
      </c>
      <c r="S296" s="301">
        <f t="shared" ref="S296" si="791">SUM(S294:S295)</f>
        <v>5.6229999999778064</v>
      </c>
      <c r="T296" s="301">
        <f t="shared" si="781"/>
        <v>142.66100000244879</v>
      </c>
      <c r="U296" s="301"/>
      <c r="V296" s="301">
        <f>SUM(V294:V295)</f>
        <v>56.502999999797026</v>
      </c>
      <c r="W296" s="301">
        <f t="shared" ref="W296" si="792">SUM(W294:W295)</f>
        <v>90.066999999455135</v>
      </c>
      <c r="X296" s="301">
        <f t="shared" ref="X296" si="793">SUM(X294:X295)</f>
        <v>6.1119999999577903</v>
      </c>
      <c r="Y296" s="301">
        <f t="shared" si="783"/>
        <v>152.68199999920995</v>
      </c>
    </row>
    <row r="297" spans="1:25" x14ac:dyDescent="0.2">
      <c r="C297" s="263"/>
    </row>
    <row r="298" spans="1:25" x14ac:dyDescent="0.2">
      <c r="C298" s="263"/>
    </row>
    <row r="299" spans="1:25" x14ac:dyDescent="0.2">
      <c r="C299" s="263"/>
    </row>
    <row r="300" spans="1:25" ht="15" x14ac:dyDescent="0.25">
      <c r="A300" s="265" t="str">
        <f>"Industry 12 : "&amp; name!B15</f>
        <v>Industry 12 : Media</v>
      </c>
      <c r="B300" s="371">
        <f>$B$5</f>
        <v>2015</v>
      </c>
      <c r="C300" s="371"/>
      <c r="D300" s="371"/>
      <c r="E300" s="371"/>
      <c r="F300" s="320"/>
      <c r="G300" s="371">
        <f>$G$5</f>
        <v>2019</v>
      </c>
      <c r="H300" s="371"/>
      <c r="I300" s="371"/>
      <c r="J300" s="371"/>
      <c r="K300" s="320"/>
      <c r="L300" s="371">
        <f>$L$5</f>
        <v>2020</v>
      </c>
      <c r="M300" s="371"/>
      <c r="N300" s="371"/>
      <c r="O300" s="371"/>
      <c r="P300" s="318"/>
      <c r="Q300" s="371">
        <f>$Q$5</f>
        <v>2025</v>
      </c>
      <c r="R300" s="371"/>
      <c r="S300" s="371"/>
      <c r="T300" s="371"/>
      <c r="U300" s="320"/>
      <c r="V300" s="371">
        <f>$V$5</f>
        <v>2035</v>
      </c>
      <c r="W300" s="371"/>
      <c r="X300" s="371"/>
      <c r="Y300" s="371"/>
    </row>
    <row r="301" spans="1:25" x14ac:dyDescent="0.2">
      <c r="A301" s="264"/>
      <c r="B301" s="268" t="str">
        <f>$B$6</f>
        <v>FT</v>
      </c>
      <c r="C301" s="268" t="str">
        <f>$C$6</f>
        <v>PT</v>
      </c>
      <c r="D301" s="268" t="str">
        <f>$D$6</f>
        <v>SE</v>
      </c>
      <c r="E301" s="268" t="str">
        <f>$E$6</f>
        <v>Total</v>
      </c>
      <c r="F301" s="268"/>
      <c r="G301" s="268" t="str">
        <f>$B$6</f>
        <v>FT</v>
      </c>
      <c r="H301" s="268" t="str">
        <f>$C$6</f>
        <v>PT</v>
      </c>
      <c r="I301" s="268" t="str">
        <f>$D$6</f>
        <v>SE</v>
      </c>
      <c r="J301" s="268" t="str">
        <f>$E$6</f>
        <v>Total</v>
      </c>
      <c r="K301" s="268"/>
      <c r="L301" s="268" t="str">
        <f>$L$6</f>
        <v>FT</v>
      </c>
      <c r="M301" s="268" t="str">
        <f>$M$6</f>
        <v>PT</v>
      </c>
      <c r="N301" s="268" t="str">
        <f>$N$6</f>
        <v>SE</v>
      </c>
      <c r="O301" s="268" t="str">
        <f>$O$6</f>
        <v>Total</v>
      </c>
      <c r="P301" s="268"/>
      <c r="Q301" s="268" t="str">
        <f>$L$6</f>
        <v>FT</v>
      </c>
      <c r="R301" s="268" t="str">
        <f>$M$6</f>
        <v>PT</v>
      </c>
      <c r="S301" s="268" t="str">
        <f>$N$6</f>
        <v>SE</v>
      </c>
      <c r="T301" s="268" t="str">
        <f>$O$6</f>
        <v>Total</v>
      </c>
      <c r="U301" s="268"/>
      <c r="V301" s="268" t="str">
        <f>$V$6</f>
        <v>FT</v>
      </c>
      <c r="W301" s="268" t="str">
        <f>$W$6</f>
        <v>PT</v>
      </c>
      <c r="X301" s="268" t="str">
        <f>$X$6</f>
        <v>SE</v>
      </c>
      <c r="Y301" s="268" t="str">
        <f>$Y$6</f>
        <v>Total</v>
      </c>
    </row>
    <row r="302" spans="1:25" x14ac:dyDescent="0.2">
      <c r="C302" s="319"/>
      <c r="D302" s="319"/>
      <c r="E302" s="319"/>
      <c r="F302" s="319"/>
      <c r="G302" s="319"/>
      <c r="H302" s="319"/>
      <c r="I302" s="319"/>
      <c r="J302" s="319"/>
      <c r="K302" s="319"/>
      <c r="L302" s="319"/>
      <c r="M302" s="319"/>
      <c r="N302" s="319"/>
      <c r="O302" s="319"/>
      <c r="P302" s="319"/>
      <c r="Q302" s="319"/>
      <c r="R302" s="319"/>
      <c r="S302" s="319"/>
      <c r="T302" s="319"/>
      <c r="U302" s="319"/>
      <c r="V302" s="319"/>
      <c r="W302" s="319"/>
      <c r="X302" s="319"/>
      <c r="Y302" s="319"/>
    </row>
    <row r="303" spans="1:25" x14ac:dyDescent="0.2">
      <c r="A303" s="261" t="str">
        <f>name!A44</f>
        <v>Publishing activities</v>
      </c>
      <c r="C303" s="263"/>
    </row>
    <row r="304" spans="1:25" x14ac:dyDescent="0.2">
      <c r="A304" s="260" t="s">
        <v>356</v>
      </c>
      <c r="B304" s="300">
        <v>0.58199999999240171</v>
      </c>
      <c r="C304" s="300">
        <v>0.290000000003931</v>
      </c>
      <c r="D304" s="300">
        <v>0.62999999998959222</v>
      </c>
      <c r="E304" s="300">
        <f>SUM(B304:D304)</f>
        <v>1.5019999999859248</v>
      </c>
      <c r="F304" s="300"/>
      <c r="G304" s="300">
        <v>0.80399999999094973</v>
      </c>
      <c r="H304" s="300">
        <v>0.42000000000005255</v>
      </c>
      <c r="I304" s="300">
        <v>1.8560000000580887</v>
      </c>
      <c r="J304" s="300">
        <f>SUM(G304:I304)</f>
        <v>3.080000000049091</v>
      </c>
      <c r="K304" s="300"/>
      <c r="L304" s="300">
        <v>0.69699999999286733</v>
      </c>
      <c r="M304" s="300">
        <v>0.51100000000636359</v>
      </c>
      <c r="N304" s="300">
        <v>0.71899999997218766</v>
      </c>
      <c r="O304" s="300">
        <f>SUM(L304:N304)</f>
        <v>1.9269999999714187</v>
      </c>
      <c r="P304" s="300"/>
      <c r="Q304" s="300">
        <v>0.67900000001764871</v>
      </c>
      <c r="R304" s="300">
        <v>0.50600000000468948</v>
      </c>
      <c r="S304" s="300">
        <v>0.6950000000098594</v>
      </c>
      <c r="T304" s="300">
        <f>SUM(Q304:S304)</f>
        <v>1.8800000000321977</v>
      </c>
      <c r="U304" s="300"/>
      <c r="V304" s="300">
        <v>0.69399999999663375</v>
      </c>
      <c r="W304" s="300">
        <v>0.5129999999955871</v>
      </c>
      <c r="X304" s="300">
        <v>0.67400000001105775</v>
      </c>
      <c r="Y304" s="300">
        <f>SUM(V304:X304)</f>
        <v>1.8810000000032785</v>
      </c>
    </row>
    <row r="305" spans="1:25" x14ac:dyDescent="0.2">
      <c r="A305" s="260" t="s">
        <v>355</v>
      </c>
      <c r="B305" s="300">
        <v>1.3970000000032412</v>
      </c>
      <c r="C305" s="300">
        <v>0.50399999999984058</v>
      </c>
      <c r="D305" s="300">
        <v>1.6500000000496682</v>
      </c>
      <c r="E305" s="300">
        <f t="shared" ref="E305:E306" si="794">SUM(B305:D305)</f>
        <v>3.55100000005275</v>
      </c>
      <c r="F305" s="300"/>
      <c r="G305" s="300">
        <v>1.9569999999863112</v>
      </c>
      <c r="H305" s="300">
        <v>0.41000000000063502</v>
      </c>
      <c r="I305" s="300">
        <v>1.9779999999958513</v>
      </c>
      <c r="J305" s="300">
        <f t="shared" ref="J305:J306" si="795">SUM(G305:I305)</f>
        <v>4.3449999999827975</v>
      </c>
      <c r="K305" s="300"/>
      <c r="L305" s="300">
        <v>1.9269999999752674</v>
      </c>
      <c r="M305" s="300">
        <v>0.60599999999965737</v>
      </c>
      <c r="N305" s="300">
        <v>0.62400000000104372</v>
      </c>
      <c r="O305" s="300">
        <f t="shared" ref="O305:O306" si="796">SUM(L305:N305)</f>
        <v>3.1569999999759686</v>
      </c>
      <c r="P305" s="300"/>
      <c r="Q305" s="300">
        <v>1.8709999999865679</v>
      </c>
      <c r="R305" s="300">
        <v>0.61999999999950928</v>
      </c>
      <c r="S305" s="300">
        <v>0.61300000001835309</v>
      </c>
      <c r="T305" s="300">
        <f t="shared" ref="T305:T306" si="797">SUM(Q305:S305)</f>
        <v>3.1040000000044303</v>
      </c>
      <c r="U305" s="300"/>
      <c r="V305" s="300">
        <v>1.8749999999774287</v>
      </c>
      <c r="W305" s="300">
        <v>0.66999999999757731</v>
      </c>
      <c r="X305" s="300">
        <v>0.62700000001264122</v>
      </c>
      <c r="Y305" s="300">
        <f t="shared" ref="Y305:Y306" si="798">SUM(V305:X305)</f>
        <v>3.1719999999876474</v>
      </c>
    </row>
    <row r="306" spans="1:25" x14ac:dyDescent="0.2">
      <c r="A306" s="260" t="s">
        <v>354</v>
      </c>
      <c r="B306" s="300">
        <f>SUM(B304:B305)</f>
        <v>1.9789999999956429</v>
      </c>
      <c r="C306" s="300">
        <f t="shared" ref="C306" si="799">SUM(C304:C305)</f>
        <v>0.79400000000377158</v>
      </c>
      <c r="D306" s="300">
        <f t="shared" ref="D306" si="800">SUM(D304:D305)</f>
        <v>2.2800000000392604</v>
      </c>
      <c r="E306" s="300">
        <f t="shared" si="794"/>
        <v>5.0530000000386748</v>
      </c>
      <c r="F306" s="300"/>
      <c r="G306" s="300">
        <f>SUM(G304:G305)</f>
        <v>2.760999999977261</v>
      </c>
      <c r="H306" s="300">
        <f t="shared" ref="H306" si="801">SUM(H304:H305)</f>
        <v>0.83000000000068752</v>
      </c>
      <c r="I306" s="300">
        <f t="shared" ref="I306" si="802">SUM(I304:I305)</f>
        <v>3.83400000005394</v>
      </c>
      <c r="J306" s="300">
        <f t="shared" si="795"/>
        <v>7.4250000000318881</v>
      </c>
      <c r="K306" s="300"/>
      <c r="L306" s="300">
        <f>SUM(L304:L305)</f>
        <v>2.6239999999681345</v>
      </c>
      <c r="M306" s="300">
        <f t="shared" ref="M306" si="803">SUM(M304:M305)</f>
        <v>1.117000000006021</v>
      </c>
      <c r="N306" s="300">
        <f t="shared" ref="N306" si="804">SUM(N304:N305)</f>
        <v>1.3429999999732314</v>
      </c>
      <c r="O306" s="300">
        <f t="shared" si="796"/>
        <v>5.0839999999473866</v>
      </c>
      <c r="P306" s="300"/>
      <c r="Q306" s="300">
        <f>SUM(Q304:Q305)</f>
        <v>2.5500000000042164</v>
      </c>
      <c r="R306" s="300">
        <f t="shared" ref="R306" si="805">SUM(R304:R305)</f>
        <v>1.1260000000041988</v>
      </c>
      <c r="S306" s="300">
        <f t="shared" ref="S306" si="806">SUM(S304:S305)</f>
        <v>1.3080000000282124</v>
      </c>
      <c r="T306" s="300">
        <f t="shared" si="797"/>
        <v>4.9840000000366276</v>
      </c>
      <c r="U306" s="300"/>
      <c r="V306" s="300">
        <f>SUM(V304:V305)</f>
        <v>2.5689999999740625</v>
      </c>
      <c r="W306" s="300">
        <f t="shared" ref="W306" si="807">SUM(W304:W305)</f>
        <v>1.1829999999931644</v>
      </c>
      <c r="X306" s="300">
        <f t="shared" ref="X306" si="808">SUM(X304:X305)</f>
        <v>1.301000000023699</v>
      </c>
      <c r="Y306" s="300">
        <f t="shared" si="798"/>
        <v>5.0529999999909254</v>
      </c>
    </row>
    <row r="307" spans="1:25" x14ac:dyDescent="0.2">
      <c r="C307" s="319"/>
      <c r="D307" s="319"/>
      <c r="E307" s="319"/>
      <c r="F307" s="319"/>
      <c r="G307" s="319"/>
      <c r="H307" s="319"/>
      <c r="I307" s="319"/>
      <c r="J307" s="319"/>
      <c r="K307" s="319"/>
      <c r="L307" s="319"/>
      <c r="M307" s="319"/>
      <c r="N307" s="319"/>
      <c r="O307" s="319"/>
      <c r="P307" s="319"/>
      <c r="Q307" s="319"/>
      <c r="R307" s="319"/>
      <c r="S307" s="319"/>
      <c r="T307" s="319"/>
      <c r="U307" s="319"/>
      <c r="V307" s="319"/>
      <c r="W307" s="319"/>
      <c r="X307" s="319"/>
      <c r="Y307" s="319"/>
    </row>
    <row r="308" spans="1:25" x14ac:dyDescent="0.2">
      <c r="A308" s="261" t="str">
        <f>name!A45</f>
        <v>Film and music</v>
      </c>
      <c r="C308" s="263"/>
    </row>
    <row r="309" spans="1:25" x14ac:dyDescent="0.2">
      <c r="A309" s="260" t="s">
        <v>356</v>
      </c>
      <c r="B309" s="300">
        <v>0.69499999999132978</v>
      </c>
      <c r="C309" s="300">
        <v>0.58000000000726637</v>
      </c>
      <c r="D309" s="300">
        <v>0.30199999999588217</v>
      </c>
      <c r="E309" s="300">
        <f>SUM(B309:D309)</f>
        <v>1.5769999999944784</v>
      </c>
      <c r="F309" s="300"/>
      <c r="G309" s="300">
        <v>0.2879999999986021</v>
      </c>
      <c r="H309" s="300">
        <v>1.2889999999979689</v>
      </c>
      <c r="I309" s="300">
        <v>0.32000000001113482</v>
      </c>
      <c r="J309" s="300">
        <f>SUM(G309:I309)</f>
        <v>1.8970000000077056</v>
      </c>
      <c r="K309" s="300"/>
      <c r="L309" s="300">
        <v>0.24999999999718794</v>
      </c>
      <c r="M309" s="300">
        <v>1.5700000000153791</v>
      </c>
      <c r="N309" s="300">
        <v>0.14899999999366645</v>
      </c>
      <c r="O309" s="300">
        <f>SUM(L309:N309)</f>
        <v>1.9690000000062335</v>
      </c>
      <c r="P309" s="300"/>
      <c r="Q309" s="300">
        <v>0.24300000000508076</v>
      </c>
      <c r="R309" s="300">
        <v>1.554000000006764</v>
      </c>
      <c r="S309" s="300">
        <v>0.15000000000209354</v>
      </c>
      <c r="T309" s="300">
        <f>SUM(Q309:S309)</f>
        <v>1.9470000000139382</v>
      </c>
      <c r="U309" s="300"/>
      <c r="V309" s="300">
        <v>0.24900000000066844</v>
      </c>
      <c r="W309" s="300">
        <v>1.5779999999926779</v>
      </c>
      <c r="X309" s="300">
        <v>0.15500000000255373</v>
      </c>
      <c r="Y309" s="300">
        <f>SUM(V309:X309)</f>
        <v>1.9819999999959002</v>
      </c>
    </row>
    <row r="310" spans="1:25" x14ac:dyDescent="0.2">
      <c r="A310" s="260" t="s">
        <v>355</v>
      </c>
      <c r="B310" s="300">
        <v>0.22499999999945011</v>
      </c>
      <c r="C310" s="300">
        <v>0.16199999999977294</v>
      </c>
      <c r="D310" s="300">
        <v>0.66900000002560289</v>
      </c>
      <c r="E310" s="300">
        <f t="shared" ref="E310:E311" si="809">SUM(B310:D310)</f>
        <v>1.056000000024826</v>
      </c>
      <c r="F310" s="300"/>
      <c r="G310" s="300">
        <v>9.499999999983591E-2</v>
      </c>
      <c r="H310" s="300">
        <v>0.20300000000132448</v>
      </c>
      <c r="I310" s="300">
        <v>0.67700000000051641</v>
      </c>
      <c r="J310" s="300">
        <f t="shared" ref="J310:J311" si="810">SUM(G310:I310)</f>
        <v>0.97500000000167675</v>
      </c>
      <c r="K310" s="300"/>
      <c r="L310" s="300">
        <v>9.2999999999780675E-2</v>
      </c>
      <c r="M310" s="300">
        <v>0.30000000000148086</v>
      </c>
      <c r="N310" s="300">
        <v>0.21400000000250835</v>
      </c>
      <c r="O310" s="300">
        <f t="shared" ref="O310:O311" si="811">SUM(L310:N310)</f>
        <v>0.60700000000376986</v>
      </c>
      <c r="P310" s="300"/>
      <c r="Q310" s="300">
        <v>9.0000000000062849E-2</v>
      </c>
      <c r="R310" s="300">
        <v>0.30700000000138167</v>
      </c>
      <c r="S310" s="300">
        <v>0.21000000000987379</v>
      </c>
      <c r="T310" s="300">
        <f t="shared" ref="T310:T311" si="812">SUM(Q310:S310)</f>
        <v>0.60700000001131826</v>
      </c>
      <c r="U310" s="300"/>
      <c r="V310" s="300">
        <v>9.1000000000075673E-2</v>
      </c>
      <c r="W310" s="300">
        <v>0.33100000000201257</v>
      </c>
      <c r="X310" s="300">
        <v>0.21500000000742617</v>
      </c>
      <c r="Y310" s="300">
        <f t="shared" ref="Y310:Y311" si="813">SUM(V310:X310)</f>
        <v>0.6370000000095144</v>
      </c>
    </row>
    <row r="311" spans="1:25" x14ac:dyDescent="0.2">
      <c r="A311" s="260" t="s">
        <v>354</v>
      </c>
      <c r="B311" s="300">
        <f>SUM(B309:B310)</f>
        <v>0.91999999999077986</v>
      </c>
      <c r="C311" s="300">
        <f t="shared" ref="C311" si="814">SUM(C309:C310)</f>
        <v>0.74200000000703925</v>
      </c>
      <c r="D311" s="300">
        <f t="shared" ref="D311" si="815">SUM(D309:D310)</f>
        <v>0.97100000002148512</v>
      </c>
      <c r="E311" s="300">
        <f t="shared" si="809"/>
        <v>2.6330000000193041</v>
      </c>
      <c r="F311" s="300"/>
      <c r="G311" s="300">
        <f>SUM(G309:G310)</f>
        <v>0.38299999999843803</v>
      </c>
      <c r="H311" s="300">
        <f t="shared" ref="H311" si="816">SUM(H309:H310)</f>
        <v>1.4919999999992934</v>
      </c>
      <c r="I311" s="300">
        <f t="shared" ref="I311" si="817">SUM(I309:I310)</f>
        <v>0.99700000001165123</v>
      </c>
      <c r="J311" s="300">
        <f t="shared" si="810"/>
        <v>2.8720000000093826</v>
      </c>
      <c r="K311" s="300"/>
      <c r="L311" s="300">
        <f>SUM(L309:L310)</f>
        <v>0.34299999999696862</v>
      </c>
      <c r="M311" s="300">
        <f t="shared" ref="M311" si="818">SUM(M309:M310)</f>
        <v>1.87000000001686</v>
      </c>
      <c r="N311" s="300">
        <f t="shared" ref="N311" si="819">SUM(N309:N310)</f>
        <v>0.36299999999617483</v>
      </c>
      <c r="O311" s="300">
        <f t="shared" si="811"/>
        <v>2.5760000000100032</v>
      </c>
      <c r="P311" s="300"/>
      <c r="Q311" s="300">
        <f>SUM(Q309:Q310)</f>
        <v>0.33300000000514363</v>
      </c>
      <c r="R311" s="300">
        <f t="shared" ref="R311" si="820">SUM(R309:R310)</f>
        <v>1.8610000000081457</v>
      </c>
      <c r="S311" s="300">
        <f t="shared" ref="S311" si="821">SUM(S309:S310)</f>
        <v>0.3600000000119673</v>
      </c>
      <c r="T311" s="300">
        <f t="shared" si="812"/>
        <v>2.5540000000252565</v>
      </c>
      <c r="U311" s="300"/>
      <c r="V311" s="300">
        <f>SUM(V309:V310)</f>
        <v>0.3400000000007441</v>
      </c>
      <c r="W311" s="300">
        <f t="shared" ref="W311" si="822">SUM(W309:W310)</f>
        <v>1.9089999999946905</v>
      </c>
      <c r="X311" s="300">
        <f t="shared" ref="X311" si="823">SUM(X309:X310)</f>
        <v>0.3700000000099799</v>
      </c>
      <c r="Y311" s="300">
        <f t="shared" si="813"/>
        <v>2.6190000000054141</v>
      </c>
    </row>
    <row r="312" spans="1:25" x14ac:dyDescent="0.2">
      <c r="C312" s="319"/>
      <c r="D312" s="319"/>
      <c r="E312" s="319"/>
      <c r="F312" s="319"/>
      <c r="G312" s="319"/>
      <c r="H312" s="319"/>
      <c r="I312" s="319"/>
      <c r="J312" s="319"/>
      <c r="K312" s="319"/>
      <c r="L312" s="319"/>
      <c r="M312" s="319"/>
      <c r="N312" s="319"/>
      <c r="O312" s="319"/>
      <c r="P312" s="319"/>
      <c r="Q312" s="319"/>
      <c r="R312" s="319"/>
      <c r="S312" s="319"/>
      <c r="T312" s="319"/>
      <c r="U312" s="319"/>
      <c r="V312" s="319"/>
      <c r="W312" s="319"/>
      <c r="X312" s="319"/>
      <c r="Y312" s="319"/>
    </row>
    <row r="313" spans="1:25" x14ac:dyDescent="0.2">
      <c r="A313" s="261" t="str">
        <f>name!A46</f>
        <v>Broadcasting</v>
      </c>
      <c r="C313" s="263"/>
    </row>
    <row r="314" spans="1:25" x14ac:dyDescent="0.2">
      <c r="A314" s="260" t="s">
        <v>356</v>
      </c>
      <c r="B314" s="300">
        <v>4.3999999999238266E-2</v>
      </c>
      <c r="C314" s="300">
        <v>3.8000000000457446E-2</v>
      </c>
      <c r="D314" s="300">
        <v>4.799999999916623E-2</v>
      </c>
      <c r="E314" s="300">
        <f>SUM(B314:D314)</f>
        <v>0.12999999999886194</v>
      </c>
      <c r="F314" s="300"/>
      <c r="G314" s="300">
        <v>6.2999999999806294E-2</v>
      </c>
      <c r="H314" s="300">
        <v>0.12999999999989678</v>
      </c>
      <c r="I314" s="300">
        <v>0.43900000001636724</v>
      </c>
      <c r="J314" s="300">
        <f>SUM(G314:I314)</f>
        <v>0.63200000001607037</v>
      </c>
      <c r="K314" s="300"/>
      <c r="L314" s="300">
        <v>5.4999999999231657E-2</v>
      </c>
      <c r="M314" s="300">
        <v>0.1590000000015741</v>
      </c>
      <c r="N314" s="300">
        <v>0.23699999998910351</v>
      </c>
      <c r="O314" s="300">
        <f>SUM(L314:N314)</f>
        <v>0.45099999998990925</v>
      </c>
      <c r="P314" s="300"/>
      <c r="Q314" s="300">
        <v>5.3000000001198366E-2</v>
      </c>
      <c r="R314" s="300">
        <v>0.15700000000095193</v>
      </c>
      <c r="S314" s="300">
        <v>0.22300000000349612</v>
      </c>
      <c r="T314" s="300">
        <f>SUM(Q314:S314)</f>
        <v>0.43300000000564642</v>
      </c>
      <c r="U314" s="300"/>
      <c r="V314" s="300">
        <v>5.4000000000215709E-2</v>
      </c>
      <c r="W314" s="300">
        <v>0.15899999999923514</v>
      </c>
      <c r="X314" s="300">
        <v>0.20600000000399527</v>
      </c>
      <c r="Y314" s="300">
        <f>SUM(V314:X314)</f>
        <v>0.41900000000344612</v>
      </c>
    </row>
    <row r="315" spans="1:25" x14ac:dyDescent="0.2">
      <c r="A315" s="260" t="s">
        <v>355</v>
      </c>
      <c r="B315" s="300">
        <v>0.18400000000040367</v>
      </c>
      <c r="C315" s="300">
        <v>5.6999999999913127E-2</v>
      </c>
      <c r="D315" s="300">
        <v>0.17800000000818123</v>
      </c>
      <c r="E315" s="300">
        <f t="shared" ref="E315:E316" si="824">SUM(B315:D315)</f>
        <v>0.41900000000849802</v>
      </c>
      <c r="F315" s="300"/>
      <c r="G315" s="300">
        <v>0.26799999999856877</v>
      </c>
      <c r="H315" s="300">
        <v>0.11200000000056973</v>
      </c>
      <c r="I315" s="300">
        <v>0.31699999999956924</v>
      </c>
      <c r="J315" s="300">
        <f t="shared" ref="J315:J316" si="825">SUM(G315:I315)</f>
        <v>0.69699999999870776</v>
      </c>
      <c r="K315" s="300"/>
      <c r="L315" s="300">
        <v>0.26399999999734758</v>
      </c>
      <c r="M315" s="300">
        <v>0.1650000000006891</v>
      </c>
      <c r="N315" s="300">
        <v>0.10000000000115467</v>
      </c>
      <c r="O315" s="300">
        <f t="shared" ref="O315:O316" si="826">SUM(L315:N315)</f>
        <v>0.52899999999919134</v>
      </c>
      <c r="P315" s="300"/>
      <c r="Q315" s="300">
        <v>0.25599999999875345</v>
      </c>
      <c r="R315" s="300">
        <v>0.16900000000064619</v>
      </c>
      <c r="S315" s="300">
        <v>9.8000000005728449E-2</v>
      </c>
      <c r="T315" s="300">
        <f t="shared" ref="T315:T316" si="827">SUM(Q315:S315)</f>
        <v>0.52300000000512803</v>
      </c>
      <c r="U315" s="300"/>
      <c r="V315" s="300">
        <v>0.25699999999804779</v>
      </c>
      <c r="W315" s="300">
        <v>0.18200000000097111</v>
      </c>
      <c r="X315" s="300">
        <v>0.10000000000443776</v>
      </c>
      <c r="Y315" s="300">
        <f t="shared" ref="Y315:Y316" si="828">SUM(V315:X315)</f>
        <v>0.53900000000345671</v>
      </c>
    </row>
    <row r="316" spans="1:25" x14ac:dyDescent="0.2">
      <c r="A316" s="260" t="s">
        <v>354</v>
      </c>
      <c r="B316" s="300">
        <f>SUM(B314:B315)</f>
        <v>0.22799999999964193</v>
      </c>
      <c r="C316" s="300">
        <f t="shared" ref="C316" si="829">SUM(C314:C315)</f>
        <v>9.5000000000370566E-2</v>
      </c>
      <c r="D316" s="300">
        <f t="shared" ref="D316" si="830">SUM(D314:D315)</f>
        <v>0.22600000000734746</v>
      </c>
      <c r="E316" s="300">
        <f t="shared" si="824"/>
        <v>0.54900000000735993</v>
      </c>
      <c r="F316" s="300"/>
      <c r="G316" s="300">
        <f>SUM(G314:G315)</f>
        <v>0.33099999999837504</v>
      </c>
      <c r="H316" s="300">
        <f t="shared" ref="H316" si="831">SUM(H314:H315)</f>
        <v>0.24200000000046651</v>
      </c>
      <c r="I316" s="300">
        <f t="shared" ref="I316" si="832">SUM(I314:I315)</f>
        <v>0.75600000001593648</v>
      </c>
      <c r="J316" s="300">
        <f t="shared" si="825"/>
        <v>1.3290000000147781</v>
      </c>
      <c r="K316" s="300"/>
      <c r="L316" s="300">
        <f>SUM(L314:L315)</f>
        <v>0.31899999999657924</v>
      </c>
      <c r="M316" s="300">
        <f t="shared" ref="M316" si="833">SUM(M314:M315)</f>
        <v>0.3240000000022632</v>
      </c>
      <c r="N316" s="300">
        <f t="shared" ref="N316" si="834">SUM(N314:N315)</f>
        <v>0.3369999999902582</v>
      </c>
      <c r="O316" s="300">
        <f t="shared" si="826"/>
        <v>0.9799999999891007</v>
      </c>
      <c r="P316" s="300"/>
      <c r="Q316" s="300">
        <f>SUM(Q314:Q315)</f>
        <v>0.30899999999995181</v>
      </c>
      <c r="R316" s="300">
        <f t="shared" ref="R316" si="835">SUM(R314:R315)</f>
        <v>0.32600000000159812</v>
      </c>
      <c r="S316" s="300">
        <f t="shared" ref="S316" si="836">SUM(S314:S315)</f>
        <v>0.32100000000922457</v>
      </c>
      <c r="T316" s="300">
        <f t="shared" si="827"/>
        <v>0.95600000001077445</v>
      </c>
      <c r="U316" s="300"/>
      <c r="V316" s="300">
        <f>SUM(V314:V315)</f>
        <v>0.3109999999982635</v>
      </c>
      <c r="W316" s="300">
        <f t="shared" ref="W316" si="837">SUM(W314:W315)</f>
        <v>0.34100000000020625</v>
      </c>
      <c r="X316" s="300">
        <f t="shared" ref="X316" si="838">SUM(X314:X315)</f>
        <v>0.30600000000843303</v>
      </c>
      <c r="Y316" s="300">
        <f t="shared" si="828"/>
        <v>0.95800000000690289</v>
      </c>
    </row>
    <row r="317" spans="1:25" x14ac:dyDescent="0.2">
      <c r="C317" s="263"/>
    </row>
    <row r="318" spans="1:25" x14ac:dyDescent="0.2">
      <c r="A318" s="261" t="s">
        <v>364</v>
      </c>
      <c r="C318" s="263"/>
    </row>
    <row r="319" spans="1:25" x14ac:dyDescent="0.2">
      <c r="A319" s="260" t="s">
        <v>356</v>
      </c>
      <c r="B319" s="300">
        <f>SUM(B304,B309,B314)</f>
        <v>1.3209999999829696</v>
      </c>
      <c r="C319" s="300">
        <f t="shared" ref="C319:D319" si="839">SUM(C304,C309,C314)</f>
        <v>0.90800000001165482</v>
      </c>
      <c r="D319" s="300">
        <f t="shared" si="839"/>
        <v>0.97999999998464071</v>
      </c>
      <c r="E319" s="300">
        <f>SUM(B319:D319)</f>
        <v>3.2089999999792651</v>
      </c>
      <c r="F319" s="300"/>
      <c r="G319" s="300">
        <f>SUM(G304,G309,G314)</f>
        <v>1.1549999999893581</v>
      </c>
      <c r="H319" s="300">
        <f t="shared" ref="H319:I319" si="840">SUM(H304,H309,H314)</f>
        <v>1.8389999999979183</v>
      </c>
      <c r="I319" s="300">
        <f t="shared" si="840"/>
        <v>2.6150000000855909</v>
      </c>
      <c r="J319" s="300">
        <f>SUM(G319:I319)</f>
        <v>5.6090000000728679</v>
      </c>
      <c r="K319" s="300"/>
      <c r="L319" s="300">
        <f>SUM(L304,L309,L314)</f>
        <v>1.0019999999892868</v>
      </c>
      <c r="M319" s="300">
        <f t="shared" ref="M319:N319" si="841">SUM(M304,M309,M314)</f>
        <v>2.2400000000233167</v>
      </c>
      <c r="N319" s="300">
        <f t="shared" si="841"/>
        <v>1.1049999999549576</v>
      </c>
      <c r="O319" s="300">
        <f>SUM(L319:N319)</f>
        <v>4.3469999999675606</v>
      </c>
      <c r="P319" s="300"/>
      <c r="Q319" s="300">
        <f>SUM(Q304,Q309,Q314)</f>
        <v>0.97500000002392784</v>
      </c>
      <c r="R319" s="300">
        <f t="shared" ref="R319:S319" si="842">SUM(R304,R309,R314)</f>
        <v>2.2170000000124057</v>
      </c>
      <c r="S319" s="300">
        <f t="shared" si="842"/>
        <v>1.068000000015449</v>
      </c>
      <c r="T319" s="300">
        <f>SUM(Q319:S319)</f>
        <v>4.2600000000517824</v>
      </c>
      <c r="U319" s="300"/>
      <c r="V319" s="300">
        <f>SUM(V304,V309,V314)</f>
        <v>0.99699999999751787</v>
      </c>
      <c r="W319" s="300">
        <f t="shared" ref="W319:X319" si="843">SUM(W304,W309,W314)</f>
        <v>2.2499999999875002</v>
      </c>
      <c r="X319" s="300">
        <f t="shared" si="843"/>
        <v>1.0350000000176067</v>
      </c>
      <c r="Y319" s="300">
        <f>SUM(V319:X319)</f>
        <v>4.2820000000026246</v>
      </c>
    </row>
    <row r="320" spans="1:25" x14ac:dyDescent="0.2">
      <c r="A320" s="260" t="s">
        <v>355</v>
      </c>
      <c r="B320" s="300">
        <f>SUM(B305,B310,B315)</f>
        <v>1.8060000000030949</v>
      </c>
      <c r="C320" s="300">
        <f t="shared" ref="C320:D320" si="844">SUM(C305,C310,C315)</f>
        <v>0.72299999999952669</v>
      </c>
      <c r="D320" s="300">
        <f t="shared" si="844"/>
        <v>2.4970000000834527</v>
      </c>
      <c r="E320" s="300">
        <f t="shared" ref="E320:E321" si="845">SUM(B320:D320)</f>
        <v>5.0260000000860749</v>
      </c>
      <c r="F320" s="300"/>
      <c r="G320" s="300">
        <f>SUM(G305,G310,G315)</f>
        <v>2.3199999999847161</v>
      </c>
      <c r="H320" s="300">
        <f t="shared" ref="H320:I320" si="846">SUM(H305,H310,H315)</f>
        <v>0.72500000000252929</v>
      </c>
      <c r="I320" s="300">
        <f t="shared" si="846"/>
        <v>2.971999999995937</v>
      </c>
      <c r="J320" s="300">
        <f t="shared" ref="J320:J321" si="847">SUM(G320:I320)</f>
        <v>6.0169999999831827</v>
      </c>
      <c r="K320" s="300"/>
      <c r="L320" s="300">
        <f>SUM(L305,L310,L315)</f>
        <v>2.2839999999723957</v>
      </c>
      <c r="M320" s="300">
        <f t="shared" ref="M320:N320" si="848">SUM(M305,M310,M315)</f>
        <v>1.0710000000018274</v>
      </c>
      <c r="N320" s="300">
        <f t="shared" si="848"/>
        <v>0.93800000000470685</v>
      </c>
      <c r="O320" s="300">
        <f t="shared" ref="O320:O321" si="849">SUM(L320:N320)</f>
        <v>4.2929999999789299</v>
      </c>
      <c r="P320" s="300"/>
      <c r="Q320" s="300">
        <f>SUM(Q305,Q310,Q315)</f>
        <v>2.2169999999853842</v>
      </c>
      <c r="R320" s="300">
        <f t="shared" ref="R320:S320" si="850">SUM(R305,R310,R315)</f>
        <v>1.0960000000015371</v>
      </c>
      <c r="S320" s="300">
        <f t="shared" si="850"/>
        <v>0.92100000003395532</v>
      </c>
      <c r="T320" s="300">
        <f t="shared" ref="T320:T321" si="851">SUM(Q320:S320)</f>
        <v>4.2340000000208766</v>
      </c>
      <c r="U320" s="300"/>
      <c r="V320" s="300">
        <f>SUM(V305,V310,V315)</f>
        <v>2.2229999999755523</v>
      </c>
      <c r="W320" s="300">
        <f t="shared" ref="W320:X320" si="852">SUM(W305,W310,W315)</f>
        <v>1.1830000000005612</v>
      </c>
      <c r="X320" s="300">
        <f t="shared" si="852"/>
        <v>0.94200000002450512</v>
      </c>
      <c r="Y320" s="300">
        <f t="shared" ref="Y320:Y321" si="853">SUM(V320:X320)</f>
        <v>4.3480000000006189</v>
      </c>
    </row>
    <row r="321" spans="1:25" x14ac:dyDescent="0.2">
      <c r="A321" s="264" t="s">
        <v>354</v>
      </c>
      <c r="B321" s="301">
        <f>SUM(B319:B320)</f>
        <v>3.1269999999860643</v>
      </c>
      <c r="C321" s="301">
        <f t="shared" ref="C321" si="854">SUM(C319:C320)</f>
        <v>1.6310000000111815</v>
      </c>
      <c r="D321" s="301">
        <f t="shared" ref="D321" si="855">SUM(D319:D320)</f>
        <v>3.4770000000680934</v>
      </c>
      <c r="E321" s="301">
        <f t="shared" si="845"/>
        <v>8.2350000000653392</v>
      </c>
      <c r="F321" s="301"/>
      <c r="G321" s="301">
        <f>SUM(G319:G320)</f>
        <v>3.4749999999740742</v>
      </c>
      <c r="H321" s="301">
        <f t="shared" ref="H321" si="856">SUM(H319:H320)</f>
        <v>2.5640000000004477</v>
      </c>
      <c r="I321" s="301">
        <f t="shared" ref="I321" si="857">SUM(I319:I320)</f>
        <v>5.5870000000815274</v>
      </c>
      <c r="J321" s="301">
        <f t="shared" si="847"/>
        <v>11.626000000056049</v>
      </c>
      <c r="K321" s="301"/>
      <c r="L321" s="301">
        <f>SUM(L319:L320)</f>
        <v>3.2859999999616827</v>
      </c>
      <c r="M321" s="301">
        <f t="shared" ref="M321" si="858">SUM(M319:M320)</f>
        <v>3.3110000000251443</v>
      </c>
      <c r="N321" s="301">
        <f t="shared" ref="N321" si="859">SUM(N319:N320)</f>
        <v>2.0429999999596644</v>
      </c>
      <c r="O321" s="301">
        <f t="shared" si="849"/>
        <v>8.6399999999464914</v>
      </c>
      <c r="P321" s="301"/>
      <c r="Q321" s="301">
        <f>SUM(Q319:Q320)</f>
        <v>3.1920000000093118</v>
      </c>
      <c r="R321" s="301">
        <f t="shared" ref="R321" si="860">SUM(R319:R320)</f>
        <v>3.3130000000139428</v>
      </c>
      <c r="S321" s="301">
        <f t="shared" ref="S321" si="861">SUM(S319:S320)</f>
        <v>1.9890000000494044</v>
      </c>
      <c r="T321" s="301">
        <f t="shared" si="851"/>
        <v>8.4940000000726599</v>
      </c>
      <c r="U321" s="301"/>
      <c r="V321" s="301">
        <f>SUM(V319:V320)</f>
        <v>3.2199999999730702</v>
      </c>
      <c r="W321" s="301">
        <f t="shared" ref="W321" si="862">SUM(W319:W320)</f>
        <v>3.4329999999880614</v>
      </c>
      <c r="X321" s="301">
        <f t="shared" ref="X321" si="863">SUM(X319:X320)</f>
        <v>1.977000000042112</v>
      </c>
      <c r="Y321" s="301">
        <f t="shared" si="853"/>
        <v>8.6300000000032444</v>
      </c>
    </row>
    <row r="322" spans="1:25" x14ac:dyDescent="0.2">
      <c r="C322" s="263"/>
    </row>
    <row r="323" spans="1:25" x14ac:dyDescent="0.2">
      <c r="C323" s="263"/>
    </row>
    <row r="324" spans="1:25" x14ac:dyDescent="0.2">
      <c r="A324" s="262"/>
    </row>
    <row r="325" spans="1:25" ht="15" x14ac:dyDescent="0.25">
      <c r="A325" s="265" t="str">
        <f>"Industry 13 : "&amp; name!B16</f>
        <v>Industry 13 : Information technology</v>
      </c>
      <c r="B325" s="371">
        <f>$B$5</f>
        <v>2015</v>
      </c>
      <c r="C325" s="371"/>
      <c r="D325" s="371"/>
      <c r="E325" s="371"/>
      <c r="F325" s="320"/>
      <c r="G325" s="371">
        <f>$G$5</f>
        <v>2019</v>
      </c>
      <c r="H325" s="371"/>
      <c r="I325" s="371"/>
      <c r="J325" s="371"/>
      <c r="K325" s="320"/>
      <c r="L325" s="371">
        <f>$L$5</f>
        <v>2020</v>
      </c>
      <c r="M325" s="371"/>
      <c r="N325" s="371"/>
      <c r="O325" s="371"/>
      <c r="P325" s="318"/>
      <c r="Q325" s="371">
        <f>$Q$5</f>
        <v>2025</v>
      </c>
      <c r="R325" s="371"/>
      <c r="S325" s="371"/>
      <c r="T325" s="371"/>
      <c r="U325" s="320"/>
      <c r="V325" s="371">
        <f>$V$5</f>
        <v>2035</v>
      </c>
      <c r="W325" s="371"/>
      <c r="X325" s="371"/>
      <c r="Y325" s="371"/>
    </row>
    <row r="326" spans="1:25" x14ac:dyDescent="0.2">
      <c r="A326" s="264"/>
      <c r="B326" s="268" t="str">
        <f>$B$6</f>
        <v>FT</v>
      </c>
      <c r="C326" s="268" t="str">
        <f>$C$6</f>
        <v>PT</v>
      </c>
      <c r="D326" s="268" t="str">
        <f>$D$6</f>
        <v>SE</v>
      </c>
      <c r="E326" s="268" t="str">
        <f>$E$6</f>
        <v>Total</v>
      </c>
      <c r="F326" s="268"/>
      <c r="G326" s="268" t="str">
        <f>$B$6</f>
        <v>FT</v>
      </c>
      <c r="H326" s="268" t="str">
        <f>$C$6</f>
        <v>PT</v>
      </c>
      <c r="I326" s="268" t="str">
        <f>$D$6</f>
        <v>SE</v>
      </c>
      <c r="J326" s="268" t="str">
        <f>$E$6</f>
        <v>Total</v>
      </c>
      <c r="K326" s="268"/>
      <c r="L326" s="268" t="str">
        <f>$L$6</f>
        <v>FT</v>
      </c>
      <c r="M326" s="268" t="str">
        <f>$M$6</f>
        <v>PT</v>
      </c>
      <c r="N326" s="268" t="str">
        <f>$N$6</f>
        <v>SE</v>
      </c>
      <c r="O326" s="268" t="str">
        <f>$O$6</f>
        <v>Total</v>
      </c>
      <c r="P326" s="268"/>
      <c r="Q326" s="268" t="str">
        <f>$L$6</f>
        <v>FT</v>
      </c>
      <c r="R326" s="268" t="str">
        <f>$M$6</f>
        <v>PT</v>
      </c>
      <c r="S326" s="268" t="str">
        <f>$N$6</f>
        <v>SE</v>
      </c>
      <c r="T326" s="268" t="str">
        <f>$O$6</f>
        <v>Total</v>
      </c>
      <c r="U326" s="268"/>
      <c r="V326" s="268" t="str">
        <f>$V$6</f>
        <v>FT</v>
      </c>
      <c r="W326" s="268" t="str">
        <f>$W$6</f>
        <v>PT</v>
      </c>
      <c r="X326" s="268" t="str">
        <f>$X$6</f>
        <v>SE</v>
      </c>
      <c r="Y326" s="268" t="str">
        <f>$Y$6</f>
        <v>Total</v>
      </c>
    </row>
    <row r="327" spans="1:25" x14ac:dyDescent="0.2">
      <c r="C327" s="319"/>
      <c r="D327" s="319"/>
      <c r="E327" s="319"/>
      <c r="F327" s="319"/>
      <c r="G327" s="319"/>
      <c r="H327" s="319"/>
      <c r="I327" s="319"/>
      <c r="J327" s="319"/>
      <c r="K327" s="319"/>
      <c r="L327" s="319"/>
      <c r="M327" s="319"/>
      <c r="N327" s="319"/>
      <c r="O327" s="319"/>
      <c r="P327" s="319"/>
      <c r="Q327" s="319"/>
      <c r="R327" s="319"/>
      <c r="S327" s="319"/>
      <c r="T327" s="319"/>
      <c r="U327" s="319"/>
      <c r="V327" s="319"/>
      <c r="W327" s="319"/>
      <c r="X327" s="319"/>
      <c r="Y327" s="319"/>
    </row>
    <row r="328" spans="1:25" x14ac:dyDescent="0.2">
      <c r="A328" s="261" t="str">
        <f>name!A47</f>
        <v>Telecommunications</v>
      </c>
      <c r="C328" s="263"/>
    </row>
    <row r="329" spans="1:25" x14ac:dyDescent="0.2">
      <c r="A329" s="260" t="s">
        <v>356</v>
      </c>
      <c r="B329" s="300">
        <v>1.1099999999808217</v>
      </c>
      <c r="C329" s="300">
        <v>1.2160000000089002</v>
      </c>
      <c r="D329" s="300">
        <v>0.13699999999964382</v>
      </c>
      <c r="E329" s="300">
        <f>SUM(B329:D329)</f>
        <v>2.4629999999893655</v>
      </c>
      <c r="F329" s="300"/>
      <c r="G329" s="300">
        <v>1.0359999999909697</v>
      </c>
      <c r="H329" s="300">
        <v>0.67900000001200678</v>
      </c>
      <c r="I329" s="300">
        <v>3.6000000000527221E-2</v>
      </c>
      <c r="J329" s="300">
        <f>SUM(G329:I329)</f>
        <v>1.7510000000035038</v>
      </c>
      <c r="K329" s="300"/>
      <c r="L329" s="300">
        <v>1.0279999999858191</v>
      </c>
      <c r="M329" s="300">
        <v>0.56100000000482941</v>
      </c>
      <c r="N329" s="300">
        <v>9.9999999998418437E-3</v>
      </c>
      <c r="O329" s="300">
        <f>SUM(L329:N329)</f>
        <v>1.5989999999904905</v>
      </c>
      <c r="P329" s="300"/>
      <c r="Q329" s="300">
        <v>1.1320000000304464</v>
      </c>
      <c r="R329" s="300">
        <v>0.59600000002091946</v>
      </c>
      <c r="S329" s="300">
        <v>9.0000000000098803E-3</v>
      </c>
      <c r="T329" s="300">
        <f>SUM(Q329:S329)</f>
        <v>1.7370000000513757</v>
      </c>
      <c r="U329" s="300"/>
      <c r="V329" s="300">
        <v>1.2669999999948347</v>
      </c>
      <c r="W329" s="300">
        <v>0.61700000000363719</v>
      </c>
      <c r="X329" s="300">
        <v>7.9999999999825246E-3</v>
      </c>
      <c r="Y329" s="300">
        <f>SUM(V329:X329)</f>
        <v>1.8919999999984543</v>
      </c>
    </row>
    <row r="330" spans="1:25" x14ac:dyDescent="0.2">
      <c r="A330" s="260" t="s">
        <v>355</v>
      </c>
      <c r="B330" s="300">
        <v>4.4780000000295006</v>
      </c>
      <c r="C330" s="300">
        <v>0.45700000000085711</v>
      </c>
      <c r="D330" s="300">
        <v>0.74100000001943744</v>
      </c>
      <c r="E330" s="300">
        <f t="shared" ref="E330:E331" si="864">SUM(B330:D330)</f>
        <v>5.676000000049795</v>
      </c>
      <c r="F330" s="300"/>
      <c r="G330" s="300">
        <v>6.327999999930852</v>
      </c>
      <c r="H330" s="300">
        <v>0.16599999999984144</v>
      </c>
      <c r="I330" s="300">
        <v>0.48899999999920124</v>
      </c>
      <c r="J330" s="300">
        <f t="shared" ref="J330:J331" si="865">SUM(G330:I330)</f>
        <v>6.9829999999298948</v>
      </c>
      <c r="K330" s="300"/>
      <c r="L330" s="300">
        <v>5.6909999998846885</v>
      </c>
      <c r="M330" s="300">
        <v>0.26799999999904095</v>
      </c>
      <c r="N330" s="300">
        <v>0.25099999999851519</v>
      </c>
      <c r="O330" s="300">
        <f t="shared" ref="O330:O331" si="866">SUM(L330:N330)</f>
        <v>6.2099999998822444</v>
      </c>
      <c r="P330" s="300"/>
      <c r="Q330" s="300">
        <v>6.0799999999271366</v>
      </c>
      <c r="R330" s="300">
        <v>0.2909999999996013</v>
      </c>
      <c r="S330" s="300">
        <v>0.27600000000410368</v>
      </c>
      <c r="T330" s="300">
        <f t="shared" ref="T330:T331" si="867">SUM(Q330:S330)</f>
        <v>6.6469999999308422</v>
      </c>
      <c r="U330" s="300"/>
      <c r="V330" s="300">
        <v>6.4509999998862817</v>
      </c>
      <c r="W330" s="300">
        <v>0.31399999999946826</v>
      </c>
      <c r="X330" s="300">
        <v>0.30300000000126825</v>
      </c>
      <c r="Y330" s="300">
        <f t="shared" ref="Y330:Y331" si="868">SUM(V330:X330)</f>
        <v>7.067999999887018</v>
      </c>
    </row>
    <row r="331" spans="1:25" x14ac:dyDescent="0.2">
      <c r="A331" s="260" t="s">
        <v>354</v>
      </c>
      <c r="B331" s="300">
        <f>SUM(B329:B330)</f>
        <v>5.5880000000103225</v>
      </c>
      <c r="C331" s="300">
        <f t="shared" ref="C331" si="869">SUM(C329:C330)</f>
        <v>1.6730000000097573</v>
      </c>
      <c r="D331" s="300">
        <f t="shared" ref="D331" si="870">SUM(D329:D330)</f>
        <v>0.87800000001908129</v>
      </c>
      <c r="E331" s="300">
        <f t="shared" si="864"/>
        <v>8.1390000000391609</v>
      </c>
      <c r="F331" s="300"/>
      <c r="G331" s="300">
        <f>SUM(G329:G330)</f>
        <v>7.3639999999218215</v>
      </c>
      <c r="H331" s="300">
        <f t="shared" ref="H331" si="871">SUM(H329:H330)</f>
        <v>0.84500000001184827</v>
      </c>
      <c r="I331" s="300">
        <f t="shared" ref="I331" si="872">SUM(I329:I330)</f>
        <v>0.52499999999972846</v>
      </c>
      <c r="J331" s="300">
        <f t="shared" si="865"/>
        <v>8.733999999933399</v>
      </c>
      <c r="K331" s="300"/>
      <c r="L331" s="300">
        <f>SUM(L329:L330)</f>
        <v>6.7189999998705074</v>
      </c>
      <c r="M331" s="300">
        <f t="shared" ref="M331" si="873">SUM(M329:M330)</f>
        <v>0.82900000000387042</v>
      </c>
      <c r="N331" s="300">
        <f t="shared" ref="N331" si="874">SUM(N329:N330)</f>
        <v>0.26099999999835705</v>
      </c>
      <c r="O331" s="300">
        <f t="shared" si="866"/>
        <v>7.8089999998727349</v>
      </c>
      <c r="P331" s="300"/>
      <c r="Q331" s="300">
        <f>SUM(Q329:Q330)</f>
        <v>7.211999999957583</v>
      </c>
      <c r="R331" s="300">
        <f t="shared" ref="R331" si="875">SUM(R329:R330)</f>
        <v>0.88700000002052071</v>
      </c>
      <c r="S331" s="300">
        <f t="shared" ref="S331" si="876">SUM(S329:S330)</f>
        <v>0.28500000000411357</v>
      </c>
      <c r="T331" s="300">
        <f t="shared" si="867"/>
        <v>8.3839999999822172</v>
      </c>
      <c r="U331" s="300"/>
      <c r="V331" s="300">
        <f>SUM(V329:V330)</f>
        <v>7.7179999998811164</v>
      </c>
      <c r="W331" s="300">
        <f t="shared" ref="W331" si="877">SUM(W329:W330)</f>
        <v>0.93100000000310545</v>
      </c>
      <c r="X331" s="300">
        <f t="shared" ref="X331" si="878">SUM(X329:X330)</f>
        <v>0.31100000000125078</v>
      </c>
      <c r="Y331" s="300">
        <f t="shared" si="868"/>
        <v>8.959999999885472</v>
      </c>
    </row>
    <row r="332" spans="1:25" x14ac:dyDescent="0.2">
      <c r="C332" s="319"/>
      <c r="D332" s="319"/>
      <c r="E332" s="319"/>
      <c r="F332" s="319"/>
      <c r="G332" s="319"/>
      <c r="H332" s="319"/>
      <c r="I332" s="319"/>
      <c r="J332" s="319"/>
      <c r="K332" s="319"/>
      <c r="L332" s="319"/>
      <c r="M332" s="319"/>
      <c r="N332" s="319"/>
      <c r="O332" s="319"/>
      <c r="P332" s="319"/>
      <c r="Q332" s="319"/>
      <c r="R332" s="319"/>
      <c r="S332" s="319"/>
      <c r="T332" s="319"/>
      <c r="U332" s="319"/>
      <c r="V332" s="319"/>
      <c r="W332" s="319"/>
      <c r="X332" s="319"/>
      <c r="Y332" s="319"/>
    </row>
    <row r="333" spans="1:25" x14ac:dyDescent="0.2">
      <c r="A333" s="261" t="str">
        <f>name!A48</f>
        <v>Computing services</v>
      </c>
      <c r="C333" s="263"/>
    </row>
    <row r="334" spans="1:25" x14ac:dyDescent="0.2">
      <c r="A334" s="260" t="s">
        <v>356</v>
      </c>
      <c r="B334" s="300">
        <v>7.4259999998318911</v>
      </c>
      <c r="C334" s="300">
        <v>1.6679999999654553</v>
      </c>
      <c r="D334" s="300">
        <v>0.71399999998941877</v>
      </c>
      <c r="E334" s="300">
        <f>SUM(B334:D334)</f>
        <v>9.807999999786766</v>
      </c>
      <c r="F334" s="300"/>
      <c r="G334" s="300">
        <v>6.4179999999842856</v>
      </c>
      <c r="H334" s="300">
        <v>3.0560000000142238</v>
      </c>
      <c r="I334" s="300">
        <v>0.34300000000849235</v>
      </c>
      <c r="J334" s="300">
        <f>SUM(G334:I334)</f>
        <v>9.8170000000070026</v>
      </c>
      <c r="K334" s="300"/>
      <c r="L334" s="300">
        <v>6.3669999998949232</v>
      </c>
      <c r="M334" s="300">
        <v>2.5259999999613947</v>
      </c>
      <c r="N334" s="300">
        <v>0.52599999998510316</v>
      </c>
      <c r="O334" s="300">
        <f>SUM(L334:N334)</f>
        <v>9.4189999998414216</v>
      </c>
      <c r="P334" s="300"/>
      <c r="Q334" s="300">
        <v>7.0110000001766526</v>
      </c>
      <c r="R334" s="300">
        <v>2.6810000000062675</v>
      </c>
      <c r="S334" s="300">
        <v>0.57600000000544038</v>
      </c>
      <c r="T334" s="300">
        <f>SUM(Q334:S334)</f>
        <v>10.26800000018836</v>
      </c>
      <c r="U334" s="300"/>
      <c r="V334" s="300">
        <v>7.8430000000150351</v>
      </c>
      <c r="W334" s="300">
        <v>2.7770000000175639</v>
      </c>
      <c r="X334" s="300">
        <v>0.6280000000050513</v>
      </c>
      <c r="Y334" s="300">
        <f>SUM(V334:X334)</f>
        <v>11.248000000037651</v>
      </c>
    </row>
    <row r="335" spans="1:25" x14ac:dyDescent="0.2">
      <c r="A335" s="260" t="s">
        <v>355</v>
      </c>
      <c r="B335" s="300">
        <v>18.188000000206152</v>
      </c>
      <c r="C335" s="300">
        <v>0.6020000000015796</v>
      </c>
      <c r="D335" s="300">
        <v>2.8990000000938654</v>
      </c>
      <c r="E335" s="300">
        <f t="shared" ref="E335:E336" si="879">SUM(B335:D335)</f>
        <v>21.689000000301597</v>
      </c>
      <c r="F335" s="300"/>
      <c r="G335" s="300">
        <v>23.79099999967546</v>
      </c>
      <c r="H335" s="300">
        <v>0.71499999999219011</v>
      </c>
      <c r="I335" s="300">
        <v>2.1589999999882856</v>
      </c>
      <c r="J335" s="300">
        <f t="shared" ref="J335:J336" si="880">SUM(G335:I335)</f>
        <v>26.664999999655937</v>
      </c>
      <c r="K335" s="300"/>
      <c r="L335" s="300">
        <v>21.397999999444099</v>
      </c>
      <c r="M335" s="300">
        <v>1.1579999999875406</v>
      </c>
      <c r="N335" s="300">
        <v>1.1069999999951519</v>
      </c>
      <c r="O335" s="300">
        <f t="shared" ref="O335:O336" si="881">SUM(L335:N335)</f>
        <v>23.662999999426795</v>
      </c>
      <c r="P335" s="300"/>
      <c r="Q335" s="300">
        <v>22.85799999961689</v>
      </c>
      <c r="R335" s="300">
        <v>1.2549999999907377</v>
      </c>
      <c r="S335" s="300">
        <v>1.2190000000285672</v>
      </c>
      <c r="T335" s="300">
        <f t="shared" ref="T335:T336" si="882">SUM(Q335:S335)</f>
        <v>25.331999999636196</v>
      </c>
      <c r="U335" s="300"/>
      <c r="V335" s="300">
        <v>24.251999999455421</v>
      </c>
      <c r="W335" s="300">
        <v>1.356999999987955</v>
      </c>
      <c r="X335" s="300">
        <v>1.3370000000094207</v>
      </c>
      <c r="Y335" s="300">
        <f t="shared" ref="Y335:Y336" si="883">SUM(V335:X335)</f>
        <v>26.945999999452798</v>
      </c>
    </row>
    <row r="336" spans="1:25" x14ac:dyDescent="0.2">
      <c r="A336" s="260" t="s">
        <v>354</v>
      </c>
      <c r="B336" s="300">
        <f>SUM(B334:B335)</f>
        <v>25.614000000038043</v>
      </c>
      <c r="C336" s="300">
        <f t="shared" ref="C336" si="884">SUM(C334:C335)</f>
        <v>2.2699999999670348</v>
      </c>
      <c r="D336" s="300">
        <f t="shared" ref="D336" si="885">SUM(D334:D335)</f>
        <v>3.613000000083284</v>
      </c>
      <c r="E336" s="300">
        <f t="shared" si="879"/>
        <v>31.497000000088363</v>
      </c>
      <c r="F336" s="300"/>
      <c r="G336" s="300">
        <f>SUM(G334:G335)</f>
        <v>30.208999999659746</v>
      </c>
      <c r="H336" s="300">
        <f t="shared" ref="H336" si="886">SUM(H334:H335)</f>
        <v>3.7710000000064139</v>
      </c>
      <c r="I336" s="300">
        <f t="shared" ref="I336" si="887">SUM(I334:I335)</f>
        <v>2.5019999999967779</v>
      </c>
      <c r="J336" s="300">
        <f t="shared" si="880"/>
        <v>36.481999999662939</v>
      </c>
      <c r="K336" s="300"/>
      <c r="L336" s="300">
        <f>SUM(L334:L335)</f>
        <v>27.764999999339022</v>
      </c>
      <c r="M336" s="300">
        <f t="shared" ref="M336" si="888">SUM(M334:M335)</f>
        <v>3.6839999999489352</v>
      </c>
      <c r="N336" s="300">
        <f t="shared" ref="N336" si="889">SUM(N334:N335)</f>
        <v>1.6329999999802549</v>
      </c>
      <c r="O336" s="300">
        <f t="shared" si="881"/>
        <v>33.081999999268213</v>
      </c>
      <c r="P336" s="300"/>
      <c r="Q336" s="300">
        <f>SUM(Q334:Q335)</f>
        <v>29.868999999793544</v>
      </c>
      <c r="R336" s="300">
        <f t="shared" ref="R336" si="890">SUM(R334:R335)</f>
        <v>3.935999999997005</v>
      </c>
      <c r="S336" s="300">
        <f t="shared" ref="S336" si="891">SUM(S334:S335)</f>
        <v>1.7950000000340076</v>
      </c>
      <c r="T336" s="300">
        <f t="shared" si="882"/>
        <v>35.599999999824561</v>
      </c>
      <c r="U336" s="300"/>
      <c r="V336" s="300">
        <f>SUM(V334:V335)</f>
        <v>32.09499999947046</v>
      </c>
      <c r="W336" s="300">
        <f t="shared" ref="W336" si="892">SUM(W334:W335)</f>
        <v>4.1340000000055186</v>
      </c>
      <c r="X336" s="300">
        <f t="shared" ref="X336" si="893">SUM(X334:X335)</f>
        <v>1.9650000000144718</v>
      </c>
      <c r="Y336" s="300">
        <f t="shared" si="883"/>
        <v>38.193999999490451</v>
      </c>
    </row>
    <row r="337" spans="1:25" x14ac:dyDescent="0.2">
      <c r="C337" s="319"/>
      <c r="D337" s="319"/>
      <c r="E337" s="319"/>
      <c r="F337" s="319"/>
      <c r="G337" s="319"/>
      <c r="H337" s="319"/>
      <c r="I337" s="319"/>
      <c r="J337" s="319"/>
      <c r="K337" s="319"/>
      <c r="L337" s="319"/>
      <c r="M337" s="319"/>
      <c r="N337" s="319"/>
      <c r="O337" s="319"/>
      <c r="P337" s="319"/>
      <c r="Q337" s="319"/>
      <c r="R337" s="319"/>
      <c r="S337" s="319"/>
      <c r="T337" s="319"/>
      <c r="U337" s="319"/>
      <c r="V337" s="319"/>
      <c r="W337" s="319"/>
      <c r="X337" s="319"/>
      <c r="Y337" s="319"/>
    </row>
    <row r="338" spans="1:25" x14ac:dyDescent="0.2">
      <c r="A338" s="261" t="str">
        <f>name!A49</f>
        <v>Information services</v>
      </c>
      <c r="C338" s="263"/>
    </row>
    <row r="339" spans="1:25" x14ac:dyDescent="0.2">
      <c r="A339" s="260" t="s">
        <v>356</v>
      </c>
      <c r="B339" s="300">
        <v>0.80399999999013239</v>
      </c>
      <c r="C339" s="300">
        <v>0.34500000000102216</v>
      </c>
      <c r="D339" s="300">
        <v>0.15499999999924477</v>
      </c>
      <c r="E339" s="300">
        <f>SUM(B339:D339)</f>
        <v>1.3039999999903995</v>
      </c>
      <c r="F339" s="300"/>
      <c r="G339" s="300">
        <v>0.714999999994823</v>
      </c>
      <c r="H339" s="300">
        <v>0.46499999999985137</v>
      </c>
      <c r="I339" s="300">
        <v>0.12700000000290151</v>
      </c>
      <c r="J339" s="300">
        <f>SUM(G339:I339)</f>
        <v>1.3069999999975759</v>
      </c>
      <c r="K339" s="300"/>
      <c r="L339" s="300">
        <v>0.70899999999399643</v>
      </c>
      <c r="M339" s="300">
        <v>0.38400000000143097</v>
      </c>
      <c r="N339" s="300">
        <v>0.12999999999667708</v>
      </c>
      <c r="O339" s="300">
        <f>SUM(L339:N339)</f>
        <v>1.2229999999921044</v>
      </c>
      <c r="P339" s="300"/>
      <c r="Q339" s="300">
        <v>0.78100000001416159</v>
      </c>
      <c r="R339" s="300">
        <v>0.40800000000114534</v>
      </c>
      <c r="S339" s="300">
        <v>0.14400000000106167</v>
      </c>
      <c r="T339" s="300">
        <f>SUM(Q339:S339)</f>
        <v>1.3330000000163686</v>
      </c>
      <c r="U339" s="300"/>
      <c r="V339" s="300">
        <v>0.87299999999618616</v>
      </c>
      <c r="W339" s="300">
        <v>0.42199999999841298</v>
      </c>
      <c r="X339" s="300">
        <v>0.14800000000088068</v>
      </c>
      <c r="Y339" s="300">
        <f>SUM(V339:X339)</f>
        <v>1.4429999999954799</v>
      </c>
    </row>
    <row r="340" spans="1:25" x14ac:dyDescent="0.2">
      <c r="A340" s="260" t="s">
        <v>355</v>
      </c>
      <c r="B340" s="300">
        <v>3.3630000000248459</v>
      </c>
      <c r="C340" s="300">
        <v>0.24999999999992148</v>
      </c>
      <c r="D340" s="300">
        <v>0.44300000001240186</v>
      </c>
      <c r="E340" s="300">
        <f t="shared" ref="E340:E341" si="894">SUM(B340:D340)</f>
        <v>4.0560000000371694</v>
      </c>
      <c r="F340" s="300"/>
      <c r="G340" s="300">
        <v>4.5259999999521083</v>
      </c>
      <c r="H340" s="300">
        <v>0.21800000000126249</v>
      </c>
      <c r="I340" s="300">
        <v>0.34999999999924741</v>
      </c>
      <c r="J340" s="300">
        <f t="shared" ref="J340:J341" si="895">SUM(G340:I340)</f>
        <v>5.0939999999526178</v>
      </c>
      <c r="K340" s="300"/>
      <c r="L340" s="300">
        <v>4.0709999999188682</v>
      </c>
      <c r="M340" s="300">
        <v>0.3530000000011147</v>
      </c>
      <c r="N340" s="300">
        <v>0.18000000000013072</v>
      </c>
      <c r="O340" s="300">
        <f t="shared" ref="O340:O341" si="896">SUM(L340:N340)</f>
        <v>4.6039999999201129</v>
      </c>
      <c r="P340" s="300"/>
      <c r="Q340" s="300">
        <v>4.3489999999455486</v>
      </c>
      <c r="R340" s="300">
        <v>0.38300000000121098</v>
      </c>
      <c r="S340" s="300">
        <v>0.19800000000519696</v>
      </c>
      <c r="T340" s="300">
        <f t="shared" ref="T340:T341" si="897">SUM(Q340:S340)</f>
        <v>4.9299999999519564</v>
      </c>
      <c r="U340" s="300"/>
      <c r="V340" s="300">
        <v>4.6139999999183861</v>
      </c>
      <c r="W340" s="300">
        <v>0.41400000000212289</v>
      </c>
      <c r="X340" s="300">
        <v>0.2170000000032456</v>
      </c>
      <c r="Y340" s="300">
        <f t="shared" ref="Y340:Y341" si="898">SUM(V340:X340)</f>
        <v>5.2449999999237544</v>
      </c>
    </row>
    <row r="341" spans="1:25" x14ac:dyDescent="0.2">
      <c r="A341" s="260" t="s">
        <v>354</v>
      </c>
      <c r="B341" s="300">
        <f>SUM(B339:B340)</f>
        <v>4.1670000000149781</v>
      </c>
      <c r="C341" s="300">
        <f t="shared" ref="C341" si="899">SUM(C339:C340)</f>
        <v>0.59500000000094366</v>
      </c>
      <c r="D341" s="300">
        <f t="shared" ref="D341" si="900">SUM(D339:D340)</f>
        <v>0.59800000001164666</v>
      </c>
      <c r="E341" s="300">
        <f t="shared" si="894"/>
        <v>5.3600000000275685</v>
      </c>
      <c r="F341" s="300"/>
      <c r="G341" s="300">
        <f>SUM(G339:G340)</f>
        <v>5.240999999946931</v>
      </c>
      <c r="H341" s="300">
        <f t="shared" ref="H341" si="901">SUM(H339:H340)</f>
        <v>0.68300000000111383</v>
      </c>
      <c r="I341" s="300">
        <f t="shared" ref="I341" si="902">SUM(I339:I340)</f>
        <v>0.47700000000214893</v>
      </c>
      <c r="J341" s="300">
        <f t="shared" si="895"/>
        <v>6.4009999999501934</v>
      </c>
      <c r="K341" s="300"/>
      <c r="L341" s="300">
        <f>SUM(L339:L340)</f>
        <v>4.7799999999128646</v>
      </c>
      <c r="M341" s="300">
        <f t="shared" ref="M341" si="903">SUM(M339:M340)</f>
        <v>0.73700000000254562</v>
      </c>
      <c r="N341" s="300">
        <f t="shared" ref="N341" si="904">SUM(N339:N340)</f>
        <v>0.30999999999680783</v>
      </c>
      <c r="O341" s="300">
        <f t="shared" si="896"/>
        <v>5.8269999999122177</v>
      </c>
      <c r="P341" s="300"/>
      <c r="Q341" s="300">
        <f>SUM(Q339:Q340)</f>
        <v>5.1299999999597103</v>
      </c>
      <c r="R341" s="300">
        <f t="shared" ref="R341" si="905">SUM(R339:R340)</f>
        <v>0.79100000000235626</v>
      </c>
      <c r="S341" s="300">
        <f t="shared" ref="S341" si="906">SUM(S339:S340)</f>
        <v>0.34200000000625863</v>
      </c>
      <c r="T341" s="300">
        <f t="shared" si="897"/>
        <v>6.2629999999683257</v>
      </c>
      <c r="U341" s="300"/>
      <c r="V341" s="300">
        <f>SUM(V339:V340)</f>
        <v>5.4869999999145724</v>
      </c>
      <c r="W341" s="300">
        <f t="shared" ref="W341" si="907">SUM(W339:W340)</f>
        <v>0.83600000000053587</v>
      </c>
      <c r="X341" s="300">
        <f t="shared" ref="X341" si="908">SUM(X339:X340)</f>
        <v>0.36500000000412625</v>
      </c>
      <c r="Y341" s="300">
        <f t="shared" si="898"/>
        <v>6.687999999919235</v>
      </c>
    </row>
    <row r="342" spans="1:25" x14ac:dyDescent="0.2">
      <c r="C342" s="263"/>
    </row>
    <row r="343" spans="1:25" x14ac:dyDescent="0.2">
      <c r="A343" s="261" t="s">
        <v>363</v>
      </c>
      <c r="C343" s="263"/>
    </row>
    <row r="344" spans="1:25" x14ac:dyDescent="0.2">
      <c r="A344" s="260" t="s">
        <v>356</v>
      </c>
      <c r="B344" s="300">
        <f>SUM(B329,B334,B339)</f>
        <v>9.3399999998028456</v>
      </c>
      <c r="C344" s="300">
        <f t="shared" ref="C344:D344" si="909">SUM(C329,C334,C339)</f>
        <v>3.2289999999753776</v>
      </c>
      <c r="D344" s="300">
        <f t="shared" si="909"/>
        <v>1.0059999999883074</v>
      </c>
      <c r="E344" s="300">
        <f>SUM(B344:D344)</f>
        <v>13.574999999766529</v>
      </c>
      <c r="F344" s="300"/>
      <c r="G344" s="300">
        <f>SUM(G329,G334,G339)</f>
        <v>8.1689999999700778</v>
      </c>
      <c r="H344" s="300">
        <f t="shared" ref="H344:I344" si="910">SUM(H329,H334,H339)</f>
        <v>4.2000000000260815</v>
      </c>
      <c r="I344" s="300">
        <f t="shared" si="910"/>
        <v>0.50600000001192114</v>
      </c>
      <c r="J344" s="300">
        <f>SUM(G344:I344)</f>
        <v>12.875000000008081</v>
      </c>
      <c r="K344" s="300"/>
      <c r="L344" s="300">
        <f>SUM(L329,L334,L339)</f>
        <v>8.1039999998747376</v>
      </c>
      <c r="M344" s="300">
        <f t="shared" ref="M344:N344" si="911">SUM(M329,M334,M339)</f>
        <v>3.4709999999676553</v>
      </c>
      <c r="N344" s="300">
        <f t="shared" si="911"/>
        <v>0.66599999998162207</v>
      </c>
      <c r="O344" s="300">
        <f>SUM(L344:N344)</f>
        <v>12.240999999824016</v>
      </c>
      <c r="P344" s="300"/>
      <c r="Q344" s="300">
        <f>SUM(Q329,Q334,Q339)</f>
        <v>8.9240000002212607</v>
      </c>
      <c r="R344" s="300">
        <f t="shared" ref="R344:S344" si="912">SUM(R329,R334,R339)</f>
        <v>3.6850000000283321</v>
      </c>
      <c r="S344" s="300">
        <f t="shared" si="912"/>
        <v>0.72900000000651199</v>
      </c>
      <c r="T344" s="300">
        <f>SUM(Q344:S344)</f>
        <v>13.338000000256104</v>
      </c>
      <c r="U344" s="300"/>
      <c r="V344" s="300">
        <f>SUM(V329,V334,V339)</f>
        <v>9.9830000000060544</v>
      </c>
      <c r="W344" s="300">
        <f t="shared" ref="W344:X344" si="913">SUM(W329,W334,W339)</f>
        <v>3.8160000000196139</v>
      </c>
      <c r="X344" s="300">
        <f t="shared" si="913"/>
        <v>0.78400000000591452</v>
      </c>
      <c r="Y344" s="300">
        <f>SUM(V344:X344)</f>
        <v>14.583000000031582</v>
      </c>
    </row>
    <row r="345" spans="1:25" x14ac:dyDescent="0.2">
      <c r="A345" s="260" t="s">
        <v>355</v>
      </c>
      <c r="B345" s="300">
        <f>SUM(B330,B335,B340)</f>
        <v>26.029000000260499</v>
      </c>
      <c r="C345" s="300">
        <f t="shared" ref="C345:D345" si="914">SUM(C330,C335,C340)</f>
        <v>1.3090000000023581</v>
      </c>
      <c r="D345" s="300">
        <f t="shared" si="914"/>
        <v>4.083000000125705</v>
      </c>
      <c r="E345" s="300">
        <f t="shared" ref="E345:E346" si="915">SUM(B345:D345)</f>
        <v>31.42100000038856</v>
      </c>
      <c r="F345" s="300"/>
      <c r="G345" s="300">
        <f>SUM(G330,G335,G340)</f>
        <v>34.644999999558422</v>
      </c>
      <c r="H345" s="300">
        <f t="shared" ref="H345:I345" si="916">SUM(H330,H335,H340)</f>
        <v>1.098999999993294</v>
      </c>
      <c r="I345" s="300">
        <f t="shared" si="916"/>
        <v>2.9979999999867344</v>
      </c>
      <c r="J345" s="300">
        <f t="shared" ref="J345:J346" si="917">SUM(G345:I345)</f>
        <v>38.74199999953845</v>
      </c>
      <c r="K345" s="300"/>
      <c r="L345" s="300">
        <f>SUM(L330,L335,L340)</f>
        <v>31.159999999247656</v>
      </c>
      <c r="M345" s="300">
        <f t="shared" ref="M345:N345" si="918">SUM(M330,M335,M340)</f>
        <v>1.7789999999876962</v>
      </c>
      <c r="N345" s="300">
        <f t="shared" si="918"/>
        <v>1.5379999999937977</v>
      </c>
      <c r="O345" s="300">
        <f t="shared" ref="O345:O346" si="919">SUM(L345:N345)</f>
        <v>34.47699999922915</v>
      </c>
      <c r="P345" s="300"/>
      <c r="Q345" s="300">
        <f>SUM(Q330,Q335,Q340)</f>
        <v>33.286999999489574</v>
      </c>
      <c r="R345" s="300">
        <f t="shared" ref="R345:S345" si="920">SUM(R330,R335,R340)</f>
        <v>1.9289999999915501</v>
      </c>
      <c r="S345" s="300">
        <f t="shared" si="920"/>
        <v>1.6930000000378678</v>
      </c>
      <c r="T345" s="300">
        <f t="shared" ref="T345:T346" si="921">SUM(Q345:S345)</f>
        <v>36.908999999518997</v>
      </c>
      <c r="U345" s="300"/>
      <c r="V345" s="300">
        <f>SUM(V330,V335,V340)</f>
        <v>35.316999999260091</v>
      </c>
      <c r="W345" s="300">
        <f t="shared" ref="W345:X345" si="922">SUM(W330,W335,W340)</f>
        <v>2.0849999999895461</v>
      </c>
      <c r="X345" s="300">
        <f t="shared" si="922"/>
        <v>1.8570000000139344</v>
      </c>
      <c r="Y345" s="300">
        <f t="shared" ref="Y345:Y346" si="923">SUM(V345:X345)</f>
        <v>39.258999999263573</v>
      </c>
    </row>
    <row r="346" spans="1:25" x14ac:dyDescent="0.2">
      <c r="A346" s="264" t="s">
        <v>354</v>
      </c>
      <c r="B346" s="301">
        <f>SUM(B344:B345)</f>
        <v>35.369000000063345</v>
      </c>
      <c r="C346" s="301">
        <f t="shared" ref="C346" si="924">SUM(C344:C345)</f>
        <v>4.5379999999777354</v>
      </c>
      <c r="D346" s="301">
        <f t="shared" ref="D346" si="925">SUM(D344:D345)</f>
        <v>5.0890000001140123</v>
      </c>
      <c r="E346" s="301">
        <f t="shared" si="915"/>
        <v>44.996000000155092</v>
      </c>
      <c r="F346" s="301"/>
      <c r="G346" s="301">
        <f>SUM(G344:G345)</f>
        <v>42.813999999528498</v>
      </c>
      <c r="H346" s="301">
        <f t="shared" ref="H346" si="926">SUM(H344:H345)</f>
        <v>5.299000000019376</v>
      </c>
      <c r="I346" s="301">
        <f t="shared" ref="I346" si="927">SUM(I344:I345)</f>
        <v>3.5039999999986557</v>
      </c>
      <c r="J346" s="301">
        <f t="shared" si="917"/>
        <v>51.616999999546529</v>
      </c>
      <c r="K346" s="301"/>
      <c r="L346" s="301">
        <f>SUM(L344:L345)</f>
        <v>39.26399999912239</v>
      </c>
      <c r="M346" s="301">
        <f t="shared" ref="M346" si="928">SUM(M344:M345)</f>
        <v>5.2499999999553513</v>
      </c>
      <c r="N346" s="301">
        <f t="shared" ref="N346" si="929">SUM(N344:N345)</f>
        <v>2.2039999999754198</v>
      </c>
      <c r="O346" s="301">
        <f t="shared" si="919"/>
        <v>46.717999999053163</v>
      </c>
      <c r="P346" s="301"/>
      <c r="Q346" s="301">
        <f>SUM(Q344:Q345)</f>
        <v>42.210999999710836</v>
      </c>
      <c r="R346" s="301">
        <f t="shared" ref="R346" si="930">SUM(R344:R345)</f>
        <v>5.6140000000198818</v>
      </c>
      <c r="S346" s="301">
        <f t="shared" ref="S346" si="931">SUM(S344:S345)</f>
        <v>2.4220000000443798</v>
      </c>
      <c r="T346" s="301">
        <f t="shared" si="921"/>
        <v>50.246999999775099</v>
      </c>
      <c r="U346" s="301"/>
      <c r="V346" s="301">
        <f>SUM(V344:V345)</f>
        <v>45.299999999266149</v>
      </c>
      <c r="W346" s="301">
        <f t="shared" ref="W346" si="932">SUM(W344:W345)</f>
        <v>5.9010000000091605</v>
      </c>
      <c r="X346" s="301">
        <f t="shared" ref="X346" si="933">SUM(X344:X345)</f>
        <v>2.641000000019849</v>
      </c>
      <c r="Y346" s="301">
        <f t="shared" si="923"/>
        <v>53.841999999295162</v>
      </c>
    </row>
    <row r="347" spans="1:25" x14ac:dyDescent="0.2">
      <c r="A347" s="262"/>
    </row>
    <row r="348" spans="1:25" x14ac:dyDescent="0.2">
      <c r="A348" s="261"/>
    </row>
    <row r="349" spans="1:25" x14ac:dyDescent="0.2">
      <c r="C349" s="263"/>
    </row>
    <row r="350" spans="1:25" ht="15" x14ac:dyDescent="0.25">
      <c r="A350" s="265" t="str">
        <f>"Industry 14 : "&amp; name!B17</f>
        <v>Industry 14 : Finance and insurance</v>
      </c>
      <c r="B350" s="371">
        <f>$B$5</f>
        <v>2015</v>
      </c>
      <c r="C350" s="371"/>
      <c r="D350" s="371"/>
      <c r="E350" s="371"/>
      <c r="F350" s="320"/>
      <c r="G350" s="371">
        <f>$G$5</f>
        <v>2019</v>
      </c>
      <c r="H350" s="371"/>
      <c r="I350" s="371"/>
      <c r="J350" s="371"/>
      <c r="K350" s="320"/>
      <c r="L350" s="371">
        <f>$L$5</f>
        <v>2020</v>
      </c>
      <c r="M350" s="371"/>
      <c r="N350" s="371"/>
      <c r="O350" s="371"/>
      <c r="P350" s="318"/>
      <c r="Q350" s="371">
        <f>$Q$5</f>
        <v>2025</v>
      </c>
      <c r="R350" s="371"/>
      <c r="S350" s="371"/>
      <c r="T350" s="371"/>
      <c r="U350" s="320"/>
      <c r="V350" s="371">
        <f>$V$5</f>
        <v>2035</v>
      </c>
      <c r="W350" s="371"/>
      <c r="X350" s="371"/>
      <c r="Y350" s="371"/>
    </row>
    <row r="351" spans="1:25" x14ac:dyDescent="0.2">
      <c r="A351" s="264"/>
      <c r="B351" s="268" t="str">
        <f>$B$6</f>
        <v>FT</v>
      </c>
      <c r="C351" s="268" t="str">
        <f>$C$6</f>
        <v>PT</v>
      </c>
      <c r="D351" s="268" t="str">
        <f>$D$6</f>
        <v>SE</v>
      </c>
      <c r="E351" s="268" t="str">
        <f>$E$6</f>
        <v>Total</v>
      </c>
      <c r="F351" s="268"/>
      <c r="G351" s="268" t="str">
        <f>$B$6</f>
        <v>FT</v>
      </c>
      <c r="H351" s="268" t="str">
        <f>$C$6</f>
        <v>PT</v>
      </c>
      <c r="I351" s="268" t="str">
        <f>$D$6</f>
        <v>SE</v>
      </c>
      <c r="J351" s="268" t="str">
        <f>$E$6</f>
        <v>Total</v>
      </c>
      <c r="K351" s="268"/>
      <c r="L351" s="268" t="str">
        <f>$L$6</f>
        <v>FT</v>
      </c>
      <c r="M351" s="268" t="str">
        <f>$M$6</f>
        <v>PT</v>
      </c>
      <c r="N351" s="268" t="str">
        <f>$N$6</f>
        <v>SE</v>
      </c>
      <c r="O351" s="268" t="str">
        <f>$O$6</f>
        <v>Total</v>
      </c>
      <c r="P351" s="268"/>
      <c r="Q351" s="268" t="str">
        <f>$L$6</f>
        <v>FT</v>
      </c>
      <c r="R351" s="268" t="str">
        <f>$M$6</f>
        <v>PT</v>
      </c>
      <c r="S351" s="268" t="str">
        <f>$N$6</f>
        <v>SE</v>
      </c>
      <c r="T351" s="268" t="str">
        <f>$O$6</f>
        <v>Total</v>
      </c>
      <c r="U351" s="268"/>
      <c r="V351" s="268" t="str">
        <f>$V$6</f>
        <v>FT</v>
      </c>
      <c r="W351" s="268" t="str">
        <f>$W$6</f>
        <v>PT</v>
      </c>
      <c r="X351" s="268" t="str">
        <f>$X$6</f>
        <v>SE</v>
      </c>
      <c r="Y351" s="268" t="str">
        <f>$Y$6</f>
        <v>Total</v>
      </c>
    </row>
    <row r="352" spans="1:25" x14ac:dyDescent="0.2">
      <c r="C352" s="319"/>
      <c r="D352" s="319"/>
      <c r="E352" s="319"/>
      <c r="F352" s="319"/>
      <c r="G352" s="319"/>
      <c r="H352" s="319"/>
      <c r="I352" s="319"/>
      <c r="J352" s="319"/>
      <c r="K352" s="319"/>
      <c r="L352" s="319"/>
      <c r="M352" s="319"/>
      <c r="N352" s="319"/>
      <c r="O352" s="319"/>
      <c r="P352" s="319"/>
      <c r="Q352" s="319"/>
      <c r="R352" s="319"/>
      <c r="S352" s="319"/>
      <c r="T352" s="319"/>
      <c r="U352" s="319"/>
      <c r="V352" s="319"/>
      <c r="W352" s="319"/>
      <c r="X352" s="319"/>
      <c r="Y352" s="319"/>
    </row>
    <row r="353" spans="1:25" x14ac:dyDescent="0.2">
      <c r="A353" s="261" t="str">
        <f>name!A50</f>
        <v>Financial services</v>
      </c>
      <c r="C353" s="263"/>
    </row>
    <row r="354" spans="1:25" x14ac:dyDescent="0.2">
      <c r="A354" s="260" t="s">
        <v>356</v>
      </c>
      <c r="B354" s="300">
        <v>8.1649999998537197</v>
      </c>
      <c r="C354" s="300">
        <v>4.2210000000329684</v>
      </c>
      <c r="D354" s="300">
        <v>0.54500000001125659</v>
      </c>
      <c r="E354" s="300">
        <f>SUM(B354:D354)</f>
        <v>12.930999999897946</v>
      </c>
      <c r="F354" s="300"/>
      <c r="G354" s="300">
        <v>6.8169999999596529</v>
      </c>
      <c r="H354" s="300">
        <v>3.3120000000033882</v>
      </c>
      <c r="I354" s="300">
        <v>9.7000000001672471E-2</v>
      </c>
      <c r="J354" s="300">
        <f>SUM(G354:I354)</f>
        <v>10.225999999964714</v>
      </c>
      <c r="K354" s="300"/>
      <c r="L354" s="300">
        <v>7.5759999998647096</v>
      </c>
      <c r="M354" s="300">
        <v>3.7080000000291595</v>
      </c>
      <c r="N354" s="300">
        <v>0.21899999999557987</v>
      </c>
      <c r="O354" s="300">
        <f>SUM(L354:N354)</f>
        <v>11.502999999889449</v>
      </c>
      <c r="P354" s="300"/>
      <c r="Q354" s="300">
        <v>7.4230000002475522</v>
      </c>
      <c r="R354" s="300">
        <v>3.5950000000466367</v>
      </c>
      <c r="S354" s="300">
        <v>0.19599999999970141</v>
      </c>
      <c r="T354" s="300">
        <f>SUM(Q354:S354)</f>
        <v>11.21400000029389</v>
      </c>
      <c r="U354" s="300"/>
      <c r="V354" s="300">
        <v>6.9450000000624055</v>
      </c>
      <c r="W354" s="300">
        <v>3.3320000000050336</v>
      </c>
      <c r="X354" s="300">
        <v>0.18500000000080108</v>
      </c>
      <c r="Y354" s="300">
        <f>SUM(V354:X354)</f>
        <v>10.46200000006824</v>
      </c>
    </row>
    <row r="355" spans="1:25" x14ac:dyDescent="0.2">
      <c r="A355" s="260" t="s">
        <v>355</v>
      </c>
      <c r="B355" s="300">
        <v>7.9280000000546123</v>
      </c>
      <c r="C355" s="300">
        <v>0.19899999999985801</v>
      </c>
      <c r="D355" s="300">
        <v>2.1070000000671243</v>
      </c>
      <c r="E355" s="300">
        <f t="shared" ref="E355:E356" si="934">SUM(B355:D355)</f>
        <v>10.234000000121595</v>
      </c>
      <c r="F355" s="300"/>
      <c r="G355" s="300">
        <v>7.6279999999206298</v>
      </c>
      <c r="H355" s="300">
        <v>0.32000000000059975</v>
      </c>
      <c r="I355" s="300">
        <v>0.64899999999936286</v>
      </c>
      <c r="J355" s="300">
        <f t="shared" ref="J355:J356" si="935">SUM(G355:I355)</f>
        <v>8.5969999999205928</v>
      </c>
      <c r="K355" s="300"/>
      <c r="L355" s="300">
        <v>8.3479999998320338</v>
      </c>
      <c r="M355" s="300">
        <v>0.43300000000125649</v>
      </c>
      <c r="N355" s="300">
        <v>0.33200000000125396</v>
      </c>
      <c r="O355" s="300">
        <f t="shared" ref="O355:O356" si="936">SUM(L355:N355)</f>
        <v>9.1129999998345426</v>
      </c>
      <c r="P355" s="300"/>
      <c r="Q355" s="300">
        <v>8.2149999999082262</v>
      </c>
      <c r="R355" s="300">
        <v>0.44400000000219786</v>
      </c>
      <c r="S355" s="300">
        <v>0.29400000001107318</v>
      </c>
      <c r="T355" s="300">
        <f t="shared" ref="T355:T356" si="937">SUM(Q355:S355)</f>
        <v>8.9529999999214969</v>
      </c>
      <c r="U355" s="300"/>
      <c r="V355" s="300">
        <v>7.7099999998741078</v>
      </c>
      <c r="W355" s="300">
        <v>0.44500000000517259</v>
      </c>
      <c r="X355" s="300">
        <v>0.27400000000700925</v>
      </c>
      <c r="Y355" s="300">
        <f t="shared" ref="Y355:Y356" si="938">SUM(V355:X355)</f>
        <v>8.4289999998862886</v>
      </c>
    </row>
    <row r="356" spans="1:25" x14ac:dyDescent="0.2">
      <c r="A356" s="260" t="s">
        <v>354</v>
      </c>
      <c r="B356" s="300">
        <f>SUM(B354:B355)</f>
        <v>16.092999999908333</v>
      </c>
      <c r="C356" s="300">
        <f t="shared" ref="C356" si="939">SUM(C354:C355)</f>
        <v>4.4200000000328261</v>
      </c>
      <c r="D356" s="300">
        <f t="shared" ref="D356" si="940">SUM(D354:D355)</f>
        <v>2.652000000078381</v>
      </c>
      <c r="E356" s="300">
        <f t="shared" si="934"/>
        <v>23.165000000019539</v>
      </c>
      <c r="F356" s="300"/>
      <c r="G356" s="300">
        <f>SUM(G354:G355)</f>
        <v>14.444999999880283</v>
      </c>
      <c r="H356" s="300">
        <f t="shared" ref="H356" si="941">SUM(H354:H355)</f>
        <v>3.632000000003988</v>
      </c>
      <c r="I356" s="300">
        <f t="shared" ref="I356" si="942">SUM(I354:I355)</f>
        <v>0.74600000000103539</v>
      </c>
      <c r="J356" s="300">
        <f t="shared" si="935"/>
        <v>18.822999999885308</v>
      </c>
      <c r="K356" s="300"/>
      <c r="L356" s="300">
        <f>SUM(L354:L355)</f>
        <v>15.923999999696743</v>
      </c>
      <c r="M356" s="300">
        <f t="shared" ref="M356" si="943">SUM(M354:M355)</f>
        <v>4.1410000000304157</v>
      </c>
      <c r="N356" s="300">
        <f t="shared" ref="N356" si="944">SUM(N354:N355)</f>
        <v>0.5509999999968338</v>
      </c>
      <c r="O356" s="300">
        <f t="shared" si="936"/>
        <v>20.615999999723993</v>
      </c>
      <c r="P356" s="300"/>
      <c r="Q356" s="300">
        <f>SUM(Q354:Q355)</f>
        <v>15.638000000155778</v>
      </c>
      <c r="R356" s="300">
        <f t="shared" ref="R356" si="945">SUM(R354:R355)</f>
        <v>4.0390000000488344</v>
      </c>
      <c r="S356" s="300">
        <f t="shared" ref="S356" si="946">SUM(S354:S355)</f>
        <v>0.49000000001077459</v>
      </c>
      <c r="T356" s="300">
        <f t="shared" si="937"/>
        <v>20.167000000215385</v>
      </c>
      <c r="U356" s="300"/>
      <c r="V356" s="300">
        <f>SUM(V354:V355)</f>
        <v>14.654999999936514</v>
      </c>
      <c r="W356" s="300">
        <f t="shared" ref="W356" si="947">SUM(W354:W355)</f>
        <v>3.7770000000102062</v>
      </c>
      <c r="X356" s="300">
        <f t="shared" ref="X356" si="948">SUM(X354:X355)</f>
        <v>0.45900000000781033</v>
      </c>
      <c r="Y356" s="300">
        <f t="shared" si="938"/>
        <v>18.890999999954531</v>
      </c>
    </row>
    <row r="357" spans="1:25" x14ac:dyDescent="0.2">
      <c r="C357" s="319"/>
      <c r="D357" s="319"/>
      <c r="E357" s="319"/>
      <c r="F357" s="319"/>
      <c r="G357" s="319"/>
      <c r="H357" s="319"/>
      <c r="I357" s="319"/>
      <c r="J357" s="319"/>
      <c r="K357" s="319"/>
      <c r="L357" s="319"/>
      <c r="M357" s="319"/>
      <c r="N357" s="319"/>
      <c r="O357" s="319"/>
      <c r="P357" s="319"/>
      <c r="Q357" s="319"/>
      <c r="R357" s="319"/>
      <c r="S357" s="319"/>
      <c r="T357" s="319"/>
      <c r="U357" s="319"/>
      <c r="V357" s="319"/>
      <c r="W357" s="319"/>
      <c r="X357" s="319"/>
      <c r="Y357" s="319"/>
    </row>
    <row r="358" spans="1:25" x14ac:dyDescent="0.2">
      <c r="A358" s="261" t="str">
        <f>name!A51</f>
        <v>Insurance and pensions</v>
      </c>
      <c r="C358" s="263"/>
    </row>
    <row r="359" spans="1:25" x14ac:dyDescent="0.2">
      <c r="A359" s="260" t="s">
        <v>356</v>
      </c>
      <c r="B359" s="300">
        <v>1.1649999999819984</v>
      </c>
      <c r="C359" s="300">
        <v>0.16200000000056991</v>
      </c>
      <c r="D359" s="300">
        <v>7.0000000000036422E-3</v>
      </c>
      <c r="E359" s="300">
        <f>SUM(B359:D359)</f>
        <v>1.333999999982572</v>
      </c>
      <c r="F359" s="300"/>
      <c r="G359" s="300">
        <v>2.1199999999892336</v>
      </c>
      <c r="H359" s="300">
        <v>0.38200000000097195</v>
      </c>
      <c r="I359" s="300">
        <v>8.0000000001539829E-3</v>
      </c>
      <c r="J359" s="300">
        <f>SUM(G359:I359)</f>
        <v>2.5099999999903595</v>
      </c>
      <c r="K359" s="300"/>
      <c r="L359" s="300">
        <v>2.3559999999637169</v>
      </c>
      <c r="M359" s="300">
        <v>0.42800000000177751</v>
      </c>
      <c r="N359" s="300">
        <v>2.6999999999447914E-2</v>
      </c>
      <c r="O359" s="300">
        <f>SUM(L359:N359)</f>
        <v>2.8109999999649427</v>
      </c>
      <c r="P359" s="300"/>
      <c r="Q359" s="300">
        <v>2.3090000000658999</v>
      </c>
      <c r="R359" s="300">
        <v>0.41500000000497517</v>
      </c>
      <c r="S359" s="300">
        <v>2.2000000000198281E-2</v>
      </c>
      <c r="T359" s="300">
        <f>SUM(Q359:S359)</f>
        <v>2.7460000000710734</v>
      </c>
      <c r="U359" s="300"/>
      <c r="V359" s="300">
        <v>2.1600000000163568</v>
      </c>
      <c r="W359" s="300">
        <v>0.38400000000113715</v>
      </c>
      <c r="X359" s="300">
        <v>1.6000000000160126E-2</v>
      </c>
      <c r="Y359" s="300">
        <f>SUM(V359:X359)</f>
        <v>2.5600000000176544</v>
      </c>
    </row>
    <row r="360" spans="1:25" x14ac:dyDescent="0.2">
      <c r="A360" s="260" t="s">
        <v>355</v>
      </c>
      <c r="B360" s="300">
        <v>0.5640000000034523</v>
      </c>
      <c r="C360" s="300">
        <v>1.1999999999963554E-2</v>
      </c>
      <c r="D360" s="300">
        <v>0.16100000000418507</v>
      </c>
      <c r="E360" s="300">
        <f t="shared" ref="E360:E361" si="949">SUM(B360:D360)</f>
        <v>0.73700000000760091</v>
      </c>
      <c r="F360" s="300"/>
      <c r="G360" s="300">
        <v>1.1839999999895907</v>
      </c>
      <c r="H360" s="300">
        <v>5.9999999999977592E-2</v>
      </c>
      <c r="I360" s="300">
        <v>0.1109999999998713</v>
      </c>
      <c r="J360" s="300">
        <f t="shared" ref="J360:J361" si="950">SUM(G360:I360)</f>
        <v>1.3549999999894395</v>
      </c>
      <c r="K360" s="300"/>
      <c r="L360" s="300">
        <v>1.2949999999776349</v>
      </c>
      <c r="M360" s="300">
        <v>8.1000000000416988E-2</v>
      </c>
      <c r="N360" s="300">
        <v>6.2000000000059716E-2</v>
      </c>
      <c r="O360" s="300">
        <f t="shared" ref="O360:O361" si="951">SUM(L360:N360)</f>
        <v>1.4379999999781117</v>
      </c>
      <c r="P360" s="300"/>
      <c r="Q360" s="300">
        <v>1.27499999998792</v>
      </c>
      <c r="R360" s="300">
        <v>8.3000000000412064E-2</v>
      </c>
      <c r="S360" s="300">
        <v>5.1000000001311642E-2</v>
      </c>
      <c r="T360" s="300">
        <f t="shared" ref="T360:T361" si="952">SUM(Q360:S360)</f>
        <v>1.4089999999896436</v>
      </c>
      <c r="U360" s="300"/>
      <c r="V360" s="300">
        <v>1.1959999999840891</v>
      </c>
      <c r="W360" s="300">
        <v>8.3000000000777591E-2</v>
      </c>
      <c r="X360" s="300">
        <v>3.7000000000507141E-2</v>
      </c>
      <c r="Y360" s="300">
        <f t="shared" ref="Y360:Y361" si="953">SUM(V360:X360)</f>
        <v>1.3159999999853738</v>
      </c>
    </row>
    <row r="361" spans="1:25" x14ac:dyDescent="0.2">
      <c r="A361" s="260" t="s">
        <v>354</v>
      </c>
      <c r="B361" s="300">
        <f>SUM(B359:B360)</f>
        <v>1.7289999999854508</v>
      </c>
      <c r="C361" s="300">
        <f t="shared" ref="C361" si="954">SUM(C359:C360)</f>
        <v>0.17400000000053345</v>
      </c>
      <c r="D361" s="300">
        <f t="shared" ref="D361" si="955">SUM(D359:D360)</f>
        <v>0.16800000000418872</v>
      </c>
      <c r="E361" s="300">
        <f t="shared" si="949"/>
        <v>2.0709999999901729</v>
      </c>
      <c r="F361" s="300"/>
      <c r="G361" s="300">
        <f>SUM(G359:G360)</f>
        <v>3.3039999999788243</v>
      </c>
      <c r="H361" s="300">
        <f t="shared" ref="H361" si="956">SUM(H359:H360)</f>
        <v>0.44200000000094952</v>
      </c>
      <c r="I361" s="300">
        <f t="shared" ref="I361" si="957">SUM(I359:I360)</f>
        <v>0.11900000000002528</v>
      </c>
      <c r="J361" s="300">
        <f t="shared" si="950"/>
        <v>3.864999999979799</v>
      </c>
      <c r="K361" s="300"/>
      <c r="L361" s="300">
        <f>SUM(L359:L360)</f>
        <v>3.6509999999413516</v>
      </c>
      <c r="M361" s="300">
        <f t="shared" ref="M361" si="958">SUM(M359:M360)</f>
        <v>0.50900000000219447</v>
      </c>
      <c r="N361" s="300">
        <f t="shared" ref="N361" si="959">SUM(N359:N360)</f>
        <v>8.8999999999507626E-2</v>
      </c>
      <c r="O361" s="300">
        <f t="shared" si="951"/>
        <v>4.2489999999430532</v>
      </c>
      <c r="P361" s="300"/>
      <c r="Q361" s="300">
        <f>SUM(Q359:Q360)</f>
        <v>3.5840000000538197</v>
      </c>
      <c r="R361" s="300">
        <f t="shared" ref="R361" si="960">SUM(R359:R360)</f>
        <v>0.49800000000538724</v>
      </c>
      <c r="S361" s="300">
        <f t="shared" ref="S361" si="961">SUM(S359:S360)</f>
        <v>7.3000000001509927E-2</v>
      </c>
      <c r="T361" s="300">
        <f t="shared" si="952"/>
        <v>4.155000000060717</v>
      </c>
      <c r="U361" s="300"/>
      <c r="V361" s="300">
        <f>SUM(V359:V360)</f>
        <v>3.3560000000004457</v>
      </c>
      <c r="W361" s="300">
        <f t="shared" ref="W361" si="962">SUM(W359:W360)</f>
        <v>0.46700000000191477</v>
      </c>
      <c r="X361" s="300">
        <f t="shared" ref="X361" si="963">SUM(X359:X360)</f>
        <v>5.3000000000667263E-2</v>
      </c>
      <c r="Y361" s="300">
        <f t="shared" si="953"/>
        <v>3.8760000000030277</v>
      </c>
    </row>
    <row r="362" spans="1:25" x14ac:dyDescent="0.2">
      <c r="C362" s="319"/>
      <c r="D362" s="319"/>
      <c r="E362" s="319"/>
      <c r="F362" s="319"/>
      <c r="G362" s="319"/>
      <c r="H362" s="319"/>
      <c r="I362" s="319"/>
      <c r="J362" s="319"/>
      <c r="K362" s="319"/>
      <c r="L362" s="319"/>
      <c r="M362" s="319"/>
      <c r="N362" s="319"/>
      <c r="O362" s="319"/>
      <c r="P362" s="319"/>
      <c r="Q362" s="319"/>
      <c r="R362" s="319"/>
      <c r="S362" s="319"/>
      <c r="T362" s="319"/>
      <c r="U362" s="319"/>
      <c r="V362" s="319"/>
      <c r="W362" s="319"/>
      <c r="X362" s="319"/>
      <c r="Y362" s="319"/>
    </row>
    <row r="363" spans="1:25" x14ac:dyDescent="0.2">
      <c r="A363" s="261" t="str">
        <f>name!A52</f>
        <v>Auxiliary financial services</v>
      </c>
      <c r="C363" s="263"/>
    </row>
    <row r="364" spans="1:25" x14ac:dyDescent="0.2">
      <c r="A364" s="260" t="s">
        <v>356</v>
      </c>
      <c r="B364" s="300">
        <v>3.8679999999321999</v>
      </c>
      <c r="C364" s="300">
        <v>2.4810000000172714</v>
      </c>
      <c r="D364" s="300">
        <v>1.7000000000056545</v>
      </c>
      <c r="E364" s="300">
        <f>SUM(B364:D364)</f>
        <v>8.0489999999551269</v>
      </c>
      <c r="F364" s="300"/>
      <c r="G364" s="300">
        <v>4.5729999999735496</v>
      </c>
      <c r="H364" s="300">
        <v>1.7929999999995105</v>
      </c>
      <c r="I364" s="300">
        <v>1.4170000000216754</v>
      </c>
      <c r="J364" s="300">
        <f>SUM(G364:I364)</f>
        <v>7.7829999999947361</v>
      </c>
      <c r="K364" s="300"/>
      <c r="L364" s="300">
        <v>5.0819999999103675</v>
      </c>
      <c r="M364" s="300">
        <v>2.0070000000126456</v>
      </c>
      <c r="N364" s="300">
        <v>1.264999999980899</v>
      </c>
      <c r="O364" s="300">
        <f>SUM(L364:N364)</f>
        <v>8.3539999999039125</v>
      </c>
      <c r="P364" s="300"/>
      <c r="Q364" s="300">
        <v>4.9800000001648606</v>
      </c>
      <c r="R364" s="300">
        <v>1.9460000000184234</v>
      </c>
      <c r="S364" s="300">
        <v>1.3300000000036805</v>
      </c>
      <c r="T364" s="300">
        <f>SUM(Q364:S364)</f>
        <v>8.2560000001869636</v>
      </c>
      <c r="U364" s="300"/>
      <c r="V364" s="300">
        <v>4.6590000000433962</v>
      </c>
      <c r="W364" s="300">
        <v>1.8040000000026732</v>
      </c>
      <c r="X364" s="300">
        <v>1.2730000000078399</v>
      </c>
      <c r="Y364" s="300">
        <f>SUM(V364:X364)</f>
        <v>7.7360000000539086</v>
      </c>
    </row>
    <row r="365" spans="1:25" x14ac:dyDescent="0.2">
      <c r="A365" s="260" t="s">
        <v>355</v>
      </c>
      <c r="B365" s="300">
        <v>5.9300000000423942</v>
      </c>
      <c r="C365" s="300">
        <v>0.20600000000028099</v>
      </c>
      <c r="D365" s="300">
        <v>2.3510000000615374</v>
      </c>
      <c r="E365" s="300">
        <f t="shared" ref="E365:E366" si="964">SUM(B365:D365)</f>
        <v>8.4870000001042136</v>
      </c>
      <c r="F365" s="300"/>
      <c r="G365" s="300">
        <v>8.0789999999166042</v>
      </c>
      <c r="H365" s="300">
        <v>0.3050000000001577</v>
      </c>
      <c r="I365" s="300">
        <v>0.94899999999501217</v>
      </c>
      <c r="J365" s="300">
        <f t="shared" ref="J365:J366" si="965">SUM(G365:I365)</f>
        <v>9.3329999999117739</v>
      </c>
      <c r="K365" s="300"/>
      <c r="L365" s="300">
        <v>8.8409999998226709</v>
      </c>
      <c r="M365" s="300">
        <v>0.41299999999990528</v>
      </c>
      <c r="N365" s="300">
        <v>2.2950000000121755</v>
      </c>
      <c r="O365" s="300">
        <f t="shared" ref="O365:O366" si="966">SUM(L365:N365)</f>
        <v>11.548999999834752</v>
      </c>
      <c r="P365" s="300"/>
      <c r="Q365" s="300">
        <v>8.7009999999007412</v>
      </c>
      <c r="R365" s="300">
        <v>0.42400000000123561</v>
      </c>
      <c r="S365" s="300">
        <v>2.4340000000930595</v>
      </c>
      <c r="T365" s="300">
        <f t="shared" ref="T365:T366" si="967">SUM(Q365:S365)</f>
        <v>11.558999999995036</v>
      </c>
      <c r="U365" s="300"/>
      <c r="V365" s="300">
        <v>8.1659999998636881</v>
      </c>
      <c r="W365" s="300">
        <v>0.42500000000296517</v>
      </c>
      <c r="X365" s="300">
        <v>2.4030000000618315</v>
      </c>
      <c r="Y365" s="300">
        <f t="shared" ref="Y365:Y366" si="968">SUM(V365:X365)</f>
        <v>10.993999999928485</v>
      </c>
    </row>
    <row r="366" spans="1:25" x14ac:dyDescent="0.2">
      <c r="A366" s="260" t="s">
        <v>354</v>
      </c>
      <c r="B366" s="300">
        <f>SUM(B364:B365)</f>
        <v>9.7979999999745946</v>
      </c>
      <c r="C366" s="300">
        <f t="shared" ref="C366" si="969">SUM(C364:C365)</f>
        <v>2.6870000000175525</v>
      </c>
      <c r="D366" s="300">
        <f t="shared" ref="D366" si="970">SUM(D364:D365)</f>
        <v>4.0510000000671917</v>
      </c>
      <c r="E366" s="300">
        <f t="shared" si="964"/>
        <v>16.536000000059339</v>
      </c>
      <c r="F366" s="300"/>
      <c r="G366" s="300">
        <f>SUM(G364:G365)</f>
        <v>12.651999999890155</v>
      </c>
      <c r="H366" s="300">
        <f t="shared" ref="H366" si="971">SUM(H364:H365)</f>
        <v>2.0979999999996681</v>
      </c>
      <c r="I366" s="300">
        <f t="shared" ref="I366" si="972">SUM(I364:I365)</f>
        <v>2.3660000000166876</v>
      </c>
      <c r="J366" s="300">
        <f t="shared" si="965"/>
        <v>17.11599999990651</v>
      </c>
      <c r="K366" s="300"/>
      <c r="L366" s="300">
        <f>SUM(L364:L365)</f>
        <v>13.922999999733038</v>
      </c>
      <c r="M366" s="300">
        <f t="shared" ref="M366" si="973">SUM(M364:M365)</f>
        <v>2.4200000000125508</v>
      </c>
      <c r="N366" s="300">
        <f t="shared" ref="N366" si="974">SUM(N364:N365)</f>
        <v>3.5599999999930745</v>
      </c>
      <c r="O366" s="300">
        <f t="shared" si="966"/>
        <v>19.902999999738665</v>
      </c>
      <c r="P366" s="300"/>
      <c r="Q366" s="300">
        <f>SUM(Q364:Q365)</f>
        <v>13.681000000065602</v>
      </c>
      <c r="R366" s="300">
        <f t="shared" ref="R366" si="975">SUM(R364:R365)</f>
        <v>2.370000000019659</v>
      </c>
      <c r="S366" s="300">
        <f t="shared" ref="S366" si="976">SUM(S364:S365)</f>
        <v>3.7640000000967397</v>
      </c>
      <c r="T366" s="300">
        <f t="shared" si="967"/>
        <v>19.815000000182</v>
      </c>
      <c r="U366" s="300"/>
      <c r="V366" s="300">
        <f>SUM(V364:V365)</f>
        <v>12.824999999907085</v>
      </c>
      <c r="W366" s="300">
        <f t="shared" ref="W366" si="977">SUM(W364:W365)</f>
        <v>2.2290000000056382</v>
      </c>
      <c r="X366" s="300">
        <f t="shared" ref="X366" si="978">SUM(X364:X365)</f>
        <v>3.6760000000696715</v>
      </c>
      <c r="Y366" s="300">
        <f t="shared" si="968"/>
        <v>18.729999999982393</v>
      </c>
    </row>
    <row r="367" spans="1:25" x14ac:dyDescent="0.2">
      <c r="C367" s="263"/>
    </row>
    <row r="368" spans="1:25" x14ac:dyDescent="0.2">
      <c r="A368" s="261" t="s">
        <v>362</v>
      </c>
      <c r="C368" s="263"/>
    </row>
    <row r="369" spans="1:25" x14ac:dyDescent="0.2">
      <c r="A369" s="260" t="s">
        <v>356</v>
      </c>
      <c r="B369" s="300">
        <f>SUM(B354,B359,B364)</f>
        <v>13.197999999767918</v>
      </c>
      <c r="C369" s="300">
        <f t="shared" ref="C369:D369" si="979">SUM(C354,C359,C364)</f>
        <v>6.8640000000508099</v>
      </c>
      <c r="D369" s="300">
        <f t="shared" si="979"/>
        <v>2.2520000000169147</v>
      </c>
      <c r="E369" s="300">
        <f>SUM(B369:D369)</f>
        <v>22.313999999835641</v>
      </c>
      <c r="F369" s="300"/>
      <c r="G369" s="300">
        <f>SUM(G354,G359,G364)</f>
        <v>13.509999999922435</v>
      </c>
      <c r="H369" s="300">
        <f t="shared" ref="H369:I369" si="980">SUM(H354,H359,H364)</f>
        <v>5.4870000000038708</v>
      </c>
      <c r="I369" s="300">
        <f t="shared" si="980"/>
        <v>1.5220000000235019</v>
      </c>
      <c r="J369" s="300">
        <f>SUM(G369:I369)</f>
        <v>20.518999999949809</v>
      </c>
      <c r="K369" s="300"/>
      <c r="L369" s="300">
        <f>SUM(L354,L359,L364)</f>
        <v>15.013999999738795</v>
      </c>
      <c r="M369" s="300">
        <f t="shared" ref="M369:N369" si="981">SUM(M354,M359,M364)</f>
        <v>6.1430000000435827</v>
      </c>
      <c r="N369" s="300">
        <f t="shared" si="981"/>
        <v>1.5109999999759267</v>
      </c>
      <c r="O369" s="300">
        <f>SUM(L369:N369)</f>
        <v>22.667999999758305</v>
      </c>
      <c r="P369" s="300"/>
      <c r="Q369" s="300">
        <f>SUM(Q354,Q359,Q364)</f>
        <v>14.712000000478312</v>
      </c>
      <c r="R369" s="300">
        <f t="shared" ref="R369:S369" si="982">SUM(R354,R359,R364)</f>
        <v>5.956000000070035</v>
      </c>
      <c r="S369" s="300">
        <f t="shared" si="982"/>
        <v>1.5480000000035801</v>
      </c>
      <c r="T369" s="300">
        <f>SUM(Q369:S369)</f>
        <v>22.216000000551926</v>
      </c>
      <c r="U369" s="300"/>
      <c r="V369" s="300">
        <f>SUM(V354,V359,V364)</f>
        <v>13.764000000122159</v>
      </c>
      <c r="W369" s="300">
        <f t="shared" ref="W369:X369" si="983">SUM(W354,W359,W364)</f>
        <v>5.5200000000088441</v>
      </c>
      <c r="X369" s="300">
        <f t="shared" si="983"/>
        <v>1.4740000000088012</v>
      </c>
      <c r="Y369" s="300">
        <f>SUM(V369:X369)</f>
        <v>20.758000000139802</v>
      </c>
    </row>
    <row r="370" spans="1:25" x14ac:dyDescent="0.2">
      <c r="A370" s="260" t="s">
        <v>355</v>
      </c>
      <c r="B370" s="300">
        <f>SUM(B355,B360,B365)</f>
        <v>14.422000000100459</v>
      </c>
      <c r="C370" s="300">
        <f t="shared" ref="C370:D370" si="984">SUM(C355,C360,C365)</f>
        <v>0.41700000000010251</v>
      </c>
      <c r="D370" s="300">
        <f t="shared" si="984"/>
        <v>4.6190000001328464</v>
      </c>
      <c r="E370" s="300">
        <f t="shared" ref="E370:E371" si="985">SUM(B370:D370)</f>
        <v>19.458000000233408</v>
      </c>
      <c r="F370" s="300"/>
      <c r="G370" s="300">
        <f>SUM(G355,G360,G365)</f>
        <v>16.890999999826825</v>
      </c>
      <c r="H370" s="300">
        <f t="shared" ref="H370:I370" si="986">SUM(H355,H360,H365)</f>
        <v>0.68500000000073502</v>
      </c>
      <c r="I370" s="300">
        <f t="shared" si="986"/>
        <v>1.7089999999942465</v>
      </c>
      <c r="J370" s="300">
        <f t="shared" ref="J370:J371" si="987">SUM(G370:I370)</f>
        <v>19.284999999821807</v>
      </c>
      <c r="K370" s="300"/>
      <c r="L370" s="300">
        <f>SUM(L355,L360,L365)</f>
        <v>18.483999999632339</v>
      </c>
      <c r="M370" s="300">
        <f t="shared" ref="M370:N370" si="988">SUM(M355,M360,M365)</f>
        <v>0.92700000000157878</v>
      </c>
      <c r="N370" s="300">
        <f t="shared" si="988"/>
        <v>2.6890000000134893</v>
      </c>
      <c r="O370" s="300">
        <f t="shared" ref="O370:O371" si="989">SUM(L370:N370)</f>
        <v>22.099999999647405</v>
      </c>
      <c r="P370" s="300"/>
      <c r="Q370" s="300">
        <f>SUM(Q355,Q360,Q365)</f>
        <v>18.190999999796887</v>
      </c>
      <c r="R370" s="300">
        <f t="shared" ref="R370:S370" si="990">SUM(R355,R360,R365)</f>
        <v>0.95100000000384555</v>
      </c>
      <c r="S370" s="300">
        <f t="shared" si="990"/>
        <v>2.7790000001054445</v>
      </c>
      <c r="T370" s="300">
        <f t="shared" ref="T370:T371" si="991">SUM(Q370:S370)</f>
        <v>21.920999999906176</v>
      </c>
      <c r="U370" s="300"/>
      <c r="V370" s="300">
        <f>SUM(V355,V360,V365)</f>
        <v>17.071999999721886</v>
      </c>
      <c r="W370" s="300">
        <f t="shared" ref="W370:X370" si="992">SUM(W355,W360,W365)</f>
        <v>0.95300000000891538</v>
      </c>
      <c r="X370" s="300">
        <f t="shared" si="992"/>
        <v>2.7140000000693476</v>
      </c>
      <c r="Y370" s="300">
        <f t="shared" ref="Y370:Y371" si="993">SUM(V370:X370)</f>
        <v>20.73899999980015</v>
      </c>
    </row>
    <row r="371" spans="1:25" x14ac:dyDescent="0.2">
      <c r="A371" s="264" t="s">
        <v>354</v>
      </c>
      <c r="B371" s="301">
        <f>SUM(B369:B370)</f>
        <v>27.619999999868377</v>
      </c>
      <c r="C371" s="301">
        <f t="shared" ref="C371" si="994">SUM(C369:C370)</f>
        <v>7.2810000000509127</v>
      </c>
      <c r="D371" s="301">
        <f t="shared" ref="D371" si="995">SUM(D369:D370)</f>
        <v>6.8710000001497615</v>
      </c>
      <c r="E371" s="301">
        <f t="shared" si="985"/>
        <v>41.772000000069056</v>
      </c>
      <c r="F371" s="301"/>
      <c r="G371" s="301">
        <f>SUM(G369:G370)</f>
        <v>30.40099999974926</v>
      </c>
      <c r="H371" s="301">
        <f t="shared" ref="H371" si="996">SUM(H369:H370)</f>
        <v>6.1720000000046058</v>
      </c>
      <c r="I371" s="301">
        <f t="shared" ref="I371" si="997">SUM(I369:I370)</f>
        <v>3.2310000000177483</v>
      </c>
      <c r="J371" s="301">
        <f t="shared" si="987"/>
        <v>39.803999999771619</v>
      </c>
      <c r="K371" s="301"/>
      <c r="L371" s="301">
        <f>SUM(L369:L370)</f>
        <v>33.497999999371132</v>
      </c>
      <c r="M371" s="301">
        <f t="shared" ref="M371" si="998">SUM(M369:M370)</f>
        <v>7.0700000000451615</v>
      </c>
      <c r="N371" s="301">
        <f t="shared" ref="N371" si="999">SUM(N369:N370)</f>
        <v>4.1999999999894158</v>
      </c>
      <c r="O371" s="301">
        <f t="shared" si="989"/>
        <v>44.76799999940571</v>
      </c>
      <c r="P371" s="301"/>
      <c r="Q371" s="301">
        <f>SUM(Q369:Q370)</f>
        <v>32.903000000275199</v>
      </c>
      <c r="R371" s="301">
        <f t="shared" ref="R371" si="1000">SUM(R369:R370)</f>
        <v>6.9070000000738805</v>
      </c>
      <c r="S371" s="301">
        <f t="shared" ref="S371" si="1001">SUM(S369:S370)</f>
        <v>4.3270000001090247</v>
      </c>
      <c r="T371" s="301">
        <f t="shared" si="991"/>
        <v>44.137000000458102</v>
      </c>
      <c r="U371" s="301"/>
      <c r="V371" s="301">
        <f>SUM(V369:V370)</f>
        <v>30.835999999844045</v>
      </c>
      <c r="W371" s="301">
        <f t="shared" ref="W371" si="1002">SUM(W369:W370)</f>
        <v>6.473000000017759</v>
      </c>
      <c r="X371" s="301">
        <f t="shared" ref="X371" si="1003">SUM(X369:X370)</f>
        <v>4.1880000000781488</v>
      </c>
      <c r="Y371" s="301">
        <f t="shared" si="993"/>
        <v>41.496999999939952</v>
      </c>
    </row>
    <row r="375" spans="1:25" ht="15" x14ac:dyDescent="0.25">
      <c r="A375" s="265" t="str">
        <f>"Industry 15 : "&amp; name!B18</f>
        <v>Industry 15 : Real estate</v>
      </c>
      <c r="B375" s="371">
        <f>$B$5</f>
        <v>2015</v>
      </c>
      <c r="C375" s="371"/>
      <c r="D375" s="371"/>
      <c r="E375" s="371"/>
      <c r="F375" s="320"/>
      <c r="G375" s="371">
        <f>$G$5</f>
        <v>2019</v>
      </c>
      <c r="H375" s="371"/>
      <c r="I375" s="371"/>
      <c r="J375" s="371"/>
      <c r="K375" s="320"/>
      <c r="L375" s="371">
        <f>$L$5</f>
        <v>2020</v>
      </c>
      <c r="M375" s="371"/>
      <c r="N375" s="371"/>
      <c r="O375" s="371"/>
      <c r="P375" s="318"/>
      <c r="Q375" s="371">
        <f>$Q$5</f>
        <v>2025</v>
      </c>
      <c r="R375" s="371"/>
      <c r="S375" s="371"/>
      <c r="T375" s="371"/>
      <c r="U375" s="320"/>
      <c r="V375" s="371">
        <f>$V$5</f>
        <v>2035</v>
      </c>
      <c r="W375" s="371"/>
      <c r="X375" s="371"/>
      <c r="Y375" s="371"/>
    </row>
    <row r="376" spans="1:25" x14ac:dyDescent="0.2">
      <c r="A376" s="264"/>
      <c r="B376" s="268" t="str">
        <f>$B$6</f>
        <v>FT</v>
      </c>
      <c r="C376" s="268" t="str">
        <f>$C$6</f>
        <v>PT</v>
      </c>
      <c r="D376" s="268" t="str">
        <f>$D$6</f>
        <v>SE</v>
      </c>
      <c r="E376" s="268" t="str">
        <f>$E$6</f>
        <v>Total</v>
      </c>
      <c r="F376" s="268"/>
      <c r="G376" s="268" t="str">
        <f>$B$6</f>
        <v>FT</v>
      </c>
      <c r="H376" s="268" t="str">
        <f>$C$6</f>
        <v>PT</v>
      </c>
      <c r="I376" s="268" t="str">
        <f>$D$6</f>
        <v>SE</v>
      </c>
      <c r="J376" s="268" t="str">
        <f>$E$6</f>
        <v>Total</v>
      </c>
      <c r="K376" s="268"/>
      <c r="L376" s="268" t="str">
        <f>$L$6</f>
        <v>FT</v>
      </c>
      <c r="M376" s="268" t="str">
        <f>$M$6</f>
        <v>PT</v>
      </c>
      <c r="N376" s="268" t="str">
        <f>$N$6</f>
        <v>SE</v>
      </c>
      <c r="O376" s="268" t="str">
        <f>$O$6</f>
        <v>Total</v>
      </c>
      <c r="P376" s="268"/>
      <c r="Q376" s="268" t="str">
        <f>$L$6</f>
        <v>FT</v>
      </c>
      <c r="R376" s="268" t="str">
        <f>$M$6</f>
        <v>PT</v>
      </c>
      <c r="S376" s="268" t="str">
        <f>$N$6</f>
        <v>SE</v>
      </c>
      <c r="T376" s="268" t="str">
        <f>$O$6</f>
        <v>Total</v>
      </c>
      <c r="U376" s="268"/>
      <c r="V376" s="268" t="str">
        <f>$V$6</f>
        <v>FT</v>
      </c>
      <c r="W376" s="268" t="str">
        <f>$W$6</f>
        <v>PT</v>
      </c>
      <c r="X376" s="268" t="str">
        <f>$X$6</f>
        <v>SE</v>
      </c>
      <c r="Y376" s="268" t="str">
        <f>$Y$6</f>
        <v>Total</v>
      </c>
    </row>
    <row r="377" spans="1:25" x14ac:dyDescent="0.2">
      <c r="C377" s="319"/>
      <c r="D377" s="319"/>
      <c r="E377" s="319"/>
      <c r="F377" s="319"/>
      <c r="G377" s="319"/>
      <c r="H377" s="319"/>
      <c r="I377" s="319"/>
      <c r="J377" s="319"/>
      <c r="K377" s="319"/>
      <c r="L377" s="319"/>
      <c r="M377" s="319"/>
      <c r="N377" s="319"/>
      <c r="O377" s="319"/>
      <c r="P377" s="319"/>
      <c r="Q377" s="319"/>
      <c r="R377" s="319"/>
      <c r="S377" s="319"/>
      <c r="T377" s="319"/>
      <c r="U377" s="319"/>
      <c r="V377" s="319"/>
      <c r="W377" s="319"/>
      <c r="X377" s="319"/>
      <c r="Y377" s="319"/>
    </row>
    <row r="378" spans="1:25" x14ac:dyDescent="0.2">
      <c r="A378" s="261" t="str">
        <f>name!A53</f>
        <v>Real estate</v>
      </c>
      <c r="C378" s="263"/>
    </row>
    <row r="379" spans="1:25" x14ac:dyDescent="0.2">
      <c r="A379" s="260" t="s">
        <v>356</v>
      </c>
      <c r="B379" s="300">
        <v>7.4469999999244836</v>
      </c>
      <c r="C379" s="300">
        <v>6.4380000000361139</v>
      </c>
      <c r="D379" s="300">
        <v>1.5160000000058242</v>
      </c>
      <c r="E379" s="300">
        <f>SUM(B379:D379)</f>
        <v>15.400999999966423</v>
      </c>
      <c r="F379" s="300"/>
      <c r="G379" s="300">
        <v>9.5399999999220739</v>
      </c>
      <c r="H379" s="300">
        <v>8.7709999999851824</v>
      </c>
      <c r="I379" s="300">
        <v>3.3720000000675121</v>
      </c>
      <c r="J379" s="300">
        <f>SUM(G379:I379)</f>
        <v>21.682999999974768</v>
      </c>
      <c r="K379" s="300"/>
      <c r="L379" s="300">
        <v>11.928999999899716</v>
      </c>
      <c r="M379" s="300">
        <v>5.4680000000418625</v>
      </c>
      <c r="N379" s="300">
        <v>0.70399999998376639</v>
      </c>
      <c r="O379" s="300">
        <f>SUM(L379:N379)</f>
        <v>18.100999999925342</v>
      </c>
      <c r="P379" s="300"/>
      <c r="Q379" s="300">
        <v>11.600000000249814</v>
      </c>
      <c r="R379" s="300">
        <v>4.9110000000092295</v>
      </c>
      <c r="S379" s="300">
        <v>0.67000000000120097</v>
      </c>
      <c r="T379" s="300">
        <f>SUM(Q379:S379)</f>
        <v>17.181000000260248</v>
      </c>
      <c r="U379" s="300"/>
      <c r="V379" s="300">
        <v>13.244000000004501</v>
      </c>
      <c r="W379" s="300">
        <v>4.793999999953706</v>
      </c>
      <c r="X379" s="300">
        <v>0.72000000000058495</v>
      </c>
      <c r="Y379" s="300">
        <f>SUM(V379:X379)</f>
        <v>18.757999999958791</v>
      </c>
    </row>
    <row r="380" spans="1:25" x14ac:dyDescent="0.2">
      <c r="A380" s="260" t="s">
        <v>355</v>
      </c>
      <c r="B380" s="300">
        <v>9.1370000000232121</v>
      </c>
      <c r="C380" s="300">
        <v>0.6470000000033862</v>
      </c>
      <c r="D380" s="300">
        <v>1.9810000000162513</v>
      </c>
      <c r="E380" s="300">
        <f t="shared" ref="E380:E381" si="1004">SUM(B380:D380)</f>
        <v>11.76500000004285</v>
      </c>
      <c r="F380" s="300"/>
      <c r="G380" s="300">
        <v>7.8779999999457182</v>
      </c>
      <c r="H380" s="300">
        <v>3.1409999999817133</v>
      </c>
      <c r="I380" s="300">
        <v>4.294000000026915</v>
      </c>
      <c r="J380" s="300">
        <f t="shared" ref="J380:J381" si="1005">SUM(G380:I380)</f>
        <v>15.312999999954346</v>
      </c>
      <c r="K380" s="300"/>
      <c r="L380" s="300">
        <v>13.254999999837809</v>
      </c>
      <c r="M380" s="300">
        <v>1.6439999999802992</v>
      </c>
      <c r="N380" s="300">
        <v>5.779000000018728</v>
      </c>
      <c r="O380" s="300">
        <f t="shared" ref="O380:O381" si="1006">SUM(L380:N380)</f>
        <v>20.677999999836835</v>
      </c>
      <c r="P380" s="300"/>
      <c r="Q380" s="300">
        <v>12.437999999940264</v>
      </c>
      <c r="R380" s="300">
        <v>1.5469999999904609</v>
      </c>
      <c r="S380" s="300">
        <v>5.708000000090073</v>
      </c>
      <c r="T380" s="300">
        <f t="shared" ref="T380:T381" si="1007">SUM(Q380:S380)</f>
        <v>19.693000000020799</v>
      </c>
      <c r="U380" s="300"/>
      <c r="V380" s="300">
        <v>13.256999999916433</v>
      </c>
      <c r="W380" s="300">
        <v>1.6789999999829839</v>
      </c>
      <c r="X380" s="300">
        <v>6.6100000000820636</v>
      </c>
      <c r="Y380" s="300">
        <f t="shared" ref="Y380:Y381" si="1008">SUM(V380:X380)</f>
        <v>21.545999999981483</v>
      </c>
    </row>
    <row r="381" spans="1:25" x14ac:dyDescent="0.2">
      <c r="A381" s="264" t="s">
        <v>354</v>
      </c>
      <c r="B381" s="301">
        <f>SUM(B379:B380)</f>
        <v>16.583999999947697</v>
      </c>
      <c r="C381" s="301">
        <f t="shared" ref="C381" si="1009">SUM(C379:C380)</f>
        <v>7.0850000000394999</v>
      </c>
      <c r="D381" s="301">
        <f t="shared" ref="D381" si="1010">SUM(D379:D380)</f>
        <v>3.4970000000220756</v>
      </c>
      <c r="E381" s="301">
        <f t="shared" si="1004"/>
        <v>27.166000000009273</v>
      </c>
      <c r="F381" s="301"/>
      <c r="G381" s="301">
        <f>SUM(G379:G380)</f>
        <v>17.417999999867792</v>
      </c>
      <c r="H381" s="301">
        <f t="shared" ref="H381" si="1011">SUM(H379:H380)</f>
        <v>11.911999999966895</v>
      </c>
      <c r="I381" s="301">
        <f t="shared" ref="I381" si="1012">SUM(I379:I380)</f>
        <v>7.6660000000944271</v>
      </c>
      <c r="J381" s="301">
        <f t="shared" si="1005"/>
        <v>36.995999999929111</v>
      </c>
      <c r="K381" s="301"/>
      <c r="L381" s="301">
        <f>SUM(L379:L380)</f>
        <v>25.183999999737523</v>
      </c>
      <c r="M381" s="301">
        <f t="shared" ref="M381" si="1013">SUM(M379:M380)</f>
        <v>7.1120000000221619</v>
      </c>
      <c r="N381" s="301">
        <f t="shared" ref="N381" si="1014">SUM(N379:N380)</f>
        <v>6.4830000000024945</v>
      </c>
      <c r="O381" s="301">
        <f t="shared" si="1006"/>
        <v>38.778999999762178</v>
      </c>
      <c r="P381" s="301"/>
      <c r="Q381" s="301">
        <f>SUM(Q379:Q380)</f>
        <v>24.038000000190078</v>
      </c>
      <c r="R381" s="301">
        <f t="shared" ref="R381" si="1015">SUM(R379:R380)</f>
        <v>6.4579999999996902</v>
      </c>
      <c r="S381" s="301">
        <f t="shared" ref="S381" si="1016">SUM(S379:S380)</f>
        <v>6.3780000000912738</v>
      </c>
      <c r="T381" s="301">
        <f t="shared" si="1007"/>
        <v>36.874000000281043</v>
      </c>
      <c r="U381" s="301"/>
      <c r="V381" s="301">
        <f>SUM(V379:V380)</f>
        <v>26.500999999920936</v>
      </c>
      <c r="W381" s="301">
        <f t="shared" ref="W381" si="1017">SUM(W379:W380)</f>
        <v>6.4729999999366896</v>
      </c>
      <c r="X381" s="301">
        <f t="shared" ref="X381" si="1018">SUM(X379:X380)</f>
        <v>7.3300000000826486</v>
      </c>
      <c r="Y381" s="301">
        <f t="shared" si="1008"/>
        <v>40.303999999940274</v>
      </c>
    </row>
    <row r="382" spans="1:25" x14ac:dyDescent="0.2">
      <c r="C382" s="263"/>
    </row>
    <row r="383" spans="1:25" x14ac:dyDescent="0.2">
      <c r="A383" s="261"/>
    </row>
    <row r="384" spans="1:25" x14ac:dyDescent="0.2">
      <c r="C384" s="263"/>
    </row>
    <row r="385" spans="1:25" ht="15" x14ac:dyDescent="0.25">
      <c r="A385" s="265" t="str">
        <f>"Industry 16 : "&amp; name!B19</f>
        <v>Industry 16 : Professional services</v>
      </c>
      <c r="B385" s="371">
        <f>$B$5</f>
        <v>2015</v>
      </c>
      <c r="C385" s="371"/>
      <c r="D385" s="371"/>
      <c r="E385" s="371"/>
      <c r="F385" s="320"/>
      <c r="G385" s="371">
        <f>$G$5</f>
        <v>2019</v>
      </c>
      <c r="H385" s="371"/>
      <c r="I385" s="371"/>
      <c r="J385" s="371"/>
      <c r="K385" s="320"/>
      <c r="L385" s="371">
        <f>$L$5</f>
        <v>2020</v>
      </c>
      <c r="M385" s="371"/>
      <c r="N385" s="371"/>
      <c r="O385" s="371"/>
      <c r="P385" s="318"/>
      <c r="Q385" s="371">
        <f>$Q$5</f>
        <v>2025</v>
      </c>
      <c r="R385" s="371"/>
      <c r="S385" s="371"/>
      <c r="T385" s="371"/>
      <c r="U385" s="320"/>
      <c r="V385" s="371">
        <f>$V$5</f>
        <v>2035</v>
      </c>
      <c r="W385" s="371"/>
      <c r="X385" s="371"/>
      <c r="Y385" s="371"/>
    </row>
    <row r="386" spans="1:25" x14ac:dyDescent="0.2">
      <c r="A386" s="264"/>
      <c r="B386" s="268" t="str">
        <f>$B$6</f>
        <v>FT</v>
      </c>
      <c r="C386" s="268" t="str">
        <f>$C$6</f>
        <v>PT</v>
      </c>
      <c r="D386" s="268" t="str">
        <f>$D$6</f>
        <v>SE</v>
      </c>
      <c r="E386" s="268" t="str">
        <f>$E$6</f>
        <v>Total</v>
      </c>
      <c r="F386" s="268"/>
      <c r="G386" s="268" t="str">
        <f>$B$6</f>
        <v>FT</v>
      </c>
      <c r="H386" s="268" t="str">
        <f>$C$6</f>
        <v>PT</v>
      </c>
      <c r="I386" s="268" t="str">
        <f>$D$6</f>
        <v>SE</v>
      </c>
      <c r="J386" s="268" t="str">
        <f>$E$6</f>
        <v>Total</v>
      </c>
      <c r="K386" s="268"/>
      <c r="L386" s="268" t="str">
        <f>$L$6</f>
        <v>FT</v>
      </c>
      <c r="M386" s="268" t="str">
        <f>$M$6</f>
        <v>PT</v>
      </c>
      <c r="N386" s="268" t="str">
        <f>$N$6</f>
        <v>SE</v>
      </c>
      <c r="O386" s="268" t="str">
        <f>$O$6</f>
        <v>Total</v>
      </c>
      <c r="P386" s="268"/>
      <c r="Q386" s="268" t="str">
        <f>$L$6</f>
        <v>FT</v>
      </c>
      <c r="R386" s="268" t="str">
        <f>$M$6</f>
        <v>PT</v>
      </c>
      <c r="S386" s="268" t="str">
        <f>$N$6</f>
        <v>SE</v>
      </c>
      <c r="T386" s="268" t="str">
        <f>$O$6</f>
        <v>Total</v>
      </c>
      <c r="U386" s="268"/>
      <c r="V386" s="268" t="str">
        <f>$V$6</f>
        <v>FT</v>
      </c>
      <c r="W386" s="268" t="str">
        <f>$W$6</f>
        <v>PT</v>
      </c>
      <c r="X386" s="268" t="str">
        <f>$X$6</f>
        <v>SE</v>
      </c>
      <c r="Y386" s="268" t="str">
        <f>$Y$6</f>
        <v>Total</v>
      </c>
    </row>
    <row r="387" spans="1:25" x14ac:dyDescent="0.2">
      <c r="C387" s="319"/>
      <c r="D387" s="319"/>
      <c r="E387" s="319"/>
      <c r="F387" s="319"/>
      <c r="G387" s="319"/>
      <c r="H387" s="319"/>
      <c r="I387" s="319"/>
      <c r="J387" s="319"/>
      <c r="K387" s="319"/>
      <c r="L387" s="319"/>
      <c r="M387" s="319"/>
      <c r="N387" s="319"/>
      <c r="O387" s="319"/>
      <c r="P387" s="319"/>
      <c r="Q387" s="319"/>
      <c r="R387" s="319"/>
      <c r="S387" s="319"/>
      <c r="T387" s="319"/>
      <c r="U387" s="319"/>
      <c r="V387" s="319"/>
      <c r="W387" s="319"/>
      <c r="X387" s="319"/>
      <c r="Y387" s="319"/>
    </row>
    <row r="388" spans="1:25" x14ac:dyDescent="0.2">
      <c r="A388" s="261" t="str">
        <f>name!A54</f>
        <v>Legal and accounting</v>
      </c>
      <c r="C388" s="263"/>
    </row>
    <row r="389" spans="1:25" x14ac:dyDescent="0.2">
      <c r="A389" s="260" t="s">
        <v>356</v>
      </c>
      <c r="B389" s="300">
        <v>10.225999999668641</v>
      </c>
      <c r="C389" s="300">
        <v>4.1459999999531014</v>
      </c>
      <c r="D389" s="300">
        <v>2.5369999999522981</v>
      </c>
      <c r="E389" s="300">
        <f>SUM(B389:D389)</f>
        <v>16.908999999574039</v>
      </c>
      <c r="F389" s="300"/>
      <c r="G389" s="300">
        <v>14.157000000025169</v>
      </c>
      <c r="H389" s="300">
        <v>6.1630000000374467</v>
      </c>
      <c r="I389" s="300">
        <v>2.929000000080813</v>
      </c>
      <c r="J389" s="300">
        <f>SUM(G389:I389)</f>
        <v>23.249000000143429</v>
      </c>
      <c r="K389" s="300"/>
      <c r="L389" s="300">
        <v>15.427999999588577</v>
      </c>
      <c r="M389" s="300">
        <v>8.5729999999196913</v>
      </c>
      <c r="N389" s="300">
        <v>4.4049999998455238</v>
      </c>
      <c r="O389" s="300">
        <f>SUM(L389:N389)</f>
        <v>28.405999999353789</v>
      </c>
      <c r="P389" s="300"/>
      <c r="Q389" s="300">
        <v>16.006000000584443</v>
      </c>
      <c r="R389" s="300">
        <v>9.0540000000912304</v>
      </c>
      <c r="S389" s="300">
        <v>4.5990000000529623</v>
      </c>
      <c r="T389" s="300">
        <f>SUM(Q389:S389)</f>
        <v>29.659000000728632</v>
      </c>
      <c r="U389" s="300"/>
      <c r="V389" s="300">
        <v>16.453000000222385</v>
      </c>
      <c r="W389" s="300">
        <v>9.6350000000892457</v>
      </c>
      <c r="X389" s="300">
        <v>4.782000000070739</v>
      </c>
      <c r="Y389" s="300">
        <f>SUM(V389:X389)</f>
        <v>30.870000000382369</v>
      </c>
    </row>
    <row r="390" spans="1:25" x14ac:dyDescent="0.2">
      <c r="A390" s="260" t="s">
        <v>355</v>
      </c>
      <c r="B390" s="300">
        <v>8.8990000001093303</v>
      </c>
      <c r="C390" s="300">
        <v>1.0180000000028417</v>
      </c>
      <c r="D390" s="300">
        <v>3.7850000001670563</v>
      </c>
      <c r="E390" s="300">
        <f t="shared" ref="E390:E391" si="1019">SUM(B390:D390)</f>
        <v>13.702000000279227</v>
      </c>
      <c r="F390" s="300"/>
      <c r="G390" s="300">
        <v>11.662999999824072</v>
      </c>
      <c r="H390" s="300">
        <v>1.0479999999894809</v>
      </c>
      <c r="I390" s="300">
        <v>2.7339999999834546</v>
      </c>
      <c r="J390" s="300">
        <f t="shared" ref="J390:J391" si="1020">SUM(G390:I390)</f>
        <v>15.444999999797007</v>
      </c>
      <c r="K390" s="300"/>
      <c r="L390" s="300">
        <v>9.5479999997343938</v>
      </c>
      <c r="M390" s="300">
        <v>1.4749999999884276</v>
      </c>
      <c r="N390" s="300">
        <v>2.5529999999953064</v>
      </c>
      <c r="O390" s="300">
        <f t="shared" ref="O390:O391" si="1021">SUM(L390:N390)</f>
        <v>13.575999999718126</v>
      </c>
      <c r="P390" s="300"/>
      <c r="Q390" s="300">
        <v>10.11399999984031</v>
      </c>
      <c r="R390" s="300">
        <v>1.5909999999916424</v>
      </c>
      <c r="S390" s="300">
        <v>2.6580000001098134</v>
      </c>
      <c r="T390" s="300">
        <f t="shared" ref="T390:T391" si="1022">SUM(Q390:S390)</f>
        <v>14.362999999941765</v>
      </c>
      <c r="U390" s="300"/>
      <c r="V390" s="300">
        <v>10.858999999770592</v>
      </c>
      <c r="W390" s="300">
        <v>1.766999999990486</v>
      </c>
      <c r="X390" s="300">
        <v>2.7470000000607051</v>
      </c>
      <c r="Y390" s="300">
        <f t="shared" ref="Y390:Y391" si="1023">SUM(V390:X390)</f>
        <v>15.372999999821783</v>
      </c>
    </row>
    <row r="391" spans="1:25" x14ac:dyDescent="0.2">
      <c r="A391" s="260" t="s">
        <v>354</v>
      </c>
      <c r="B391" s="300">
        <f>SUM(B389:B390)</f>
        <v>19.12499999977797</v>
      </c>
      <c r="C391" s="300">
        <f t="shared" ref="C391" si="1024">SUM(C389:C390)</f>
        <v>5.1639999999559434</v>
      </c>
      <c r="D391" s="300">
        <f t="shared" ref="D391" si="1025">SUM(D389:D390)</f>
        <v>6.3220000001193544</v>
      </c>
      <c r="E391" s="300">
        <f t="shared" si="1019"/>
        <v>30.61099999985327</v>
      </c>
      <c r="F391" s="300"/>
      <c r="G391" s="300">
        <f>SUM(G389:G390)</f>
        <v>25.819999999849241</v>
      </c>
      <c r="H391" s="300">
        <f t="shared" ref="H391" si="1026">SUM(H389:H390)</f>
        <v>7.2110000000269281</v>
      </c>
      <c r="I391" s="300">
        <f t="shared" ref="I391" si="1027">SUM(I389:I390)</f>
        <v>5.6630000000642671</v>
      </c>
      <c r="J391" s="300">
        <f t="shared" si="1020"/>
        <v>38.693999999940438</v>
      </c>
      <c r="K391" s="300"/>
      <c r="L391" s="300">
        <f>SUM(L389:L390)</f>
        <v>24.975999999322973</v>
      </c>
      <c r="M391" s="300">
        <f t="shared" ref="M391" si="1028">SUM(M389:M390)</f>
        <v>10.047999999908118</v>
      </c>
      <c r="N391" s="300">
        <f t="shared" ref="N391" si="1029">SUM(N389:N390)</f>
        <v>6.9579999998408297</v>
      </c>
      <c r="O391" s="300">
        <f t="shared" si="1021"/>
        <v>41.981999999071924</v>
      </c>
      <c r="P391" s="300"/>
      <c r="Q391" s="300">
        <f>SUM(Q389:Q390)</f>
        <v>26.120000000424753</v>
      </c>
      <c r="R391" s="300">
        <f t="shared" ref="R391" si="1030">SUM(R389:R390)</f>
        <v>10.645000000082874</v>
      </c>
      <c r="S391" s="300">
        <f t="shared" ref="S391" si="1031">SUM(S389:S390)</f>
        <v>7.2570000001627761</v>
      </c>
      <c r="T391" s="300">
        <f t="shared" si="1022"/>
        <v>44.022000000670403</v>
      </c>
      <c r="U391" s="300"/>
      <c r="V391" s="300">
        <f>SUM(V389:V390)</f>
        <v>27.311999999992977</v>
      </c>
      <c r="W391" s="300">
        <f t="shared" ref="W391" si="1032">SUM(W389:W390)</f>
        <v>11.402000000079731</v>
      </c>
      <c r="X391" s="300">
        <f t="shared" ref="X391" si="1033">SUM(X389:X390)</f>
        <v>7.5290000001314441</v>
      </c>
      <c r="Y391" s="300">
        <f t="shared" si="1023"/>
        <v>46.243000000204155</v>
      </c>
    </row>
    <row r="392" spans="1:25" x14ac:dyDescent="0.2">
      <c r="C392" s="319"/>
      <c r="D392" s="319"/>
      <c r="E392" s="319"/>
      <c r="F392" s="319"/>
      <c r="G392" s="319"/>
      <c r="H392" s="319"/>
      <c r="I392" s="319"/>
      <c r="J392" s="319"/>
      <c r="K392" s="319"/>
      <c r="L392" s="319"/>
      <c r="M392" s="319"/>
      <c r="N392" s="319"/>
      <c r="O392" s="319"/>
      <c r="P392" s="319"/>
      <c r="Q392" s="319"/>
      <c r="R392" s="319"/>
      <c r="S392" s="319"/>
      <c r="T392" s="319"/>
      <c r="U392" s="319"/>
      <c r="V392" s="319"/>
      <c r="W392" s="319"/>
      <c r="X392" s="319"/>
      <c r="Y392" s="319"/>
    </row>
    <row r="393" spans="1:25" x14ac:dyDescent="0.2">
      <c r="A393" s="261" t="str">
        <f>name!A55</f>
        <v>Head offices, etc</v>
      </c>
      <c r="C393" s="263"/>
    </row>
    <row r="394" spans="1:25" x14ac:dyDescent="0.2">
      <c r="A394" s="260" t="s">
        <v>356</v>
      </c>
      <c r="B394" s="300">
        <v>11.079999999640957</v>
      </c>
      <c r="C394" s="300">
        <v>10.030999999886532</v>
      </c>
      <c r="D394" s="300">
        <v>2.9889999999437964</v>
      </c>
      <c r="E394" s="300">
        <f>SUM(B394:D394)</f>
        <v>24.099999999471287</v>
      </c>
      <c r="F394" s="300"/>
      <c r="G394" s="300">
        <v>16.054000000028548</v>
      </c>
      <c r="H394" s="300">
        <v>13.730000000083413</v>
      </c>
      <c r="I394" s="300">
        <v>2.6840000000740547</v>
      </c>
      <c r="J394" s="300">
        <f>SUM(G394:I394)</f>
        <v>32.468000000186017</v>
      </c>
      <c r="K394" s="300"/>
      <c r="L394" s="300">
        <v>16.813999999551587</v>
      </c>
      <c r="M394" s="300">
        <v>15.851999999851525</v>
      </c>
      <c r="N394" s="300">
        <v>4.4179999998450628</v>
      </c>
      <c r="O394" s="300">
        <f>SUM(L394:N394)</f>
        <v>37.083999999248178</v>
      </c>
      <c r="P394" s="300"/>
      <c r="Q394" s="300">
        <v>17.126000000625343</v>
      </c>
      <c r="R394" s="300">
        <v>16.29500000016419</v>
      </c>
      <c r="S394" s="300">
        <v>4.3060000000495791</v>
      </c>
      <c r="T394" s="300">
        <f>SUM(Q394:S394)</f>
        <v>37.727000000839112</v>
      </c>
      <c r="U394" s="300"/>
      <c r="V394" s="300">
        <v>17.699000000239245</v>
      </c>
      <c r="W394" s="300">
        <v>17.109000000158481</v>
      </c>
      <c r="X394" s="300">
        <v>4.0460000000598546</v>
      </c>
      <c r="Y394" s="300">
        <f>SUM(V394:X394)</f>
        <v>38.854000000457582</v>
      </c>
    </row>
    <row r="395" spans="1:25" x14ac:dyDescent="0.2">
      <c r="A395" s="260" t="s">
        <v>355</v>
      </c>
      <c r="B395" s="300">
        <v>18.840000000231434</v>
      </c>
      <c r="C395" s="300">
        <v>2.7650000000077175</v>
      </c>
      <c r="D395" s="300">
        <v>3.2490000001434032</v>
      </c>
      <c r="E395" s="300">
        <f t="shared" ref="E395:E396" si="1034">SUM(B395:D395)</f>
        <v>24.854000000382555</v>
      </c>
      <c r="F395" s="300"/>
      <c r="G395" s="300">
        <v>22.240999999664513</v>
      </c>
      <c r="H395" s="300">
        <v>3.0479999999694072</v>
      </c>
      <c r="I395" s="300">
        <v>1.994999999987926</v>
      </c>
      <c r="J395" s="300">
        <f t="shared" ref="J395:J396" si="1035">SUM(G395:I395)</f>
        <v>27.283999999621845</v>
      </c>
      <c r="K395" s="300"/>
      <c r="L395" s="300">
        <v>22.251999999380985</v>
      </c>
      <c r="M395" s="300">
        <v>3.9619999999689095</v>
      </c>
      <c r="N395" s="300">
        <v>2.379999999995623</v>
      </c>
      <c r="O395" s="300">
        <f t="shared" ref="O395:O396" si="1036">SUM(L395:N395)</f>
        <v>28.593999999345517</v>
      </c>
      <c r="P395" s="300"/>
      <c r="Q395" s="300">
        <v>22.030999999652177</v>
      </c>
      <c r="R395" s="300">
        <v>4.0559999999786926</v>
      </c>
      <c r="S395" s="300">
        <v>2.4020000000992376</v>
      </c>
      <c r="T395" s="300">
        <f t="shared" ref="T395:T396" si="1037">SUM(Q395:S395)</f>
        <v>28.488999999730108</v>
      </c>
      <c r="U395" s="300"/>
      <c r="V395" s="300">
        <v>21.511999999545534</v>
      </c>
      <c r="W395" s="300">
        <v>4.2309999999772208</v>
      </c>
      <c r="X395" s="300">
        <v>2.4390000000538947</v>
      </c>
      <c r="Y395" s="300">
        <f t="shared" ref="Y395:Y396" si="1038">SUM(V395:X395)</f>
        <v>28.18199999957665</v>
      </c>
    </row>
    <row r="396" spans="1:25" x14ac:dyDescent="0.2">
      <c r="A396" s="260" t="s">
        <v>354</v>
      </c>
      <c r="B396" s="300">
        <f>SUM(B394:B395)</f>
        <v>29.919999999872392</v>
      </c>
      <c r="C396" s="300">
        <f t="shared" ref="C396" si="1039">SUM(C394:C395)</f>
        <v>12.795999999894249</v>
      </c>
      <c r="D396" s="300">
        <f t="shared" ref="D396" si="1040">SUM(D394:D395)</f>
        <v>6.2380000000871991</v>
      </c>
      <c r="E396" s="300">
        <f t="shared" si="1034"/>
        <v>48.953999999853835</v>
      </c>
      <c r="F396" s="300"/>
      <c r="G396" s="300">
        <f>SUM(G394:G395)</f>
        <v>38.294999999693061</v>
      </c>
      <c r="H396" s="300">
        <f t="shared" ref="H396" si="1041">SUM(H394:H395)</f>
        <v>16.77800000005282</v>
      </c>
      <c r="I396" s="300">
        <f t="shared" ref="I396" si="1042">SUM(I394:I395)</f>
        <v>4.6790000000619809</v>
      </c>
      <c r="J396" s="300">
        <f t="shared" si="1035"/>
        <v>59.751999999807865</v>
      </c>
      <c r="K396" s="300"/>
      <c r="L396" s="300">
        <f>SUM(L394:L395)</f>
        <v>39.065999998932568</v>
      </c>
      <c r="M396" s="300">
        <f t="shared" ref="M396" si="1043">SUM(M394:M395)</f>
        <v>19.813999999820435</v>
      </c>
      <c r="N396" s="300">
        <f t="shared" ref="N396" si="1044">SUM(N394:N395)</f>
        <v>6.7979999998406857</v>
      </c>
      <c r="O396" s="300">
        <f t="shared" si="1036"/>
        <v>65.677999998593691</v>
      </c>
      <c r="P396" s="300"/>
      <c r="Q396" s="300">
        <f>SUM(Q394:Q395)</f>
        <v>39.15700000027752</v>
      </c>
      <c r="R396" s="300">
        <f t="shared" ref="R396" si="1045">SUM(R394:R395)</f>
        <v>20.351000000142882</v>
      </c>
      <c r="S396" s="300">
        <f t="shared" ref="S396" si="1046">SUM(S394:S395)</f>
        <v>6.7080000001488163</v>
      </c>
      <c r="T396" s="300">
        <f t="shared" si="1037"/>
        <v>66.216000000569224</v>
      </c>
      <c r="U396" s="300"/>
      <c r="V396" s="300">
        <f>SUM(V394:V395)</f>
        <v>39.210999999784775</v>
      </c>
      <c r="W396" s="300">
        <f t="shared" ref="W396" si="1047">SUM(W394:W395)</f>
        <v>21.340000000135703</v>
      </c>
      <c r="X396" s="300">
        <f t="shared" ref="X396" si="1048">SUM(X394:X395)</f>
        <v>6.4850000001137493</v>
      </c>
      <c r="Y396" s="300">
        <f t="shared" si="1038"/>
        <v>67.036000000034221</v>
      </c>
    </row>
    <row r="397" spans="1:25" x14ac:dyDescent="0.2">
      <c r="C397" s="319"/>
      <c r="D397" s="319"/>
      <c r="E397" s="319"/>
      <c r="F397" s="319"/>
      <c r="G397" s="319"/>
      <c r="H397" s="319"/>
      <c r="I397" s="319"/>
      <c r="J397" s="319"/>
      <c r="K397" s="319"/>
      <c r="L397" s="319"/>
      <c r="M397" s="319"/>
      <c r="N397" s="319"/>
      <c r="O397" s="319"/>
      <c r="P397" s="319"/>
      <c r="Q397" s="319"/>
      <c r="R397" s="319"/>
      <c r="S397" s="319"/>
      <c r="T397" s="319"/>
      <c r="U397" s="319"/>
      <c r="V397" s="319"/>
      <c r="W397" s="319"/>
      <c r="X397" s="319"/>
      <c r="Y397" s="319"/>
    </row>
    <row r="398" spans="1:25" x14ac:dyDescent="0.2">
      <c r="A398" s="261" t="str">
        <f>name!A56</f>
        <v>Architectural and related</v>
      </c>
      <c r="C398" s="263"/>
    </row>
    <row r="399" spans="1:25" x14ac:dyDescent="0.2">
      <c r="A399" s="260" t="s">
        <v>356</v>
      </c>
      <c r="B399" s="300">
        <v>6.0349999998044357</v>
      </c>
      <c r="C399" s="300">
        <v>3.1369999999645124</v>
      </c>
      <c r="D399" s="300">
        <v>1.0149999999809158</v>
      </c>
      <c r="E399" s="300">
        <f>SUM(B399:D399)</f>
        <v>10.186999999749863</v>
      </c>
      <c r="F399" s="300"/>
      <c r="G399" s="300">
        <v>8.4070000000149445</v>
      </c>
      <c r="H399" s="300">
        <v>2.3850000000144909</v>
      </c>
      <c r="I399" s="300">
        <v>0.64500000001779678</v>
      </c>
      <c r="J399" s="300">
        <f>SUM(G399:I399)</f>
        <v>11.437000000047233</v>
      </c>
      <c r="K399" s="300"/>
      <c r="L399" s="300">
        <v>9.5049999997465289</v>
      </c>
      <c r="M399" s="300">
        <v>2.5209999999763824</v>
      </c>
      <c r="N399" s="300">
        <v>1.595999999944032</v>
      </c>
      <c r="O399" s="300">
        <f>SUM(L399:N399)</f>
        <v>13.621999999666944</v>
      </c>
      <c r="P399" s="300"/>
      <c r="Q399" s="300">
        <v>9.7240000003550637</v>
      </c>
      <c r="R399" s="300">
        <v>2.5230000000254211</v>
      </c>
      <c r="S399" s="300">
        <v>1.5490000000178386</v>
      </c>
      <c r="T399" s="300">
        <f>SUM(Q399:S399)</f>
        <v>13.796000000398323</v>
      </c>
      <c r="U399" s="300"/>
      <c r="V399" s="300">
        <v>10.794000000145902</v>
      </c>
      <c r="W399" s="300">
        <v>2.6960000000249762</v>
      </c>
      <c r="X399" s="300">
        <v>1.550000000022929</v>
      </c>
      <c r="Y399" s="300">
        <f>SUM(V399:X399)</f>
        <v>15.040000000193807</v>
      </c>
    </row>
    <row r="400" spans="1:25" x14ac:dyDescent="0.2">
      <c r="A400" s="260" t="s">
        <v>355</v>
      </c>
      <c r="B400" s="300">
        <v>18.202000000223613</v>
      </c>
      <c r="C400" s="300">
        <v>1.5810000000044127</v>
      </c>
      <c r="D400" s="300">
        <v>4.4230000001952234</v>
      </c>
      <c r="E400" s="300">
        <f t="shared" ref="E400:E401" si="1049">SUM(B400:D400)</f>
        <v>24.206000000423249</v>
      </c>
      <c r="F400" s="300"/>
      <c r="G400" s="300">
        <v>24.769999999626382</v>
      </c>
      <c r="H400" s="300">
        <v>1.6239999999837</v>
      </c>
      <c r="I400" s="300">
        <v>3.180999999980751</v>
      </c>
      <c r="J400" s="300">
        <f t="shared" ref="J400:J401" si="1050">SUM(G400:I400)</f>
        <v>29.574999999590833</v>
      </c>
      <c r="K400" s="300"/>
      <c r="L400" s="300">
        <v>24.992999999304793</v>
      </c>
      <c r="M400" s="300">
        <v>1.5709999999876734</v>
      </c>
      <c r="N400" s="300">
        <v>3.6959999999932038</v>
      </c>
      <c r="O400" s="300">
        <f t="shared" ref="O400:O401" si="1051">SUM(L400:N400)</f>
        <v>30.259999999285672</v>
      </c>
      <c r="P400" s="300"/>
      <c r="Q400" s="300">
        <v>24.415999999614577</v>
      </c>
      <c r="R400" s="300">
        <v>1.5959999999916157</v>
      </c>
      <c r="S400" s="300">
        <v>3.6190000001495157</v>
      </c>
      <c r="T400" s="300">
        <f t="shared" ref="T400:T401" si="1052">SUM(Q400:S400)</f>
        <v>29.630999999755709</v>
      </c>
      <c r="U400" s="300"/>
      <c r="V400" s="300">
        <v>24.858999999474836</v>
      </c>
      <c r="W400" s="300">
        <v>1.7549999999905508</v>
      </c>
      <c r="X400" s="300">
        <v>3.7030000000818277</v>
      </c>
      <c r="Y400" s="300">
        <f t="shared" ref="Y400:Y401" si="1053">SUM(V400:X400)</f>
        <v>30.316999999547217</v>
      </c>
    </row>
    <row r="401" spans="1:25" x14ac:dyDescent="0.2">
      <c r="A401" s="260" t="s">
        <v>354</v>
      </c>
      <c r="B401" s="300">
        <f>SUM(B399:B400)</f>
        <v>24.237000000028047</v>
      </c>
      <c r="C401" s="300">
        <f t="shared" ref="C401" si="1054">SUM(C399:C400)</f>
        <v>4.7179999999689253</v>
      </c>
      <c r="D401" s="300">
        <f t="shared" ref="D401" si="1055">SUM(D399:D400)</f>
        <v>5.4380000001761388</v>
      </c>
      <c r="E401" s="300">
        <f t="shared" si="1049"/>
        <v>34.39300000017311</v>
      </c>
      <c r="F401" s="300"/>
      <c r="G401" s="300">
        <f>SUM(G399:G400)</f>
        <v>33.176999999641325</v>
      </c>
      <c r="H401" s="300">
        <f t="shared" ref="H401" si="1056">SUM(H399:H400)</f>
        <v>4.0089999999981911</v>
      </c>
      <c r="I401" s="300">
        <f t="shared" ref="I401" si="1057">SUM(I399:I400)</f>
        <v>3.8259999999985479</v>
      </c>
      <c r="J401" s="300">
        <f t="shared" si="1050"/>
        <v>41.011999999638064</v>
      </c>
      <c r="K401" s="300"/>
      <c r="L401" s="300">
        <f>SUM(L399:L400)</f>
        <v>34.497999999051324</v>
      </c>
      <c r="M401" s="300">
        <f t="shared" ref="M401" si="1058">SUM(M399:M400)</f>
        <v>4.0919999999640559</v>
      </c>
      <c r="N401" s="300">
        <f t="shared" ref="N401" si="1059">SUM(N399:N400)</f>
        <v>5.2919999999372358</v>
      </c>
      <c r="O401" s="300">
        <f t="shared" si="1051"/>
        <v>43.881999998952608</v>
      </c>
      <c r="P401" s="300"/>
      <c r="Q401" s="300">
        <f>SUM(Q399:Q400)</f>
        <v>34.139999999969639</v>
      </c>
      <c r="R401" s="300">
        <f t="shared" ref="R401" si="1060">SUM(R399:R400)</f>
        <v>4.1190000000170368</v>
      </c>
      <c r="S401" s="300">
        <f t="shared" ref="S401" si="1061">SUM(S399:S400)</f>
        <v>5.1680000001673543</v>
      </c>
      <c r="T401" s="300">
        <f t="shared" si="1052"/>
        <v>43.427000000154031</v>
      </c>
      <c r="U401" s="300"/>
      <c r="V401" s="300">
        <f>SUM(V399:V400)</f>
        <v>35.652999999620739</v>
      </c>
      <c r="W401" s="300">
        <f t="shared" ref="W401" si="1062">SUM(W399:W400)</f>
        <v>4.4510000000155268</v>
      </c>
      <c r="X401" s="300">
        <f t="shared" ref="X401" si="1063">SUM(X399:X400)</f>
        <v>5.2530000001047572</v>
      </c>
      <c r="Y401" s="300">
        <f t="shared" si="1053"/>
        <v>45.356999999741021</v>
      </c>
    </row>
    <row r="402" spans="1:25" x14ac:dyDescent="0.2">
      <c r="C402" s="319"/>
      <c r="D402" s="319"/>
      <c r="E402" s="319"/>
      <c r="F402" s="319"/>
      <c r="G402" s="319"/>
      <c r="H402" s="319"/>
      <c r="I402" s="319"/>
      <c r="J402" s="319"/>
      <c r="K402" s="319"/>
      <c r="L402" s="319"/>
      <c r="M402" s="319"/>
      <c r="N402" s="319"/>
      <c r="O402" s="319"/>
      <c r="P402" s="319"/>
      <c r="Q402" s="319"/>
      <c r="R402" s="319"/>
      <c r="S402" s="319"/>
      <c r="T402" s="319"/>
      <c r="U402" s="319"/>
      <c r="V402" s="319"/>
      <c r="W402" s="319"/>
      <c r="X402" s="319"/>
      <c r="Y402" s="319"/>
    </row>
    <row r="403" spans="1:25" x14ac:dyDescent="0.2">
      <c r="A403" s="261" t="str">
        <f>name!A57</f>
        <v>Scientific research and development</v>
      </c>
      <c r="C403" s="263"/>
    </row>
    <row r="404" spans="1:25" x14ac:dyDescent="0.2">
      <c r="A404" s="260" t="s">
        <v>356</v>
      </c>
      <c r="B404" s="300">
        <v>0.19999999999331608</v>
      </c>
      <c r="C404" s="300">
        <v>7.7999999998225433E-2</v>
      </c>
      <c r="D404" s="300">
        <v>0.7599999999831637</v>
      </c>
      <c r="E404" s="300">
        <f>SUM(B404:D404)</f>
        <v>1.0379999999747052</v>
      </c>
      <c r="F404" s="300"/>
      <c r="G404" s="300">
        <v>0.36800000000964894</v>
      </c>
      <c r="H404" s="300">
        <v>0.44300000000083428</v>
      </c>
      <c r="I404" s="300">
        <v>1.3650000000409432</v>
      </c>
      <c r="J404" s="300">
        <f>SUM(G404:I404)</f>
        <v>2.1760000000514266</v>
      </c>
      <c r="K404" s="300"/>
      <c r="L404" s="300">
        <v>0.42499999999059962</v>
      </c>
      <c r="M404" s="300">
        <v>0.53099999998972491</v>
      </c>
      <c r="N404" s="300">
        <v>1.9749999999304944</v>
      </c>
      <c r="O404" s="300">
        <f>SUM(L404:N404)</f>
        <v>2.9309999999108189</v>
      </c>
      <c r="P404" s="300"/>
      <c r="Q404" s="300">
        <v>0.46000000000344488</v>
      </c>
      <c r="R404" s="300">
        <v>0.56899999999625417</v>
      </c>
      <c r="S404" s="300">
        <v>2.2220000000307976</v>
      </c>
      <c r="T404" s="300">
        <f>SUM(Q404:S404)</f>
        <v>3.2510000000304968</v>
      </c>
      <c r="U404" s="300"/>
      <c r="V404" s="300">
        <v>0.50200000001257461</v>
      </c>
      <c r="W404" s="300">
        <v>0.61300000000480426</v>
      </c>
      <c r="X404" s="300">
        <v>2.6680000000378485</v>
      </c>
      <c r="Y404" s="300">
        <f>SUM(V404:X404)</f>
        <v>3.7830000000552273</v>
      </c>
    </row>
    <row r="405" spans="1:25" x14ac:dyDescent="0.2">
      <c r="A405" s="260" t="s">
        <v>355</v>
      </c>
      <c r="B405" s="300">
        <v>2.6830000000560212</v>
      </c>
      <c r="C405" s="300">
        <v>0.10399999999940193</v>
      </c>
      <c r="D405" s="300">
        <v>1.8120000000733578</v>
      </c>
      <c r="E405" s="300">
        <f t="shared" ref="E405:E406" si="1064">SUM(B405:D405)</f>
        <v>4.5990000001287807</v>
      </c>
      <c r="F405" s="300"/>
      <c r="G405" s="300">
        <v>4.2039999999595086</v>
      </c>
      <c r="H405" s="300">
        <v>0.35699999999152704</v>
      </c>
      <c r="I405" s="300">
        <v>1.5779999999841876</v>
      </c>
      <c r="J405" s="300">
        <f t="shared" ref="J405:J406" si="1065">SUM(G405:I405)</f>
        <v>6.1389999999352227</v>
      </c>
      <c r="K405" s="300"/>
      <c r="L405" s="300">
        <v>3.8269999999190274</v>
      </c>
      <c r="M405" s="300">
        <v>0.28800000000127762</v>
      </c>
      <c r="N405" s="300">
        <v>1.6169999999876936</v>
      </c>
      <c r="O405" s="300">
        <f t="shared" ref="O405:O406" si="1066">SUM(L405:N405)</f>
        <v>5.7319999999079982</v>
      </c>
      <c r="P405" s="300"/>
      <c r="Q405" s="300">
        <v>4.0919999999243508</v>
      </c>
      <c r="R405" s="300">
        <v>0.32199999999801232</v>
      </c>
      <c r="S405" s="300">
        <v>1.7660000000546541</v>
      </c>
      <c r="T405" s="300">
        <f t="shared" ref="T405:T406" si="1067">SUM(Q405:S405)</f>
        <v>6.1799999999770172</v>
      </c>
      <c r="U405" s="300"/>
      <c r="V405" s="300">
        <v>4.3289999999156041</v>
      </c>
      <c r="W405" s="300">
        <v>0.37599999999616845</v>
      </c>
      <c r="X405" s="300">
        <v>1.9720000000304143</v>
      </c>
      <c r="Y405" s="300">
        <f t="shared" ref="Y405:Y406" si="1068">SUM(V405:X405)</f>
        <v>6.6769999999421872</v>
      </c>
    </row>
    <row r="406" spans="1:25" x14ac:dyDescent="0.2">
      <c r="A406" s="260" t="s">
        <v>354</v>
      </c>
      <c r="B406" s="300">
        <f>SUM(B404:B405)</f>
        <v>2.8830000000493374</v>
      </c>
      <c r="C406" s="300">
        <f t="shared" ref="C406" si="1069">SUM(C404:C405)</f>
        <v>0.18199999999762737</v>
      </c>
      <c r="D406" s="300">
        <f t="shared" ref="D406" si="1070">SUM(D404:D405)</f>
        <v>2.5720000000565215</v>
      </c>
      <c r="E406" s="300">
        <f t="shared" si="1064"/>
        <v>5.6370000001034857</v>
      </c>
      <c r="F406" s="300"/>
      <c r="G406" s="300">
        <f>SUM(G404:G405)</f>
        <v>4.5719999999691572</v>
      </c>
      <c r="H406" s="300">
        <f t="shared" ref="H406" si="1071">SUM(H404:H405)</f>
        <v>0.79999999999236127</v>
      </c>
      <c r="I406" s="300">
        <f t="shared" ref="I406" si="1072">SUM(I404:I405)</f>
        <v>2.9430000000251306</v>
      </c>
      <c r="J406" s="300">
        <f t="shared" si="1065"/>
        <v>8.3149999999866502</v>
      </c>
      <c r="K406" s="300"/>
      <c r="L406" s="300">
        <f>SUM(L404:L405)</f>
        <v>4.2519999999096267</v>
      </c>
      <c r="M406" s="300">
        <f t="shared" ref="M406" si="1073">SUM(M404:M405)</f>
        <v>0.81899999999100248</v>
      </c>
      <c r="N406" s="300">
        <f t="shared" ref="N406" si="1074">SUM(N404:N405)</f>
        <v>3.5919999999181877</v>
      </c>
      <c r="O406" s="300">
        <f t="shared" si="1066"/>
        <v>8.6629999998188172</v>
      </c>
      <c r="P406" s="300"/>
      <c r="Q406" s="300">
        <f>SUM(Q404:Q405)</f>
        <v>4.551999999927796</v>
      </c>
      <c r="R406" s="300">
        <f t="shared" ref="R406" si="1075">SUM(R404:R405)</f>
        <v>0.89099999999426649</v>
      </c>
      <c r="S406" s="300">
        <f t="shared" ref="S406" si="1076">SUM(S404:S405)</f>
        <v>3.9880000000854516</v>
      </c>
      <c r="T406" s="300">
        <f t="shared" si="1067"/>
        <v>9.4310000000075149</v>
      </c>
      <c r="U406" s="300"/>
      <c r="V406" s="300">
        <f>SUM(V404:V405)</f>
        <v>4.8309999999281787</v>
      </c>
      <c r="W406" s="300">
        <f t="shared" ref="W406" si="1077">SUM(W404:W405)</f>
        <v>0.98900000000097266</v>
      </c>
      <c r="X406" s="300">
        <f t="shared" ref="X406" si="1078">SUM(X404:X405)</f>
        <v>4.6400000000682624</v>
      </c>
      <c r="Y406" s="300">
        <f t="shared" si="1068"/>
        <v>10.459999999997414</v>
      </c>
    </row>
    <row r="407" spans="1:25" x14ac:dyDescent="0.2">
      <c r="C407" s="319"/>
      <c r="D407" s="319"/>
      <c r="E407" s="319"/>
      <c r="F407" s="319"/>
      <c r="G407" s="319"/>
      <c r="H407" s="319"/>
      <c r="I407" s="319"/>
      <c r="J407" s="319"/>
      <c r="K407" s="319"/>
      <c r="L407" s="319"/>
      <c r="M407" s="319"/>
      <c r="N407" s="319"/>
      <c r="O407" s="319"/>
      <c r="P407" s="319"/>
      <c r="Q407" s="319"/>
      <c r="R407" s="319"/>
      <c r="S407" s="319"/>
      <c r="T407" s="319"/>
      <c r="U407" s="319"/>
      <c r="V407" s="319"/>
      <c r="W407" s="319"/>
      <c r="X407" s="319"/>
      <c r="Y407" s="319"/>
    </row>
    <row r="408" spans="1:25" x14ac:dyDescent="0.2">
      <c r="A408" s="261" t="str">
        <f>name!A58</f>
        <v>Advertising, etc</v>
      </c>
      <c r="C408" s="263"/>
    </row>
    <row r="409" spans="1:25" x14ac:dyDescent="0.2">
      <c r="A409" s="260" t="s">
        <v>356</v>
      </c>
      <c r="B409" s="300">
        <v>1.3399999999565793</v>
      </c>
      <c r="C409" s="300">
        <v>1.1489999999870033</v>
      </c>
      <c r="D409" s="300">
        <v>0.93899999998234518</v>
      </c>
      <c r="E409" s="300">
        <f>SUM(B409:D409)</f>
        <v>3.4279999999259281</v>
      </c>
      <c r="F409" s="300"/>
      <c r="G409" s="300">
        <v>1.0480000000018637</v>
      </c>
      <c r="H409" s="300">
        <v>0.88500000000537604</v>
      </c>
      <c r="I409" s="300">
        <v>0.61800000001705091</v>
      </c>
      <c r="J409" s="300">
        <f>SUM(G409:I409)</f>
        <v>2.5510000000242909</v>
      </c>
      <c r="K409" s="300"/>
      <c r="L409" s="300">
        <v>1.2069999999678118</v>
      </c>
      <c r="M409" s="300">
        <v>1.0589999999900794</v>
      </c>
      <c r="N409" s="300">
        <v>0.89399999996864932</v>
      </c>
      <c r="O409" s="300">
        <f>SUM(L409:N409)</f>
        <v>3.1599999999265407</v>
      </c>
      <c r="P409" s="300"/>
      <c r="Q409" s="300">
        <v>1.309000000047797</v>
      </c>
      <c r="R409" s="300">
        <v>1.1350000000114375</v>
      </c>
      <c r="S409" s="300">
        <v>1.0060000000115841</v>
      </c>
      <c r="T409" s="300">
        <f>SUM(Q409:S409)</f>
        <v>3.4500000000708182</v>
      </c>
      <c r="U409" s="300"/>
      <c r="V409" s="300">
        <v>1.4260000000192758</v>
      </c>
      <c r="W409" s="300">
        <v>1.2240000000113376</v>
      </c>
      <c r="X409" s="300">
        <v>1.2080000000178692</v>
      </c>
      <c r="Y409" s="300">
        <f>SUM(V409:X409)</f>
        <v>3.8580000000484826</v>
      </c>
    </row>
    <row r="410" spans="1:25" x14ac:dyDescent="0.2">
      <c r="A410" s="260" t="s">
        <v>355</v>
      </c>
      <c r="B410" s="300">
        <v>1.6440000000201971</v>
      </c>
      <c r="C410" s="300">
        <v>0.26100000000072848</v>
      </c>
      <c r="D410" s="300">
        <v>1.5760000000695613</v>
      </c>
      <c r="E410" s="300">
        <f t="shared" ref="E410:E411" si="1079">SUM(B410:D410)</f>
        <v>3.4810000000904866</v>
      </c>
      <c r="F410" s="300"/>
      <c r="G410" s="300">
        <v>1.0929999999835138</v>
      </c>
      <c r="H410" s="300">
        <v>0.12099999999878565</v>
      </c>
      <c r="I410" s="300">
        <v>0.50299999999695522</v>
      </c>
      <c r="J410" s="300">
        <f t="shared" ref="J410:J411" si="1080">SUM(G410:I410)</f>
        <v>1.7169999999792547</v>
      </c>
      <c r="K410" s="300"/>
      <c r="L410" s="300">
        <v>0.99499999997232158</v>
      </c>
      <c r="M410" s="300">
        <v>9.799999999923098E-2</v>
      </c>
      <c r="N410" s="300">
        <v>0.515999999999051</v>
      </c>
      <c r="O410" s="300">
        <f t="shared" ref="O410:O411" si="1081">SUM(L410:N410)</f>
        <v>1.6089999999706035</v>
      </c>
      <c r="P410" s="300"/>
      <c r="Q410" s="300">
        <v>1.0629999999832187</v>
      </c>
      <c r="R410" s="300">
        <v>0.10899999999942751</v>
      </c>
      <c r="S410" s="300">
        <v>0.56300000002325834</v>
      </c>
      <c r="T410" s="300">
        <f t="shared" ref="T410:T411" si="1082">SUM(Q410:S410)</f>
        <v>1.7350000000059045</v>
      </c>
      <c r="U410" s="300"/>
      <c r="V410" s="300">
        <v>1.1249999999762326</v>
      </c>
      <c r="W410" s="300">
        <v>0.12799999999931089</v>
      </c>
      <c r="X410" s="300">
        <v>0.62900000001389922</v>
      </c>
      <c r="Y410" s="300">
        <f t="shared" ref="Y410:Y411" si="1083">SUM(V410:X410)</f>
        <v>1.8819999999894428</v>
      </c>
    </row>
    <row r="411" spans="1:25" x14ac:dyDescent="0.2">
      <c r="A411" s="260" t="s">
        <v>354</v>
      </c>
      <c r="B411" s="300">
        <f>SUM(B409:B410)</f>
        <v>2.9839999999767763</v>
      </c>
      <c r="C411" s="300">
        <f t="shared" ref="C411" si="1084">SUM(C409:C410)</f>
        <v>1.4099999999877317</v>
      </c>
      <c r="D411" s="300">
        <f t="shared" ref="D411" si="1085">SUM(D409:D410)</f>
        <v>2.5150000000519066</v>
      </c>
      <c r="E411" s="300">
        <f t="shared" si="1079"/>
        <v>6.9090000000164151</v>
      </c>
      <c r="F411" s="300"/>
      <c r="G411" s="300">
        <f>SUM(G409:G410)</f>
        <v>2.1409999999853775</v>
      </c>
      <c r="H411" s="300">
        <f t="shared" ref="H411" si="1086">SUM(H409:H410)</f>
        <v>1.0060000000041618</v>
      </c>
      <c r="I411" s="300">
        <f t="shared" ref="I411" si="1087">SUM(I409:I410)</f>
        <v>1.1210000000140061</v>
      </c>
      <c r="J411" s="300">
        <f t="shared" si="1080"/>
        <v>4.2680000000035454</v>
      </c>
      <c r="K411" s="300"/>
      <c r="L411" s="300">
        <f>SUM(L409:L410)</f>
        <v>2.2019999999401332</v>
      </c>
      <c r="M411" s="300">
        <f t="shared" ref="M411" si="1088">SUM(M409:M410)</f>
        <v>1.1569999999893104</v>
      </c>
      <c r="N411" s="300">
        <f t="shared" ref="N411" si="1089">SUM(N409:N410)</f>
        <v>1.4099999999677002</v>
      </c>
      <c r="O411" s="300">
        <f t="shared" si="1081"/>
        <v>4.7689999998971437</v>
      </c>
      <c r="P411" s="300"/>
      <c r="Q411" s="300">
        <f>SUM(Q409:Q410)</f>
        <v>2.372000000031016</v>
      </c>
      <c r="R411" s="300">
        <f t="shared" ref="R411" si="1090">SUM(R409:R410)</f>
        <v>1.2440000000108651</v>
      </c>
      <c r="S411" s="300">
        <f t="shared" ref="S411" si="1091">SUM(S409:S410)</f>
        <v>1.5690000000348423</v>
      </c>
      <c r="T411" s="300">
        <f t="shared" si="1082"/>
        <v>5.1850000000767231</v>
      </c>
      <c r="U411" s="300"/>
      <c r="V411" s="300">
        <f>SUM(V409:V410)</f>
        <v>2.5509999999955086</v>
      </c>
      <c r="W411" s="300">
        <f t="shared" ref="W411" si="1092">SUM(W409:W410)</f>
        <v>1.3520000000106485</v>
      </c>
      <c r="X411" s="300">
        <f t="shared" ref="X411" si="1093">SUM(X409:X410)</f>
        <v>1.8370000000317686</v>
      </c>
      <c r="Y411" s="300">
        <f t="shared" si="1083"/>
        <v>5.7400000000379254</v>
      </c>
    </row>
    <row r="412" spans="1:25" x14ac:dyDescent="0.2">
      <c r="C412" s="319"/>
      <c r="D412" s="319"/>
      <c r="E412" s="319"/>
      <c r="F412" s="319"/>
      <c r="G412" s="319"/>
      <c r="H412" s="319"/>
      <c r="I412" s="319"/>
      <c r="J412" s="319"/>
      <c r="K412" s="319"/>
      <c r="L412" s="319"/>
      <c r="M412" s="319"/>
      <c r="N412" s="319"/>
      <c r="O412" s="319"/>
      <c r="P412" s="319"/>
      <c r="Q412" s="319"/>
      <c r="R412" s="319"/>
      <c r="S412" s="319"/>
      <c r="T412" s="319"/>
      <c r="U412" s="319"/>
      <c r="V412" s="319"/>
      <c r="W412" s="319"/>
      <c r="X412" s="319"/>
      <c r="Y412" s="319"/>
    </row>
    <row r="413" spans="1:25" x14ac:dyDescent="0.2">
      <c r="A413" s="261" t="str">
        <f>name!A59</f>
        <v>Other professional</v>
      </c>
      <c r="C413" s="263"/>
    </row>
    <row r="414" spans="1:25" x14ac:dyDescent="0.2">
      <c r="A414" s="260" t="s">
        <v>356</v>
      </c>
      <c r="B414" s="300">
        <v>4.9869999998751089</v>
      </c>
      <c r="C414" s="300">
        <v>3.0030000000157662</v>
      </c>
      <c r="D414" s="300">
        <v>3.2709999999576822</v>
      </c>
      <c r="E414" s="300">
        <f>SUM(B414:D414)</f>
        <v>11.260999999848558</v>
      </c>
      <c r="F414" s="300"/>
      <c r="G414" s="300">
        <v>7.2379999999978262</v>
      </c>
      <c r="H414" s="300">
        <v>3.9780000000067415</v>
      </c>
      <c r="I414" s="300">
        <v>4.1040000001089636</v>
      </c>
      <c r="J414" s="300">
        <f>SUM(G414:I414)</f>
        <v>15.320000000113531</v>
      </c>
      <c r="K414" s="300"/>
      <c r="L414" s="300">
        <v>8.3409999998185249</v>
      </c>
      <c r="M414" s="300">
        <v>4.7610000000117454</v>
      </c>
      <c r="N414" s="300">
        <v>5.9389999998071579</v>
      </c>
      <c r="O414" s="300">
        <f>SUM(L414:N414)</f>
        <v>19.040999999637428</v>
      </c>
      <c r="P414" s="300"/>
      <c r="Q414" s="300">
        <v>9.0440000002880439</v>
      </c>
      <c r="R414" s="300">
        <v>5.1010000000361613</v>
      </c>
      <c r="S414" s="300">
        <v>6.681000000068086</v>
      </c>
      <c r="T414" s="300">
        <f>SUM(Q414:S414)</f>
        <v>20.826000000392291</v>
      </c>
      <c r="U414" s="300"/>
      <c r="V414" s="300">
        <v>9.8560000001160262</v>
      </c>
      <c r="W414" s="300">
        <v>5.4980000000305163</v>
      </c>
      <c r="X414" s="300">
        <v>8.0220000001015581</v>
      </c>
      <c r="Y414" s="300">
        <f>SUM(V414:X414)</f>
        <v>23.376000000248098</v>
      </c>
    </row>
    <row r="415" spans="1:25" x14ac:dyDescent="0.2">
      <c r="A415" s="260" t="s">
        <v>355</v>
      </c>
      <c r="B415" s="300">
        <v>6.6380000000433483</v>
      </c>
      <c r="C415" s="300">
        <v>1.015000000000023</v>
      </c>
      <c r="D415" s="300">
        <v>5.6180000002055852</v>
      </c>
      <c r="E415" s="300">
        <f t="shared" ref="E415:E416" si="1094">SUM(B415:D415)</f>
        <v>13.271000000248957</v>
      </c>
      <c r="F415" s="300"/>
      <c r="G415" s="300">
        <v>8.1939999999110569</v>
      </c>
      <c r="H415" s="300">
        <v>0.81000000000294836</v>
      </c>
      <c r="I415" s="300">
        <v>3.4199999999860906</v>
      </c>
      <c r="J415" s="300">
        <f t="shared" ref="J415:J416" si="1095">SUM(G415:I415)</f>
        <v>12.423999999900095</v>
      </c>
      <c r="K415" s="300"/>
      <c r="L415" s="300">
        <v>7.4579999998536195</v>
      </c>
      <c r="M415" s="300">
        <v>0.65400000000164749</v>
      </c>
      <c r="N415" s="300">
        <v>3.5039999999979434</v>
      </c>
      <c r="O415" s="300">
        <f t="shared" ref="O415:O416" si="1096">SUM(L415:N415)</f>
        <v>11.615999999853212</v>
      </c>
      <c r="P415" s="300"/>
      <c r="Q415" s="300">
        <v>7.9749999999124546</v>
      </c>
      <c r="R415" s="300">
        <v>0.73000000000134857</v>
      </c>
      <c r="S415" s="300">
        <v>3.8260000001321077</v>
      </c>
      <c r="T415" s="300">
        <f t="shared" ref="T415:T416" si="1097">SUM(Q415:S415)</f>
        <v>12.531000000045911</v>
      </c>
      <c r="U415" s="300"/>
      <c r="V415" s="300">
        <v>8.4379999998564177</v>
      </c>
      <c r="W415" s="300">
        <v>0.85400000000017251</v>
      </c>
      <c r="X415" s="300">
        <v>4.2740000000786305</v>
      </c>
      <c r="Y415" s="300">
        <f t="shared" ref="Y415:Y416" si="1098">SUM(V415:X415)</f>
        <v>13.565999999935222</v>
      </c>
    </row>
    <row r="416" spans="1:25" x14ac:dyDescent="0.2">
      <c r="A416" s="260" t="s">
        <v>354</v>
      </c>
      <c r="B416" s="300">
        <f>SUM(B414:B415)</f>
        <v>11.624999999918458</v>
      </c>
      <c r="C416" s="300">
        <f t="shared" ref="C416" si="1099">SUM(C414:C415)</f>
        <v>4.0180000000157889</v>
      </c>
      <c r="D416" s="300">
        <f t="shared" ref="D416" si="1100">SUM(D414:D415)</f>
        <v>8.8890000001632679</v>
      </c>
      <c r="E416" s="300">
        <f t="shared" si="1094"/>
        <v>24.532000000097515</v>
      </c>
      <c r="F416" s="300"/>
      <c r="G416" s="300">
        <f>SUM(G414:G415)</f>
        <v>15.431999999908882</v>
      </c>
      <c r="H416" s="300">
        <f t="shared" ref="H416" si="1101">SUM(H414:H415)</f>
        <v>4.7880000000096903</v>
      </c>
      <c r="I416" s="300">
        <f t="shared" ref="I416" si="1102">SUM(I414:I415)</f>
        <v>7.5240000000950538</v>
      </c>
      <c r="J416" s="300">
        <f t="shared" si="1095"/>
        <v>27.744000000013624</v>
      </c>
      <c r="K416" s="300"/>
      <c r="L416" s="300">
        <f>SUM(L414:L415)</f>
        <v>15.798999999672144</v>
      </c>
      <c r="M416" s="300">
        <f t="shared" ref="M416" si="1103">SUM(M414:M415)</f>
        <v>5.4150000000133929</v>
      </c>
      <c r="N416" s="300">
        <f t="shared" ref="N416" si="1104">SUM(N414:N415)</f>
        <v>9.4429999998051013</v>
      </c>
      <c r="O416" s="300">
        <f t="shared" si="1096"/>
        <v>30.656999999490637</v>
      </c>
      <c r="P416" s="300"/>
      <c r="Q416" s="300">
        <f>SUM(Q414:Q415)</f>
        <v>17.019000000200499</v>
      </c>
      <c r="R416" s="300">
        <f t="shared" ref="R416" si="1105">SUM(R414:R415)</f>
        <v>5.83100000003751</v>
      </c>
      <c r="S416" s="300">
        <f t="shared" ref="S416" si="1106">SUM(S414:S415)</f>
        <v>10.507000000200193</v>
      </c>
      <c r="T416" s="300">
        <f t="shared" si="1097"/>
        <v>33.357000000438205</v>
      </c>
      <c r="U416" s="300"/>
      <c r="V416" s="300">
        <f>SUM(V414:V415)</f>
        <v>18.293999999972442</v>
      </c>
      <c r="W416" s="300">
        <f t="shared" ref="W416" si="1107">SUM(W414:W415)</f>
        <v>6.3520000000306887</v>
      </c>
      <c r="X416" s="300">
        <f t="shared" ref="X416" si="1108">SUM(X414:X415)</f>
        <v>12.296000000180189</v>
      </c>
      <c r="Y416" s="300">
        <f t="shared" si="1098"/>
        <v>36.94200000018332</v>
      </c>
    </row>
    <row r="417" spans="1:25" x14ac:dyDescent="0.2">
      <c r="A417" s="261"/>
      <c r="C417" s="319"/>
      <c r="D417" s="319"/>
      <c r="E417" s="319"/>
      <c r="F417" s="319"/>
      <c r="G417" s="319"/>
      <c r="H417" s="319"/>
      <c r="I417" s="319"/>
      <c r="J417" s="319"/>
      <c r="K417" s="319"/>
      <c r="L417" s="319"/>
      <c r="M417" s="319"/>
      <c r="N417" s="319"/>
      <c r="O417" s="319"/>
      <c r="P417" s="319"/>
      <c r="Q417" s="319"/>
      <c r="R417" s="319"/>
      <c r="S417" s="319"/>
      <c r="T417" s="319"/>
      <c r="U417" s="319"/>
      <c r="V417" s="319"/>
      <c r="W417" s="319"/>
      <c r="X417" s="319"/>
      <c r="Y417" s="319"/>
    </row>
    <row r="418" spans="1:25" x14ac:dyDescent="0.2">
      <c r="A418" s="261" t="str">
        <f>name!A60</f>
        <v>Veterinary</v>
      </c>
      <c r="C418" s="263"/>
    </row>
    <row r="419" spans="1:25" x14ac:dyDescent="0.2">
      <c r="A419" s="260" t="s">
        <v>356</v>
      </c>
      <c r="B419" s="300">
        <v>0.60299999998591391</v>
      </c>
      <c r="C419" s="300">
        <v>0.70699999998475072</v>
      </c>
      <c r="D419" s="300">
        <v>1.0959999999057728</v>
      </c>
      <c r="E419" s="300">
        <f>SUM(B419:D419)</f>
        <v>2.4059999998764372</v>
      </c>
      <c r="F419" s="300"/>
      <c r="G419" s="300">
        <v>1.2840000000168685</v>
      </c>
      <c r="H419" s="300">
        <v>1.6349999999765539</v>
      </c>
      <c r="I419" s="300">
        <v>2.2289999998767898</v>
      </c>
      <c r="J419" s="300">
        <f>SUM(G419:I419)</f>
        <v>5.147999999870212</v>
      </c>
      <c r="K419" s="300"/>
      <c r="L419" s="300">
        <v>1.4789999999776946</v>
      </c>
      <c r="M419" s="300">
        <v>1.9569999999634728</v>
      </c>
      <c r="N419" s="300">
        <v>3.2260000002039715</v>
      </c>
      <c r="O419" s="300">
        <f>SUM(L419:N419)</f>
        <v>6.6620000001451389</v>
      </c>
      <c r="P419" s="300"/>
      <c r="Q419" s="300">
        <v>1.6040000000083339</v>
      </c>
      <c r="R419" s="300">
        <v>2.0969999999299525</v>
      </c>
      <c r="S419" s="300">
        <v>3.6290000000375326</v>
      </c>
      <c r="T419" s="300">
        <f>SUM(Q419:S419)</f>
        <v>7.3299999999758185</v>
      </c>
      <c r="U419" s="300"/>
      <c r="V419" s="300">
        <v>1.7480000000161804</v>
      </c>
      <c r="W419" s="300">
        <v>2.259999999997834</v>
      </c>
      <c r="X419" s="300">
        <v>4.3570000000087568</v>
      </c>
      <c r="Y419" s="300">
        <f>SUM(V419:X419)</f>
        <v>8.3650000000227713</v>
      </c>
    </row>
    <row r="420" spans="1:25" x14ac:dyDescent="0.2">
      <c r="A420" s="260" t="s">
        <v>355</v>
      </c>
      <c r="B420" s="300">
        <v>1.1730000000154104</v>
      </c>
      <c r="C420" s="300">
        <v>0.37899999999910478</v>
      </c>
      <c r="D420" s="300">
        <v>0.70500000006377272</v>
      </c>
      <c r="E420" s="300">
        <f t="shared" ref="E420:E421" si="1109">SUM(B420:D420)</f>
        <v>2.2570000000782877</v>
      </c>
      <c r="F420" s="300"/>
      <c r="G420" s="300">
        <v>2.122999999992607</v>
      </c>
      <c r="H420" s="300">
        <v>0.52799999999716074</v>
      </c>
      <c r="I420" s="300">
        <v>0.69599999999347595</v>
      </c>
      <c r="J420" s="300">
        <f t="shared" ref="J420:J421" si="1110">SUM(G420:I420)</f>
        <v>3.346999999983244</v>
      </c>
      <c r="K420" s="300"/>
      <c r="L420" s="300">
        <v>1.9329999999790415</v>
      </c>
      <c r="M420" s="300">
        <v>0.42599999999967597</v>
      </c>
      <c r="N420" s="300">
        <v>0.71300000000840069</v>
      </c>
      <c r="O420" s="300">
        <f t="shared" ref="O420:O421" si="1111">SUM(L420:N420)</f>
        <v>3.0719999999871179</v>
      </c>
      <c r="P420" s="300"/>
      <c r="Q420" s="300">
        <v>2.0659999999807468</v>
      </c>
      <c r="R420" s="300">
        <v>0.47599999999867298</v>
      </c>
      <c r="S420" s="300">
        <v>0.779000000072819</v>
      </c>
      <c r="T420" s="300">
        <f t="shared" ref="T420:T421" si="1112">SUM(Q420:S420)</f>
        <v>3.3210000000522388</v>
      </c>
      <c r="U420" s="300"/>
      <c r="V420" s="300">
        <v>2.1859999999828217</v>
      </c>
      <c r="W420" s="300">
        <v>0.55599999999522809</v>
      </c>
      <c r="X420" s="300">
        <v>0.87000000005348532</v>
      </c>
      <c r="Y420" s="300">
        <f t="shared" ref="Y420:Y421" si="1113">SUM(V420:X420)</f>
        <v>3.6120000000315349</v>
      </c>
    </row>
    <row r="421" spans="1:25" x14ac:dyDescent="0.2">
      <c r="A421" s="260" t="s">
        <v>354</v>
      </c>
      <c r="B421" s="300">
        <f>SUM(B419:B420)</f>
        <v>1.7760000000013243</v>
      </c>
      <c r="C421" s="300">
        <f t="shared" ref="C421" si="1114">SUM(C419:C420)</f>
        <v>1.0859999999838554</v>
      </c>
      <c r="D421" s="300">
        <f t="shared" ref="D421" si="1115">SUM(D419:D420)</f>
        <v>1.8009999999695454</v>
      </c>
      <c r="E421" s="300">
        <f t="shared" si="1109"/>
        <v>4.6629999999547254</v>
      </c>
      <c r="F421" s="300"/>
      <c r="G421" s="300">
        <f>SUM(G419:G420)</f>
        <v>3.4070000000094756</v>
      </c>
      <c r="H421" s="300">
        <f t="shared" ref="H421" si="1116">SUM(H419:H420)</f>
        <v>2.1629999999737146</v>
      </c>
      <c r="I421" s="300">
        <f t="shared" ref="I421" si="1117">SUM(I419:I420)</f>
        <v>2.9249999998702658</v>
      </c>
      <c r="J421" s="300">
        <f t="shared" si="1110"/>
        <v>8.4949999998534569</v>
      </c>
      <c r="K421" s="300"/>
      <c r="L421" s="300">
        <f>SUM(L419:L420)</f>
        <v>3.4119999999567359</v>
      </c>
      <c r="M421" s="300">
        <f t="shared" ref="M421" si="1118">SUM(M419:M420)</f>
        <v>2.3829999999631486</v>
      </c>
      <c r="N421" s="300">
        <f t="shared" ref="N421" si="1119">SUM(N419:N420)</f>
        <v>3.9390000002123724</v>
      </c>
      <c r="O421" s="300">
        <f t="shared" si="1111"/>
        <v>9.7340000001322569</v>
      </c>
      <c r="P421" s="300"/>
      <c r="Q421" s="300">
        <f>SUM(Q419:Q420)</f>
        <v>3.6699999999890807</v>
      </c>
      <c r="R421" s="300">
        <f t="shared" ref="R421" si="1120">SUM(R419:R420)</f>
        <v>2.5729999999286255</v>
      </c>
      <c r="S421" s="300">
        <f t="shared" ref="S421" si="1121">SUM(S419:S420)</f>
        <v>4.4080000001103521</v>
      </c>
      <c r="T421" s="300">
        <f t="shared" si="1112"/>
        <v>10.651000000028059</v>
      </c>
      <c r="U421" s="300"/>
      <c r="V421" s="300">
        <f>SUM(V419:V420)</f>
        <v>3.9339999999990019</v>
      </c>
      <c r="W421" s="300">
        <f t="shared" ref="W421" si="1122">SUM(W419:W420)</f>
        <v>2.8159999999930623</v>
      </c>
      <c r="X421" s="300">
        <f t="shared" ref="X421" si="1123">SUM(X419:X420)</f>
        <v>5.2270000000622421</v>
      </c>
      <c r="Y421" s="300">
        <f t="shared" si="1113"/>
        <v>11.977000000054307</v>
      </c>
    </row>
    <row r="423" spans="1:25" x14ac:dyDescent="0.2">
      <c r="A423" s="261" t="s">
        <v>361</v>
      </c>
    </row>
    <row r="424" spans="1:25" x14ac:dyDescent="0.2">
      <c r="A424" s="260" t="s">
        <v>356</v>
      </c>
      <c r="B424" s="300">
        <f>SUM(B389,B394,B399,B404,B409,B414,B419)</f>
        <v>34.470999998924945</v>
      </c>
      <c r="C424" s="300">
        <f t="shared" ref="C424:D425" si="1124">SUM(C389,C394,C399,C404,C409,C414,C419)</f>
        <v>22.250999999789897</v>
      </c>
      <c r="D424" s="300">
        <f t="shared" si="1124"/>
        <v>12.606999999705975</v>
      </c>
      <c r="E424" s="300">
        <f>SUM(B424:D424)</f>
        <v>69.328999998420812</v>
      </c>
      <c r="F424" s="300"/>
      <c r="G424" s="300">
        <f>SUM(G389,G394,G399,G404,G409,G414,G419)</f>
        <v>48.556000000094869</v>
      </c>
      <c r="H424" s="300">
        <f t="shared" ref="H424:I424" si="1125">SUM(H389,H394,H399,H404,H409,H414,H419)</f>
        <v>29.219000000124854</v>
      </c>
      <c r="I424" s="300">
        <f t="shared" si="1125"/>
        <v>14.574000000216413</v>
      </c>
      <c r="J424" s="300">
        <f>SUM(G424:I424)</f>
        <v>92.349000000436135</v>
      </c>
      <c r="K424" s="300"/>
      <c r="L424" s="300">
        <f>SUM(L389,L394,L399,L404,L409,L414,L419)</f>
        <v>53.19899999864132</v>
      </c>
      <c r="M424" s="300">
        <f t="shared" ref="M424:N424" si="1126">SUM(M389,M394,M399,M404,M409,M414,M419)</f>
        <v>35.253999999702621</v>
      </c>
      <c r="N424" s="300">
        <f t="shared" si="1126"/>
        <v>22.452999999544893</v>
      </c>
      <c r="O424" s="300">
        <f>SUM(L424:N424)</f>
        <v>110.90599999788884</v>
      </c>
      <c r="P424" s="300"/>
      <c r="Q424" s="300">
        <f>SUM(Q389,Q394,Q399,Q404,Q409,Q414,Q419)</f>
        <v>55.273000001912472</v>
      </c>
      <c r="R424" s="300">
        <f t="shared" ref="R424:S424" si="1127">SUM(R389,R394,R399,R404,R409,R414,R419)</f>
        <v>36.774000000254645</v>
      </c>
      <c r="S424" s="300">
        <f t="shared" si="1127"/>
        <v>23.99200000026838</v>
      </c>
      <c r="T424" s="300">
        <f>SUM(Q424:S424)</f>
        <v>116.0390000024355</v>
      </c>
      <c r="U424" s="300"/>
      <c r="V424" s="300">
        <f>SUM(V389,V394,V399,V404,V409,V414,V419)</f>
        <v>58.478000000771587</v>
      </c>
      <c r="W424" s="300">
        <f t="shared" ref="W424:X424" si="1128">SUM(W389,W394,W399,W404,W409,W414,W419)</f>
        <v>39.03500000031719</v>
      </c>
      <c r="X424" s="300">
        <f t="shared" si="1128"/>
        <v>26.633000000319555</v>
      </c>
      <c r="Y424" s="300">
        <f>SUM(V424:X424)</f>
        <v>124.14600000140834</v>
      </c>
    </row>
    <row r="425" spans="1:25" x14ac:dyDescent="0.2">
      <c r="A425" s="260" t="s">
        <v>355</v>
      </c>
      <c r="B425" s="300">
        <f>SUM(B390,B395,B400,B405,B410,B415,B420)</f>
        <v>58.079000000699359</v>
      </c>
      <c r="C425" s="300">
        <f t="shared" si="1124"/>
        <v>7.1230000000142306</v>
      </c>
      <c r="D425" s="300">
        <f t="shared" si="1124"/>
        <v>21.16800000091796</v>
      </c>
      <c r="E425" s="300">
        <f t="shared" ref="E425:E426" si="1129">SUM(B425:D425)</f>
        <v>86.370000001631553</v>
      </c>
      <c r="F425" s="300"/>
      <c r="G425" s="300">
        <f>SUM(G390,G395,G400,G405,G410,G415,G420)</f>
        <v>74.287999998961652</v>
      </c>
      <c r="H425" s="300">
        <f t="shared" ref="H425:I425" si="1130">SUM(H390,H395,H400,H405,H410,H415,H420)</f>
        <v>7.5359999999330096</v>
      </c>
      <c r="I425" s="300">
        <f t="shared" si="1130"/>
        <v>14.106999999912841</v>
      </c>
      <c r="J425" s="300">
        <f t="shared" ref="J425:J426" si="1131">SUM(G425:I425)</f>
        <v>95.930999998807508</v>
      </c>
      <c r="K425" s="300"/>
      <c r="L425" s="300">
        <f>SUM(L390,L395,L400,L405,L410,L415,L420)</f>
        <v>71.005999998144176</v>
      </c>
      <c r="M425" s="300">
        <f t="shared" ref="M425:N425" si="1132">SUM(M390,M395,M400,M405,M410,M415,M420)</f>
        <v>8.4739999999468409</v>
      </c>
      <c r="N425" s="300">
        <f t="shared" si="1132"/>
        <v>14.978999999977225</v>
      </c>
      <c r="O425" s="300">
        <f t="shared" ref="O425:O426" si="1133">SUM(L425:N425)</f>
        <v>94.458999998068236</v>
      </c>
      <c r="P425" s="300"/>
      <c r="Q425" s="300">
        <f>SUM(Q390,Q395,Q400,Q405,Q410,Q415,Q420)</f>
        <v>71.75699999890783</v>
      </c>
      <c r="R425" s="300">
        <f t="shared" ref="R425:S425" si="1134">SUM(R390,R395,R400,R405,R410,R415,R420)</f>
        <v>8.879999999959411</v>
      </c>
      <c r="S425" s="300">
        <f t="shared" si="1134"/>
        <v>15.613000000641406</v>
      </c>
      <c r="T425" s="300">
        <f t="shared" ref="T425:T426" si="1135">SUM(Q425:S425)</f>
        <v>96.249999999508645</v>
      </c>
      <c r="U425" s="300"/>
      <c r="V425" s="300">
        <f>SUM(V390,V395,V400,V405,V410,V415,V420)</f>
        <v>73.307999998522035</v>
      </c>
      <c r="W425" s="300">
        <f t="shared" ref="W425:X425" si="1136">SUM(W390,W395,W400,W405,W410,W415,W420)</f>
        <v>9.6669999999491374</v>
      </c>
      <c r="X425" s="300">
        <f t="shared" si="1136"/>
        <v>16.634000000372858</v>
      </c>
      <c r="Y425" s="300">
        <f t="shared" ref="Y425:Y426" si="1137">SUM(V425:X425)</f>
        <v>99.608999998844041</v>
      </c>
    </row>
    <row r="426" spans="1:25" x14ac:dyDescent="0.2">
      <c r="A426" s="264" t="s">
        <v>354</v>
      </c>
      <c r="B426" s="301">
        <f>SUM(B424:B425)</f>
        <v>92.549999999624305</v>
      </c>
      <c r="C426" s="301">
        <f t="shared" ref="C426" si="1138">SUM(C424:C425)</f>
        <v>29.373999999804127</v>
      </c>
      <c r="D426" s="301">
        <f t="shared" ref="D426" si="1139">SUM(D424:D425)</f>
        <v>33.775000000623933</v>
      </c>
      <c r="E426" s="301">
        <f t="shared" si="1129"/>
        <v>155.69900000005237</v>
      </c>
      <c r="F426" s="301"/>
      <c r="G426" s="301">
        <f>SUM(G424:G425)</f>
        <v>122.84399999905652</v>
      </c>
      <c r="H426" s="301">
        <f t="shared" ref="H426" si="1140">SUM(H424:H425)</f>
        <v>36.755000000057862</v>
      </c>
      <c r="I426" s="301">
        <f t="shared" ref="I426" si="1141">SUM(I424:I425)</f>
        <v>28.681000000129252</v>
      </c>
      <c r="J426" s="301">
        <f t="shared" si="1131"/>
        <v>188.27999999924361</v>
      </c>
      <c r="K426" s="301"/>
      <c r="L426" s="301">
        <f>SUM(L424:L425)</f>
        <v>124.20499999678549</v>
      </c>
      <c r="M426" s="301">
        <f t="shared" ref="M426" si="1142">SUM(M424:M425)</f>
        <v>43.727999999649462</v>
      </c>
      <c r="N426" s="301">
        <f t="shared" ref="N426" si="1143">SUM(N424:N425)</f>
        <v>37.43199999952212</v>
      </c>
      <c r="O426" s="301">
        <f t="shared" si="1133"/>
        <v>205.36499999595708</v>
      </c>
      <c r="P426" s="301"/>
      <c r="Q426" s="301">
        <f>SUM(Q424:Q425)</f>
        <v>127.03000000082031</v>
      </c>
      <c r="R426" s="301">
        <f t="shared" ref="R426" si="1144">SUM(R424:R425)</f>
        <v>45.654000000214054</v>
      </c>
      <c r="S426" s="301">
        <f t="shared" ref="S426" si="1145">SUM(S424:S425)</f>
        <v>39.605000000909783</v>
      </c>
      <c r="T426" s="301">
        <f t="shared" si="1135"/>
        <v>212.28900000194415</v>
      </c>
      <c r="U426" s="301"/>
      <c r="V426" s="301">
        <f>SUM(V424:V425)</f>
        <v>131.78599999929361</v>
      </c>
      <c r="W426" s="301">
        <f t="shared" ref="W426" si="1146">SUM(W424:W425)</f>
        <v>48.702000000266324</v>
      </c>
      <c r="X426" s="301">
        <f t="shared" ref="X426" si="1147">SUM(X424:X425)</f>
        <v>43.267000000692413</v>
      </c>
      <c r="Y426" s="301">
        <f t="shared" si="1137"/>
        <v>223.75500000025232</v>
      </c>
    </row>
    <row r="427" spans="1:25" x14ac:dyDescent="0.2">
      <c r="C427" s="263"/>
    </row>
    <row r="428" spans="1:25" x14ac:dyDescent="0.2">
      <c r="A428" s="261"/>
    </row>
    <row r="429" spans="1:25" x14ac:dyDescent="0.2">
      <c r="C429" s="263"/>
    </row>
    <row r="430" spans="1:25" ht="15" x14ac:dyDescent="0.25">
      <c r="A430" s="265" t="str">
        <f>"Industry 17 : "&amp; name!B20</f>
        <v>Industry 17 : Support services</v>
      </c>
      <c r="B430" s="371">
        <f>$B$5</f>
        <v>2015</v>
      </c>
      <c r="C430" s="371"/>
      <c r="D430" s="371"/>
      <c r="E430" s="371"/>
      <c r="F430" s="320"/>
      <c r="G430" s="371">
        <f>$G$5</f>
        <v>2019</v>
      </c>
      <c r="H430" s="371"/>
      <c r="I430" s="371"/>
      <c r="J430" s="371"/>
      <c r="K430" s="320"/>
      <c r="L430" s="371">
        <f>$L$5</f>
        <v>2020</v>
      </c>
      <c r="M430" s="371"/>
      <c r="N430" s="371"/>
      <c r="O430" s="371"/>
      <c r="P430" s="318"/>
      <c r="Q430" s="371">
        <f>$Q$5</f>
        <v>2025</v>
      </c>
      <c r="R430" s="371"/>
      <c r="S430" s="371"/>
      <c r="T430" s="371"/>
      <c r="U430" s="320"/>
      <c r="V430" s="371">
        <f>$V$5</f>
        <v>2035</v>
      </c>
      <c r="W430" s="371"/>
      <c r="X430" s="371"/>
      <c r="Y430" s="371"/>
    </row>
    <row r="431" spans="1:25" x14ac:dyDescent="0.2">
      <c r="A431" s="264"/>
      <c r="B431" s="268" t="str">
        <f>$B$6</f>
        <v>FT</v>
      </c>
      <c r="C431" s="268" t="str">
        <f>$C$6</f>
        <v>PT</v>
      </c>
      <c r="D431" s="268" t="str">
        <f>$D$6</f>
        <v>SE</v>
      </c>
      <c r="E431" s="268" t="str">
        <f>$E$6</f>
        <v>Total</v>
      </c>
      <c r="F431" s="268"/>
      <c r="G431" s="268" t="str">
        <f>$B$6</f>
        <v>FT</v>
      </c>
      <c r="H431" s="268" t="str">
        <f>$C$6</f>
        <v>PT</v>
      </c>
      <c r="I431" s="268" t="str">
        <f>$D$6</f>
        <v>SE</v>
      </c>
      <c r="J431" s="268" t="str">
        <f>$E$6</f>
        <v>Total</v>
      </c>
      <c r="K431" s="268"/>
      <c r="L431" s="268" t="str">
        <f>$L$6</f>
        <v>FT</v>
      </c>
      <c r="M431" s="268" t="str">
        <f>$M$6</f>
        <v>PT</v>
      </c>
      <c r="N431" s="268" t="str">
        <f>$N$6</f>
        <v>SE</v>
      </c>
      <c r="O431" s="268" t="str">
        <f>$O$6</f>
        <v>Total</v>
      </c>
      <c r="P431" s="268"/>
      <c r="Q431" s="268" t="str">
        <f>$L$6</f>
        <v>FT</v>
      </c>
      <c r="R431" s="268" t="str">
        <f>$M$6</f>
        <v>PT</v>
      </c>
      <c r="S431" s="268" t="str">
        <f>$N$6</f>
        <v>SE</v>
      </c>
      <c r="T431" s="268" t="str">
        <f>$O$6</f>
        <v>Total</v>
      </c>
      <c r="U431" s="268"/>
      <c r="V431" s="268" t="str">
        <f>$V$6</f>
        <v>FT</v>
      </c>
      <c r="W431" s="268" t="str">
        <f>$W$6</f>
        <v>PT</v>
      </c>
      <c r="X431" s="268" t="str">
        <f>$X$6</f>
        <v>SE</v>
      </c>
      <c r="Y431" s="268" t="str">
        <f>$Y$6</f>
        <v>Total</v>
      </c>
    </row>
    <row r="432" spans="1:25" x14ac:dyDescent="0.2">
      <c r="A432" s="262"/>
      <c r="C432" s="319"/>
      <c r="D432" s="319"/>
      <c r="E432" s="319"/>
      <c r="F432" s="319"/>
      <c r="G432" s="319"/>
      <c r="H432" s="319"/>
      <c r="I432" s="319"/>
      <c r="J432" s="319"/>
      <c r="K432" s="319"/>
      <c r="L432" s="319"/>
      <c r="M432" s="319"/>
      <c r="N432" s="319"/>
      <c r="O432" s="319"/>
      <c r="P432" s="319"/>
      <c r="Q432" s="319"/>
      <c r="R432" s="319"/>
      <c r="S432" s="319"/>
      <c r="T432" s="319"/>
      <c r="U432" s="319"/>
      <c r="V432" s="319"/>
      <c r="W432" s="319"/>
      <c r="X432" s="319"/>
      <c r="Y432" s="319"/>
    </row>
    <row r="433" spans="1:25" x14ac:dyDescent="0.2">
      <c r="A433" s="261" t="str">
        <f>name!A61</f>
        <v>Rental and leasing</v>
      </c>
      <c r="C433" s="263"/>
    </row>
    <row r="434" spans="1:25" x14ac:dyDescent="0.2">
      <c r="A434" s="260" t="s">
        <v>356</v>
      </c>
      <c r="B434" s="300">
        <v>0.91399999999379622</v>
      </c>
      <c r="C434" s="300">
        <v>1.4760000000202014</v>
      </c>
      <c r="D434" s="300">
        <v>0.33299999999957436</v>
      </c>
      <c r="E434" s="300">
        <f>SUM(B434:D434)</f>
        <v>2.7230000000135717</v>
      </c>
      <c r="F434" s="300"/>
      <c r="G434" s="300">
        <v>1.4449999999808931</v>
      </c>
      <c r="H434" s="300">
        <v>1.3790000000078142</v>
      </c>
      <c r="I434" s="300">
        <v>0.58900000000730224</v>
      </c>
      <c r="J434" s="300">
        <f>SUM(G434:I434)</f>
        <v>3.4129999999960097</v>
      </c>
      <c r="K434" s="300"/>
      <c r="L434" s="300">
        <v>1.350999999992688</v>
      </c>
      <c r="M434" s="300">
        <v>1.5440000000200595</v>
      </c>
      <c r="N434" s="300">
        <v>0.59399999999281727</v>
      </c>
      <c r="O434" s="300">
        <f>SUM(L434:N434)</f>
        <v>3.4890000000055648</v>
      </c>
      <c r="P434" s="300"/>
      <c r="Q434" s="300">
        <v>1.4650000000314201</v>
      </c>
      <c r="R434" s="300">
        <v>1.613000000030532</v>
      </c>
      <c r="S434" s="300">
        <v>0.62200000000328004</v>
      </c>
      <c r="T434" s="300">
        <f>SUM(Q434:S434)</f>
        <v>3.700000000065232</v>
      </c>
      <c r="U434" s="300"/>
      <c r="V434" s="300">
        <v>1.5949999999912154</v>
      </c>
      <c r="W434" s="300">
        <v>1.6589999999949703</v>
      </c>
      <c r="X434" s="300">
        <v>0.66800000000300586</v>
      </c>
      <c r="Y434" s="300">
        <f>SUM(V434:X434)</f>
        <v>3.9219999999891915</v>
      </c>
    </row>
    <row r="435" spans="1:25" x14ac:dyDescent="0.2">
      <c r="A435" s="260" t="s">
        <v>355</v>
      </c>
      <c r="B435" s="300">
        <v>6.6369999999793086</v>
      </c>
      <c r="C435" s="300">
        <v>0.90800000000083558</v>
      </c>
      <c r="D435" s="300">
        <v>0.7460000000120266</v>
      </c>
      <c r="E435" s="300">
        <f t="shared" ref="E435:E436" si="1148">SUM(B435:D435)</f>
        <v>8.2909999999921702</v>
      </c>
      <c r="F435" s="300"/>
      <c r="G435" s="300">
        <v>11.040999999980725</v>
      </c>
      <c r="H435" s="300">
        <v>1.0650000000070157</v>
      </c>
      <c r="I435" s="300">
        <v>1.2590000000016395</v>
      </c>
      <c r="J435" s="300">
        <f t="shared" ref="J435:J436" si="1149">SUM(G435:I435)</f>
        <v>13.364999999989381</v>
      </c>
      <c r="K435" s="300"/>
      <c r="L435" s="300">
        <v>10.537999999974421</v>
      </c>
      <c r="M435" s="300">
        <v>1.2600000000011011</v>
      </c>
      <c r="N435" s="300">
        <v>1.2480000000088884</v>
      </c>
      <c r="O435" s="300">
        <f t="shared" ref="O435:O436" si="1150">SUM(L435:N435)</f>
        <v>13.04599999998441</v>
      </c>
      <c r="P435" s="300"/>
      <c r="Q435" s="300">
        <v>11.2220000000005</v>
      </c>
      <c r="R435" s="300">
        <v>1.3390000000045403</v>
      </c>
      <c r="S435" s="300">
        <v>1.3080000000332748</v>
      </c>
      <c r="T435" s="300">
        <f t="shared" ref="T435:T436" si="1151">SUM(Q435:S435)</f>
        <v>13.869000000038316</v>
      </c>
      <c r="U435" s="300"/>
      <c r="V435" s="300">
        <v>11.948999999981023</v>
      </c>
      <c r="W435" s="300">
        <v>1.4130000000040854</v>
      </c>
      <c r="X435" s="300">
        <v>1.3970000000213738</v>
      </c>
      <c r="Y435" s="300">
        <f t="shared" ref="Y435:Y436" si="1152">SUM(V435:X435)</f>
        <v>14.759000000006482</v>
      </c>
    </row>
    <row r="436" spans="1:25" x14ac:dyDescent="0.2">
      <c r="A436" s="260" t="s">
        <v>354</v>
      </c>
      <c r="B436" s="300">
        <f>SUM(B434:B435)</f>
        <v>7.5509999999731043</v>
      </c>
      <c r="C436" s="300">
        <f t="shared" ref="C436" si="1153">SUM(C434:C435)</f>
        <v>2.3840000000210368</v>
      </c>
      <c r="D436" s="300">
        <f t="shared" ref="D436" si="1154">SUM(D434:D435)</f>
        <v>1.0790000000116009</v>
      </c>
      <c r="E436" s="300">
        <f t="shared" si="1148"/>
        <v>11.014000000005741</v>
      </c>
      <c r="F436" s="300"/>
      <c r="G436" s="300">
        <f>SUM(G434:G435)</f>
        <v>12.485999999961619</v>
      </c>
      <c r="H436" s="300">
        <f t="shared" ref="H436" si="1155">SUM(H434:H435)</f>
        <v>2.4440000000148299</v>
      </c>
      <c r="I436" s="300">
        <f t="shared" ref="I436" si="1156">SUM(I434:I435)</f>
        <v>1.8480000000089416</v>
      </c>
      <c r="J436" s="300">
        <f t="shared" si="1149"/>
        <v>16.77799999998539</v>
      </c>
      <c r="K436" s="300"/>
      <c r="L436" s="300">
        <f>SUM(L434:L435)</f>
        <v>11.888999999967108</v>
      </c>
      <c r="M436" s="300">
        <f t="shared" ref="M436" si="1157">SUM(M434:M435)</f>
        <v>2.8040000000211607</v>
      </c>
      <c r="N436" s="300">
        <f t="shared" ref="N436" si="1158">SUM(N434:N435)</f>
        <v>1.8420000000017058</v>
      </c>
      <c r="O436" s="300">
        <f t="shared" si="1150"/>
        <v>16.534999999989974</v>
      </c>
      <c r="P436" s="300"/>
      <c r="Q436" s="300">
        <f>SUM(Q434:Q435)</f>
        <v>12.687000000031921</v>
      </c>
      <c r="R436" s="300">
        <f t="shared" ref="R436" si="1159">SUM(R434:R435)</f>
        <v>2.9520000000350723</v>
      </c>
      <c r="S436" s="300">
        <f t="shared" ref="S436" si="1160">SUM(S434:S435)</f>
        <v>1.9300000000365549</v>
      </c>
      <c r="T436" s="300">
        <f t="shared" si="1151"/>
        <v>17.569000000103546</v>
      </c>
      <c r="U436" s="300"/>
      <c r="V436" s="300">
        <f>SUM(V434:V435)</f>
        <v>13.543999999972238</v>
      </c>
      <c r="W436" s="300">
        <f t="shared" ref="W436" si="1161">SUM(W434:W435)</f>
        <v>3.0719999999990559</v>
      </c>
      <c r="X436" s="300">
        <f t="shared" ref="X436" si="1162">SUM(X434:X435)</f>
        <v>2.0650000000243796</v>
      </c>
      <c r="Y436" s="300">
        <f t="shared" si="1152"/>
        <v>18.680999999995674</v>
      </c>
    </row>
    <row r="437" spans="1:25" x14ac:dyDescent="0.2">
      <c r="C437" s="319"/>
      <c r="D437" s="319"/>
      <c r="E437" s="319"/>
      <c r="F437" s="319"/>
      <c r="G437" s="319"/>
      <c r="H437" s="319"/>
      <c r="I437" s="319"/>
      <c r="J437" s="319"/>
      <c r="K437" s="319"/>
      <c r="L437" s="319"/>
      <c r="M437" s="319"/>
      <c r="N437" s="319"/>
      <c r="O437" s="319"/>
      <c r="P437" s="319"/>
      <c r="Q437" s="319"/>
      <c r="R437" s="319"/>
      <c r="S437" s="319"/>
      <c r="T437" s="319"/>
      <c r="U437" s="319"/>
      <c r="V437" s="319"/>
      <c r="W437" s="319"/>
      <c r="X437" s="319"/>
      <c r="Y437" s="319"/>
    </row>
    <row r="438" spans="1:25" x14ac:dyDescent="0.2">
      <c r="A438" s="261" t="str">
        <f>name!A62</f>
        <v>Employment activities</v>
      </c>
      <c r="C438" s="263"/>
    </row>
    <row r="439" spans="1:25" x14ac:dyDescent="0.2">
      <c r="A439" s="260" t="s">
        <v>356</v>
      </c>
      <c r="B439" s="300">
        <v>25.931000000049714</v>
      </c>
      <c r="C439" s="300">
        <v>12.176000000237932</v>
      </c>
      <c r="D439" s="300">
        <v>5.0810000000447122</v>
      </c>
      <c r="E439" s="300">
        <f>SUM(B439:D439)</f>
        <v>43.188000000332359</v>
      </c>
      <c r="F439" s="300"/>
      <c r="G439" s="300">
        <v>19.361999999738654</v>
      </c>
      <c r="H439" s="300">
        <v>8.1789999999731755</v>
      </c>
      <c r="I439" s="300">
        <v>4.6630000000953435</v>
      </c>
      <c r="J439" s="300">
        <f>SUM(G439:I439)</f>
        <v>32.203999999807174</v>
      </c>
      <c r="K439" s="300"/>
      <c r="L439" s="300">
        <v>18.108000000014474</v>
      </c>
      <c r="M439" s="300">
        <v>9.1580000001259094</v>
      </c>
      <c r="N439" s="300">
        <v>4.706999999899371</v>
      </c>
      <c r="O439" s="300">
        <f>SUM(L439:N439)</f>
        <v>31.973000000039754</v>
      </c>
      <c r="P439" s="300"/>
      <c r="Q439" s="300">
        <v>19.629000000237355</v>
      </c>
      <c r="R439" s="300">
        <v>9.5690000000189865</v>
      </c>
      <c r="S439" s="300">
        <v>4.9290000000140211</v>
      </c>
      <c r="T439" s="300">
        <f>SUM(Q439:S439)</f>
        <v>34.127000000270364</v>
      </c>
      <c r="U439" s="300"/>
      <c r="V439" s="300">
        <v>21.366999999803078</v>
      </c>
      <c r="W439" s="300">
        <v>9.8409999999649767</v>
      </c>
      <c r="X439" s="300">
        <v>5.2960000000094141</v>
      </c>
      <c r="Y439" s="300">
        <f>SUM(V439:X439)</f>
        <v>36.50399999977747</v>
      </c>
    </row>
    <row r="440" spans="1:25" x14ac:dyDescent="0.2">
      <c r="A440" s="260" t="s">
        <v>355</v>
      </c>
      <c r="B440" s="300">
        <v>46.418999999720455</v>
      </c>
      <c r="C440" s="300">
        <v>18.009999999978778</v>
      </c>
      <c r="D440" s="300">
        <v>5.8890000001214302</v>
      </c>
      <c r="E440" s="300">
        <f t="shared" ref="E440:E441" si="1163">SUM(B440:D440)</f>
        <v>70.317999999820657</v>
      </c>
      <c r="F440" s="300"/>
      <c r="G440" s="300">
        <v>36.478000000024863</v>
      </c>
      <c r="H440" s="300">
        <v>15.190000000145098</v>
      </c>
      <c r="I440" s="300">
        <v>5.160000000019938</v>
      </c>
      <c r="J440" s="300">
        <f t="shared" ref="J440:J441" si="1164">SUM(G440:I440)</f>
        <v>56.828000000189903</v>
      </c>
      <c r="K440" s="300"/>
      <c r="L440" s="300">
        <v>34.816000000097752</v>
      </c>
      <c r="M440" s="300">
        <v>17.980000000107733</v>
      </c>
      <c r="N440" s="300">
        <v>5.1150000000486733</v>
      </c>
      <c r="O440" s="300">
        <f t="shared" ref="O440:O441" si="1165">SUM(L440:N440)</f>
        <v>57.911000000254155</v>
      </c>
      <c r="P440" s="300"/>
      <c r="Q440" s="300">
        <v>37.075000000124483</v>
      </c>
      <c r="R440" s="300">
        <v>19.107000000101252</v>
      </c>
      <c r="S440" s="300">
        <v>5.3620000001691945</v>
      </c>
      <c r="T440" s="300">
        <f t="shared" ref="T440:T441" si="1166">SUM(Q440:S440)</f>
        <v>61.544000000394931</v>
      </c>
      <c r="U440" s="300"/>
      <c r="V440" s="300">
        <v>39.478000000068349</v>
      </c>
      <c r="W440" s="300">
        <v>20.159000000102207</v>
      </c>
      <c r="X440" s="300">
        <v>5.7270000001158632</v>
      </c>
      <c r="Y440" s="300">
        <f t="shared" ref="Y440:Y441" si="1167">SUM(V440:X440)</f>
        <v>65.364000000286424</v>
      </c>
    </row>
    <row r="441" spans="1:25" x14ac:dyDescent="0.2">
      <c r="A441" s="260" t="s">
        <v>354</v>
      </c>
      <c r="B441" s="300">
        <f>SUM(B439:B440)</f>
        <v>72.349999999770176</v>
      </c>
      <c r="C441" s="300">
        <f t="shared" ref="C441" si="1168">SUM(C439:C440)</f>
        <v>30.186000000216708</v>
      </c>
      <c r="D441" s="300">
        <f t="shared" ref="D441" si="1169">SUM(D439:D440)</f>
        <v>10.970000000166142</v>
      </c>
      <c r="E441" s="300">
        <f t="shared" si="1163"/>
        <v>113.50600000015302</v>
      </c>
      <c r="F441" s="300"/>
      <c r="G441" s="300">
        <f>SUM(G439:G440)</f>
        <v>55.839999999763521</v>
      </c>
      <c r="H441" s="300">
        <f t="shared" ref="H441" si="1170">SUM(H439:H440)</f>
        <v>23.369000000118273</v>
      </c>
      <c r="I441" s="300">
        <f t="shared" ref="I441" si="1171">SUM(I439:I440)</f>
        <v>9.8230000001152824</v>
      </c>
      <c r="J441" s="300">
        <f t="shared" si="1164"/>
        <v>89.031999999997083</v>
      </c>
      <c r="K441" s="300"/>
      <c r="L441" s="300">
        <f>SUM(L439:L440)</f>
        <v>52.92400000011223</v>
      </c>
      <c r="M441" s="300">
        <f t="shared" ref="M441" si="1172">SUM(M439:M440)</f>
        <v>27.138000000233642</v>
      </c>
      <c r="N441" s="300">
        <f t="shared" ref="N441" si="1173">SUM(N439:N440)</f>
        <v>9.8219999999480443</v>
      </c>
      <c r="O441" s="300">
        <f t="shared" si="1165"/>
        <v>89.884000000293923</v>
      </c>
      <c r="P441" s="300"/>
      <c r="Q441" s="300">
        <f>SUM(Q439:Q440)</f>
        <v>56.704000000361837</v>
      </c>
      <c r="R441" s="300">
        <f t="shared" ref="R441" si="1174">SUM(R439:R440)</f>
        <v>28.67600000012024</v>
      </c>
      <c r="S441" s="300">
        <f t="shared" ref="S441" si="1175">SUM(S439:S440)</f>
        <v>10.291000000183216</v>
      </c>
      <c r="T441" s="300">
        <f t="shared" si="1166"/>
        <v>95.671000000665302</v>
      </c>
      <c r="U441" s="300"/>
      <c r="V441" s="300">
        <f>SUM(V439:V440)</f>
        <v>60.844999999871426</v>
      </c>
      <c r="W441" s="300">
        <f t="shared" ref="W441" si="1176">SUM(W439:W440)</f>
        <v>30.000000000067182</v>
      </c>
      <c r="X441" s="300">
        <f t="shared" ref="X441" si="1177">SUM(X439:X440)</f>
        <v>11.023000000125277</v>
      </c>
      <c r="Y441" s="300">
        <f t="shared" si="1167"/>
        <v>101.86800000006389</v>
      </c>
    </row>
    <row r="442" spans="1:25" x14ac:dyDescent="0.2">
      <c r="C442" s="319"/>
      <c r="D442" s="319"/>
      <c r="E442" s="319"/>
      <c r="F442" s="319"/>
      <c r="G442" s="319"/>
      <c r="H442" s="319"/>
      <c r="I442" s="319"/>
      <c r="J442" s="319"/>
      <c r="K442" s="319"/>
      <c r="L442" s="319"/>
      <c r="M442" s="319"/>
      <c r="N442" s="319"/>
      <c r="O442" s="319"/>
      <c r="P442" s="319"/>
      <c r="Q442" s="319"/>
      <c r="R442" s="319"/>
      <c r="S442" s="319"/>
      <c r="T442" s="319"/>
      <c r="U442" s="319"/>
      <c r="V442" s="319"/>
      <c r="W442" s="319"/>
      <c r="X442" s="319"/>
      <c r="Y442" s="319"/>
    </row>
    <row r="443" spans="1:25" x14ac:dyDescent="0.2">
      <c r="A443" s="261" t="str">
        <f>name!A63</f>
        <v>Travel, etc</v>
      </c>
      <c r="C443" s="263"/>
    </row>
    <row r="444" spans="1:25" x14ac:dyDescent="0.2">
      <c r="A444" s="260" t="s">
        <v>356</v>
      </c>
      <c r="B444" s="300">
        <v>0.96500000000314334</v>
      </c>
      <c r="C444" s="300">
        <v>0.71800000001811393</v>
      </c>
      <c r="D444" s="300">
        <v>0.48900000000631272</v>
      </c>
      <c r="E444" s="300">
        <f>SUM(B444:D444)</f>
        <v>2.1720000000275701</v>
      </c>
      <c r="F444" s="300"/>
      <c r="G444" s="300">
        <v>0.45499999998882795</v>
      </c>
      <c r="H444" s="300">
        <v>0.49900000000013384</v>
      </c>
      <c r="I444" s="300">
        <v>0.3460000000086183</v>
      </c>
      <c r="J444" s="300">
        <f>SUM(G444:I444)</f>
        <v>1.29999999999758</v>
      </c>
      <c r="K444" s="300"/>
      <c r="L444" s="300">
        <v>0.42600000000040644</v>
      </c>
      <c r="M444" s="300">
        <v>0.5590000000125801</v>
      </c>
      <c r="N444" s="300">
        <v>0.34999999999025427</v>
      </c>
      <c r="O444" s="300">
        <f>SUM(L444:N444)</f>
        <v>1.3350000000032409</v>
      </c>
      <c r="P444" s="300"/>
      <c r="Q444" s="300">
        <v>0.46100000000999597</v>
      </c>
      <c r="R444" s="300">
        <v>0.58400000000897423</v>
      </c>
      <c r="S444" s="300">
        <v>0.36600000000048971</v>
      </c>
      <c r="T444" s="300">
        <f>SUM(Q444:S444)</f>
        <v>1.4110000000194598</v>
      </c>
      <c r="U444" s="300"/>
      <c r="V444" s="300">
        <v>0.50199999999107003</v>
      </c>
      <c r="W444" s="300">
        <v>0.60099999999319498</v>
      </c>
      <c r="X444" s="300">
        <v>0.39400000000094787</v>
      </c>
      <c r="Y444" s="300">
        <f>SUM(V444:X444)</f>
        <v>1.4969999999852128</v>
      </c>
    </row>
    <row r="445" spans="1:25" x14ac:dyDescent="0.2">
      <c r="A445" s="260" t="s">
        <v>355</v>
      </c>
      <c r="B445" s="300">
        <v>3.257999999961275</v>
      </c>
      <c r="C445" s="300">
        <v>0.64600000000639168</v>
      </c>
      <c r="D445" s="300">
        <v>0.15500000000187542</v>
      </c>
      <c r="E445" s="300">
        <f t="shared" ref="E445:E446" si="1178">SUM(B445:D445)</f>
        <v>4.0589999999695419</v>
      </c>
      <c r="F445" s="300"/>
      <c r="G445" s="300">
        <v>1.6160000000030004</v>
      </c>
      <c r="H445" s="300">
        <v>0.56300000000339956</v>
      </c>
      <c r="I445" s="300">
        <v>0.1049999999998182</v>
      </c>
      <c r="J445" s="300">
        <f t="shared" ref="J445:J446" si="1179">SUM(G445:I445)</f>
        <v>2.2840000000062184</v>
      </c>
      <c r="K445" s="300"/>
      <c r="L445" s="300">
        <v>1.5430000000104689</v>
      </c>
      <c r="M445" s="300">
        <v>0.66699999999170112</v>
      </c>
      <c r="N445" s="300">
        <v>0.10400000000165421</v>
      </c>
      <c r="O445" s="300">
        <f t="shared" ref="O445:O446" si="1180">SUM(L445:N445)</f>
        <v>2.3140000000038241</v>
      </c>
      <c r="P445" s="300"/>
      <c r="Q445" s="300">
        <v>1.6430000000132703</v>
      </c>
      <c r="R445" s="300">
        <v>0.70899999999766405</v>
      </c>
      <c r="S445" s="300">
        <v>0.10900000000399904</v>
      </c>
      <c r="T445" s="300">
        <f t="shared" ref="T445:T446" si="1181">SUM(Q445:S445)</f>
        <v>2.4610000000149332</v>
      </c>
      <c r="U445" s="300"/>
      <c r="V445" s="300">
        <v>1.7490000000129267</v>
      </c>
      <c r="W445" s="300">
        <v>0.74799999999845501</v>
      </c>
      <c r="X445" s="300">
        <v>0.1160000000029678</v>
      </c>
      <c r="Y445" s="300">
        <f t="shared" ref="Y445:Y446" si="1182">SUM(V445:X445)</f>
        <v>2.6130000000143498</v>
      </c>
    </row>
    <row r="446" spans="1:25" x14ac:dyDescent="0.2">
      <c r="A446" s="260" t="s">
        <v>354</v>
      </c>
      <c r="B446" s="300">
        <f>SUM(B444:B445)</f>
        <v>4.2229999999644185</v>
      </c>
      <c r="C446" s="300">
        <f t="shared" ref="C446" si="1183">SUM(C444:C445)</f>
        <v>1.3640000000245056</v>
      </c>
      <c r="D446" s="300">
        <f t="shared" ref="D446" si="1184">SUM(D444:D445)</f>
        <v>0.64400000000818813</v>
      </c>
      <c r="E446" s="300">
        <f t="shared" si="1178"/>
        <v>6.2309999999971124</v>
      </c>
      <c r="F446" s="300"/>
      <c r="G446" s="300">
        <f>SUM(G444:G445)</f>
        <v>2.0709999999918285</v>
      </c>
      <c r="H446" s="300">
        <f t="shared" ref="H446" si="1185">SUM(H444:H445)</f>
        <v>1.0620000000035335</v>
      </c>
      <c r="I446" s="300">
        <f t="shared" ref="I446" si="1186">SUM(I444:I445)</f>
        <v>0.45100000000843649</v>
      </c>
      <c r="J446" s="300">
        <f t="shared" si="1179"/>
        <v>3.5840000000037984</v>
      </c>
      <c r="K446" s="300"/>
      <c r="L446" s="300">
        <f>SUM(L444:L445)</f>
        <v>1.9690000000108754</v>
      </c>
      <c r="M446" s="300">
        <f t="shared" ref="M446" si="1187">SUM(M444:M445)</f>
        <v>1.2260000000042812</v>
      </c>
      <c r="N446" s="300">
        <f t="shared" ref="N446" si="1188">SUM(N444:N445)</f>
        <v>0.45399999999190849</v>
      </c>
      <c r="O446" s="300">
        <f t="shared" si="1180"/>
        <v>3.649000000007065</v>
      </c>
      <c r="P446" s="300"/>
      <c r="Q446" s="300">
        <f>SUM(Q444:Q445)</f>
        <v>2.1040000000232664</v>
      </c>
      <c r="R446" s="300">
        <f t="shared" ref="R446" si="1189">SUM(R444:R445)</f>
        <v>1.2930000000066384</v>
      </c>
      <c r="S446" s="300">
        <f t="shared" ref="S446" si="1190">SUM(S444:S445)</f>
        <v>0.47500000000448872</v>
      </c>
      <c r="T446" s="300">
        <f t="shared" si="1181"/>
        <v>3.8720000000343937</v>
      </c>
      <c r="U446" s="300"/>
      <c r="V446" s="300">
        <f>SUM(V444:V445)</f>
        <v>2.2510000000039967</v>
      </c>
      <c r="W446" s="300">
        <f t="shared" ref="W446" si="1191">SUM(W444:W445)</f>
        <v>1.34899999999165</v>
      </c>
      <c r="X446" s="300">
        <f t="shared" ref="X446" si="1192">SUM(X444:X445)</f>
        <v>0.51000000000391565</v>
      </c>
      <c r="Y446" s="300">
        <f t="shared" si="1182"/>
        <v>4.1099999999995624</v>
      </c>
    </row>
    <row r="447" spans="1:25" x14ac:dyDescent="0.2">
      <c r="C447" s="319"/>
      <c r="D447" s="319"/>
      <c r="E447" s="319"/>
      <c r="F447" s="319"/>
      <c r="G447" s="319"/>
      <c r="H447" s="319"/>
      <c r="I447" s="319"/>
      <c r="J447" s="319"/>
      <c r="K447" s="319"/>
      <c r="L447" s="319"/>
      <c r="M447" s="319"/>
      <c r="N447" s="319"/>
      <c r="O447" s="319"/>
      <c r="P447" s="319"/>
      <c r="Q447" s="319"/>
      <c r="R447" s="319"/>
      <c r="S447" s="319"/>
      <c r="T447" s="319"/>
      <c r="U447" s="319"/>
      <c r="V447" s="319"/>
      <c r="W447" s="319"/>
      <c r="X447" s="319"/>
      <c r="Y447" s="319"/>
    </row>
    <row r="448" spans="1:25" x14ac:dyDescent="0.2">
      <c r="A448" s="261" t="str">
        <f>name!A64</f>
        <v>Security, etc</v>
      </c>
      <c r="C448" s="263"/>
    </row>
    <row r="449" spans="1:25" x14ac:dyDescent="0.2">
      <c r="A449" s="260" t="s">
        <v>356</v>
      </c>
      <c r="B449" s="300">
        <v>1.7660000000044787</v>
      </c>
      <c r="C449" s="300">
        <v>2.1430000000440428</v>
      </c>
      <c r="D449" s="300">
        <v>0.1610000000019049</v>
      </c>
      <c r="E449" s="300">
        <f>SUM(B449:D449)</f>
        <v>4.0700000000504266</v>
      </c>
      <c r="F449" s="300"/>
      <c r="G449" s="300">
        <v>3.043999999957526</v>
      </c>
      <c r="H449" s="300">
        <v>1.2739999999952651</v>
      </c>
      <c r="I449" s="300">
        <v>0.25500000000467277</v>
      </c>
      <c r="J449" s="300">
        <f>SUM(G449:I449)</f>
        <v>4.5729999999574638</v>
      </c>
      <c r="K449" s="300"/>
      <c r="L449" s="300">
        <v>2.8470000000039821</v>
      </c>
      <c r="M449" s="300">
        <v>1.4270000000210177</v>
      </c>
      <c r="N449" s="300">
        <v>0.25699999999528689</v>
      </c>
      <c r="O449" s="300">
        <f>SUM(L449:N449)</f>
        <v>4.5310000000202866</v>
      </c>
      <c r="P449" s="300"/>
      <c r="Q449" s="300">
        <v>3.0860000000357677</v>
      </c>
      <c r="R449" s="300">
        <v>1.4910000000025529</v>
      </c>
      <c r="S449" s="300">
        <v>0.26900000000051327</v>
      </c>
      <c r="T449" s="300">
        <f>SUM(Q449:S449)</f>
        <v>4.8460000000388339</v>
      </c>
      <c r="U449" s="300"/>
      <c r="V449" s="300">
        <v>3.3599999999661656</v>
      </c>
      <c r="W449" s="300">
        <v>1.5329999999942667</v>
      </c>
      <c r="X449" s="300">
        <v>0.2890000000002102</v>
      </c>
      <c r="Y449" s="300">
        <f>SUM(V449:X449)</f>
        <v>5.1819999999606425</v>
      </c>
    </row>
    <row r="450" spans="1:25" x14ac:dyDescent="0.2">
      <c r="A450" s="260" t="s">
        <v>355</v>
      </c>
      <c r="B450" s="300">
        <v>3.4439999999788924</v>
      </c>
      <c r="C450" s="300">
        <v>2.2159999999975462</v>
      </c>
      <c r="D450" s="300">
        <v>0.7950000000147287</v>
      </c>
      <c r="E450" s="300">
        <f t="shared" ref="E450:E451" si="1193">SUM(B450:D450)</f>
        <v>6.4549999999911671</v>
      </c>
      <c r="F450" s="300"/>
      <c r="G450" s="300">
        <v>6.250000000004543</v>
      </c>
      <c r="H450" s="300">
        <v>1.6540000000164938</v>
      </c>
      <c r="I450" s="300">
        <v>1.1980000000052553</v>
      </c>
      <c r="J450" s="300">
        <f t="shared" ref="J450:J451" si="1194">SUM(G450:I450)</f>
        <v>9.1020000000262922</v>
      </c>
      <c r="K450" s="300"/>
      <c r="L450" s="300">
        <v>5.9650000000173486</v>
      </c>
      <c r="M450" s="300">
        <v>1.958000000011858</v>
      </c>
      <c r="N450" s="300">
        <v>1.1880000000113751</v>
      </c>
      <c r="O450" s="300">
        <f t="shared" ref="O450:O451" si="1195">SUM(L450:N450)</f>
        <v>9.1110000000405815</v>
      </c>
      <c r="P450" s="300"/>
      <c r="Q450" s="300">
        <v>6.3520000000216479</v>
      </c>
      <c r="R450" s="300">
        <v>2.0810000000112105</v>
      </c>
      <c r="S450" s="300">
        <v>1.2450000000381083</v>
      </c>
      <c r="T450" s="300">
        <f t="shared" ref="T450:T451" si="1196">SUM(Q450:S450)</f>
        <v>9.6780000000709663</v>
      </c>
      <c r="U450" s="300"/>
      <c r="V450" s="300">
        <v>6.7640000000117881</v>
      </c>
      <c r="W450" s="300">
        <v>2.1960000000116708</v>
      </c>
      <c r="X450" s="300">
        <v>1.3300000000267505</v>
      </c>
      <c r="Y450" s="300">
        <f t="shared" ref="Y450:Y451" si="1197">SUM(V450:X450)</f>
        <v>10.29000000005021</v>
      </c>
    </row>
    <row r="451" spans="1:25" x14ac:dyDescent="0.2">
      <c r="A451" s="260" t="s">
        <v>354</v>
      </c>
      <c r="B451" s="300">
        <f>SUM(B449:B450)</f>
        <v>5.2099999999833706</v>
      </c>
      <c r="C451" s="300">
        <f t="shared" ref="C451" si="1198">SUM(C449:C450)</f>
        <v>4.3590000000415889</v>
      </c>
      <c r="D451" s="300">
        <f t="shared" ref="D451" si="1199">SUM(D449:D450)</f>
        <v>0.95600000001663354</v>
      </c>
      <c r="E451" s="300">
        <f t="shared" si="1193"/>
        <v>10.525000000041594</v>
      </c>
      <c r="F451" s="300"/>
      <c r="G451" s="300">
        <f>SUM(G449:G450)</f>
        <v>9.2939999999620682</v>
      </c>
      <c r="H451" s="300">
        <f t="shared" ref="H451" si="1200">SUM(H449:H450)</f>
        <v>2.928000000011759</v>
      </c>
      <c r="I451" s="300">
        <f t="shared" ref="I451" si="1201">SUM(I449:I450)</f>
        <v>1.4530000000099281</v>
      </c>
      <c r="J451" s="300">
        <f t="shared" si="1194"/>
        <v>13.674999999983754</v>
      </c>
      <c r="K451" s="300"/>
      <c r="L451" s="300">
        <f>SUM(L449:L450)</f>
        <v>8.8120000000213317</v>
      </c>
      <c r="M451" s="300">
        <f t="shared" ref="M451" si="1202">SUM(M449:M450)</f>
        <v>3.3850000000328757</v>
      </c>
      <c r="N451" s="300">
        <f t="shared" ref="N451" si="1203">SUM(N449:N450)</f>
        <v>1.4450000000066621</v>
      </c>
      <c r="O451" s="300">
        <f t="shared" si="1195"/>
        <v>13.642000000060868</v>
      </c>
      <c r="P451" s="300"/>
      <c r="Q451" s="300">
        <f>SUM(Q449:Q450)</f>
        <v>9.438000000057416</v>
      </c>
      <c r="R451" s="300">
        <f t="shared" ref="R451" si="1204">SUM(R449:R450)</f>
        <v>3.5720000000137633</v>
      </c>
      <c r="S451" s="300">
        <f t="shared" ref="S451" si="1205">SUM(S449:S450)</f>
        <v>1.5140000000386216</v>
      </c>
      <c r="T451" s="300">
        <f t="shared" si="1196"/>
        <v>14.524000000109801</v>
      </c>
      <c r="U451" s="300"/>
      <c r="V451" s="300">
        <f>SUM(V449:V450)</f>
        <v>10.123999999977954</v>
      </c>
      <c r="W451" s="300">
        <f t="shared" ref="W451" si="1206">SUM(W449:W450)</f>
        <v>3.7290000000059376</v>
      </c>
      <c r="X451" s="300">
        <f t="shared" ref="X451" si="1207">SUM(X449:X450)</f>
        <v>1.6190000000269607</v>
      </c>
      <c r="Y451" s="300">
        <f t="shared" si="1197"/>
        <v>15.472000000010853</v>
      </c>
    </row>
    <row r="452" spans="1:25" x14ac:dyDescent="0.2">
      <c r="C452" s="319"/>
      <c r="D452" s="319"/>
      <c r="E452" s="319"/>
      <c r="F452" s="319"/>
      <c r="G452" s="319"/>
      <c r="H452" s="319"/>
      <c r="I452" s="319"/>
      <c r="J452" s="319"/>
      <c r="K452" s="319"/>
      <c r="L452" s="319"/>
      <c r="M452" s="319"/>
      <c r="N452" s="319"/>
      <c r="O452" s="319"/>
      <c r="P452" s="319"/>
      <c r="Q452" s="319"/>
      <c r="R452" s="319"/>
      <c r="S452" s="319"/>
      <c r="T452" s="319"/>
      <c r="U452" s="319"/>
      <c r="V452" s="319"/>
      <c r="W452" s="319"/>
      <c r="X452" s="319"/>
      <c r="Y452" s="319"/>
    </row>
    <row r="453" spans="1:25" x14ac:dyDescent="0.2">
      <c r="A453" s="261" t="str">
        <f>name!A65</f>
        <v>Services to buildings</v>
      </c>
      <c r="C453" s="263"/>
    </row>
    <row r="454" spans="1:25" x14ac:dyDescent="0.2">
      <c r="A454" s="260" t="s">
        <v>356</v>
      </c>
      <c r="B454" s="300">
        <v>12.624000000021351</v>
      </c>
      <c r="C454" s="300">
        <v>18.100000000294507</v>
      </c>
      <c r="D454" s="300">
        <v>2.1860000000149644</v>
      </c>
      <c r="E454" s="300">
        <f>SUM(B454:D454)</f>
        <v>32.910000000330825</v>
      </c>
      <c r="F454" s="300"/>
      <c r="G454" s="300">
        <v>11.20199999987166</v>
      </c>
      <c r="H454" s="300">
        <v>15.620999999936794</v>
      </c>
      <c r="I454" s="300">
        <v>2.5390000000478086</v>
      </c>
      <c r="J454" s="300">
        <f>SUM(G454:I454)</f>
        <v>29.361999999856259</v>
      </c>
      <c r="K454" s="300"/>
      <c r="L454" s="300">
        <v>10.476000000014746</v>
      </c>
      <c r="M454" s="300">
        <v>17.490000000192733</v>
      </c>
      <c r="N454" s="300">
        <v>2.5629999999480542</v>
      </c>
      <c r="O454" s="300">
        <f>SUM(L454:N454)</f>
        <v>30.529000000155534</v>
      </c>
      <c r="P454" s="300"/>
      <c r="Q454" s="300">
        <v>11.356000000094811</v>
      </c>
      <c r="R454" s="300">
        <v>18.274999999987809</v>
      </c>
      <c r="S454" s="300">
        <v>2.684000000007889</v>
      </c>
      <c r="T454" s="300">
        <f>SUM(Q454:S454)</f>
        <v>32.315000000090514</v>
      </c>
      <c r="U454" s="300"/>
      <c r="V454" s="300">
        <v>12.361999999896678</v>
      </c>
      <c r="W454" s="300">
        <v>18.793999999960715</v>
      </c>
      <c r="X454" s="300">
        <v>2.8840000000076471</v>
      </c>
      <c r="Y454" s="300">
        <f>SUM(V454:X454)</f>
        <v>34.039999999865039</v>
      </c>
    </row>
    <row r="455" spans="1:25" x14ac:dyDescent="0.2">
      <c r="A455" s="260" t="s">
        <v>355</v>
      </c>
      <c r="B455" s="300">
        <v>8.5889999999548454</v>
      </c>
      <c r="C455" s="300">
        <v>2.3189999999976267</v>
      </c>
      <c r="D455" s="300">
        <v>1.4040000000249697</v>
      </c>
      <c r="E455" s="300">
        <f t="shared" ref="E455:E456" si="1208">SUM(B455:D455)</f>
        <v>12.311999999977443</v>
      </c>
      <c r="F455" s="300"/>
      <c r="G455" s="300">
        <v>8.0210000000022035</v>
      </c>
      <c r="H455" s="300">
        <v>2.5130000000238009</v>
      </c>
      <c r="I455" s="300">
        <v>1.557000000006906</v>
      </c>
      <c r="J455" s="300">
        <f t="shared" ref="J455:J456" si="1209">SUM(G455:I455)</f>
        <v>12.09100000003291</v>
      </c>
      <c r="K455" s="300"/>
      <c r="L455" s="300">
        <v>7.6560000000144148</v>
      </c>
      <c r="M455" s="300">
        <v>2.9750000000170953</v>
      </c>
      <c r="N455" s="300">
        <v>1.5430000000136561</v>
      </c>
      <c r="O455" s="300">
        <f t="shared" ref="O455:O456" si="1210">SUM(L455:N455)</f>
        <v>12.174000000045165</v>
      </c>
      <c r="P455" s="300"/>
      <c r="Q455" s="300">
        <v>8.1530000000222085</v>
      </c>
      <c r="R455" s="300">
        <v>3.1610000000163718</v>
      </c>
      <c r="S455" s="300">
        <v>1.6180000000481822</v>
      </c>
      <c r="T455" s="300">
        <f t="shared" ref="T455:T456" si="1211">SUM(Q455:S455)</f>
        <v>12.932000000086763</v>
      </c>
      <c r="U455" s="300"/>
      <c r="V455" s="300">
        <v>8.6810000000095258</v>
      </c>
      <c r="W455" s="300">
        <v>3.3360000000171075</v>
      </c>
      <c r="X455" s="300">
        <v>1.728000000035345</v>
      </c>
      <c r="Y455" s="300">
        <f t="shared" ref="Y455:Y456" si="1212">SUM(V455:X455)</f>
        <v>13.74500000006198</v>
      </c>
    </row>
    <row r="456" spans="1:25" x14ac:dyDescent="0.2">
      <c r="A456" s="260" t="s">
        <v>354</v>
      </c>
      <c r="B456" s="300">
        <f>SUM(B454:B455)</f>
        <v>21.212999999976198</v>
      </c>
      <c r="C456" s="300">
        <f t="shared" ref="C456" si="1213">SUM(C454:C455)</f>
        <v>20.419000000292133</v>
      </c>
      <c r="D456" s="300">
        <f t="shared" ref="D456" si="1214">SUM(D454:D455)</f>
        <v>3.5900000000399341</v>
      </c>
      <c r="E456" s="300">
        <f t="shared" si="1208"/>
        <v>45.22200000030827</v>
      </c>
      <c r="F456" s="300"/>
      <c r="G456" s="300">
        <f>SUM(G454:G455)</f>
        <v>19.222999999873863</v>
      </c>
      <c r="H456" s="300">
        <f t="shared" ref="H456" si="1215">SUM(H454:H455)</f>
        <v>18.133999999960594</v>
      </c>
      <c r="I456" s="300">
        <f t="shared" ref="I456" si="1216">SUM(I454:I455)</f>
        <v>4.0960000000547145</v>
      </c>
      <c r="J456" s="300">
        <f t="shared" si="1209"/>
        <v>41.452999999889172</v>
      </c>
      <c r="K456" s="300"/>
      <c r="L456" s="300">
        <f>SUM(L454:L455)</f>
        <v>18.132000000029162</v>
      </c>
      <c r="M456" s="300">
        <f t="shared" ref="M456" si="1217">SUM(M454:M455)</f>
        <v>20.465000000209827</v>
      </c>
      <c r="N456" s="300">
        <f t="shared" ref="N456" si="1218">SUM(N454:N455)</f>
        <v>4.1059999999617105</v>
      </c>
      <c r="O456" s="300">
        <f t="shared" si="1210"/>
        <v>42.703000000200703</v>
      </c>
      <c r="P456" s="300"/>
      <c r="Q456" s="300">
        <f>SUM(Q454:Q455)</f>
        <v>19.50900000011702</v>
      </c>
      <c r="R456" s="300">
        <f t="shared" ref="R456" si="1219">SUM(R454:R455)</f>
        <v>21.436000000004181</v>
      </c>
      <c r="S456" s="300">
        <f t="shared" ref="S456" si="1220">SUM(S454:S455)</f>
        <v>4.3020000000560712</v>
      </c>
      <c r="T456" s="300">
        <f t="shared" si="1211"/>
        <v>45.247000000177266</v>
      </c>
      <c r="U456" s="300"/>
      <c r="V456" s="300">
        <f>SUM(V454:V455)</f>
        <v>21.042999999906204</v>
      </c>
      <c r="W456" s="300">
        <f t="shared" ref="W456" si="1221">SUM(W454:W455)</f>
        <v>22.129999999977823</v>
      </c>
      <c r="X456" s="300">
        <f t="shared" ref="X456" si="1222">SUM(X454:X455)</f>
        <v>4.6120000000429924</v>
      </c>
      <c r="Y456" s="300">
        <f t="shared" si="1212"/>
        <v>47.784999999927017</v>
      </c>
    </row>
    <row r="457" spans="1:25" x14ac:dyDescent="0.2">
      <c r="C457" s="319"/>
      <c r="D457" s="319"/>
      <c r="E457" s="319"/>
      <c r="F457" s="319"/>
      <c r="G457" s="319"/>
      <c r="H457" s="319"/>
      <c r="I457" s="319"/>
      <c r="J457" s="319"/>
      <c r="K457" s="319"/>
      <c r="L457" s="319"/>
      <c r="M457" s="319"/>
      <c r="N457" s="319"/>
      <c r="O457" s="319"/>
      <c r="P457" s="319"/>
      <c r="Q457" s="319"/>
      <c r="R457" s="319"/>
      <c r="S457" s="319"/>
      <c r="T457" s="319"/>
      <c r="U457" s="319"/>
      <c r="V457" s="319"/>
      <c r="W457" s="319"/>
      <c r="X457" s="319"/>
      <c r="Y457" s="319"/>
    </row>
    <row r="458" spans="1:25" x14ac:dyDescent="0.2">
      <c r="A458" s="261" t="str">
        <f>name!A66</f>
        <v>Office administrative</v>
      </c>
      <c r="C458" s="263"/>
    </row>
    <row r="459" spans="1:25" x14ac:dyDescent="0.2">
      <c r="A459" s="260" t="s">
        <v>356</v>
      </c>
      <c r="B459" s="300">
        <v>5.0640000000128369</v>
      </c>
      <c r="C459" s="300">
        <v>3.6010000000740066</v>
      </c>
      <c r="D459" s="300">
        <v>1.9830000000234624</v>
      </c>
      <c r="E459" s="300">
        <f>SUM(B459:D459)</f>
        <v>10.648000000110306</v>
      </c>
      <c r="F459" s="300"/>
      <c r="G459" s="300">
        <v>4.1119999999426229</v>
      </c>
      <c r="H459" s="300">
        <v>1.6519999999938595</v>
      </c>
      <c r="I459" s="300">
        <v>1.7750000000325277</v>
      </c>
      <c r="J459" s="300">
        <f>SUM(G459:I459)</f>
        <v>7.5389999999690094</v>
      </c>
      <c r="K459" s="300"/>
      <c r="L459" s="300">
        <v>3.8450000000053808</v>
      </c>
      <c r="M459" s="300">
        <v>1.8490000000272302</v>
      </c>
      <c r="N459" s="300">
        <v>1.790999999967154</v>
      </c>
      <c r="O459" s="300">
        <f>SUM(L459:N459)</f>
        <v>7.484999999999765</v>
      </c>
      <c r="P459" s="300"/>
      <c r="Q459" s="300">
        <v>4.1680000000483108</v>
      </c>
      <c r="R459" s="300">
        <v>1.9320000000033073</v>
      </c>
      <c r="S459" s="300">
        <v>1.8760000000035797</v>
      </c>
      <c r="T459" s="300">
        <f>SUM(Q459:S459)</f>
        <v>7.9760000000551976</v>
      </c>
      <c r="U459" s="300"/>
      <c r="V459" s="300">
        <v>4.5369999999543067</v>
      </c>
      <c r="W459" s="300">
        <v>1.9869999999925683</v>
      </c>
      <c r="X459" s="300">
        <v>2.0150000000014652</v>
      </c>
      <c r="Y459" s="300">
        <f>SUM(V459:X459)</f>
        <v>8.5389999999483415</v>
      </c>
    </row>
    <row r="460" spans="1:25" x14ac:dyDescent="0.2">
      <c r="A460" s="260" t="s">
        <v>355</v>
      </c>
      <c r="B460" s="300">
        <v>21.495999999868239</v>
      </c>
      <c r="C460" s="300">
        <v>3.6799999999959261</v>
      </c>
      <c r="D460" s="300">
        <v>1.8950000000351082</v>
      </c>
      <c r="E460" s="300">
        <f t="shared" ref="E460:E461" si="1223">SUM(B460:D460)</f>
        <v>27.070999999899271</v>
      </c>
      <c r="F460" s="300"/>
      <c r="G460" s="300">
        <v>18.368000000013364</v>
      </c>
      <c r="H460" s="300">
        <v>2.1190000000211291</v>
      </c>
      <c r="I460" s="300">
        <v>1.6190000000071032</v>
      </c>
      <c r="J460" s="300">
        <f t="shared" ref="J460:J461" si="1224">SUM(G460:I460)</f>
        <v>22.106000000041593</v>
      </c>
      <c r="K460" s="300"/>
      <c r="L460" s="300">
        <v>17.531000000051002</v>
      </c>
      <c r="M460" s="300">
        <v>2.5080000000151883</v>
      </c>
      <c r="N460" s="300">
        <v>1.6050000000153664</v>
      </c>
      <c r="O460" s="300">
        <f t="shared" ref="O460:O461" si="1225">SUM(L460:N460)</f>
        <v>21.644000000081554</v>
      </c>
      <c r="P460" s="300"/>
      <c r="Q460" s="300">
        <v>18.668000000063632</v>
      </c>
      <c r="R460" s="300">
        <v>2.6650000000143566</v>
      </c>
      <c r="S460" s="300">
        <v>1.6820000000514828</v>
      </c>
      <c r="T460" s="300">
        <f t="shared" ref="T460:T461" si="1226">SUM(Q460:S460)</f>
        <v>23.015000000129469</v>
      </c>
      <c r="U460" s="300"/>
      <c r="V460" s="300">
        <v>19.878000000034646</v>
      </c>
      <c r="W460" s="300">
        <v>2.8120000000149434</v>
      </c>
      <c r="X460" s="300">
        <v>1.7970000000361441</v>
      </c>
      <c r="Y460" s="300">
        <f t="shared" ref="Y460:Y461" si="1227">SUM(V460:X460)</f>
        <v>24.487000000085736</v>
      </c>
    </row>
    <row r="461" spans="1:25" x14ac:dyDescent="0.2">
      <c r="A461" s="260" t="s">
        <v>354</v>
      </c>
      <c r="B461" s="300">
        <f>SUM(B459:B460)</f>
        <v>26.559999999881075</v>
      </c>
      <c r="C461" s="300">
        <f t="shared" ref="C461" si="1228">SUM(C459:C460)</f>
        <v>7.2810000000699322</v>
      </c>
      <c r="D461" s="300">
        <f t="shared" ref="D461" si="1229">SUM(D459:D460)</f>
        <v>3.8780000000585706</v>
      </c>
      <c r="E461" s="300">
        <f t="shared" si="1223"/>
        <v>37.719000000009579</v>
      </c>
      <c r="F461" s="300"/>
      <c r="G461" s="300">
        <f>SUM(G459:G460)</f>
        <v>22.479999999955986</v>
      </c>
      <c r="H461" s="300">
        <f t="shared" ref="H461" si="1230">SUM(H459:H460)</f>
        <v>3.7710000000149888</v>
      </c>
      <c r="I461" s="300">
        <f t="shared" ref="I461" si="1231">SUM(I459:I460)</f>
        <v>3.3940000000396306</v>
      </c>
      <c r="J461" s="300">
        <f t="shared" si="1224"/>
        <v>29.645000000010604</v>
      </c>
      <c r="K461" s="300"/>
      <c r="L461" s="300">
        <f>SUM(L459:L460)</f>
        <v>21.376000000056383</v>
      </c>
      <c r="M461" s="300">
        <f t="shared" ref="M461" si="1232">SUM(M459:M460)</f>
        <v>4.3570000000424187</v>
      </c>
      <c r="N461" s="300">
        <f t="shared" ref="N461" si="1233">SUM(N459:N460)</f>
        <v>3.3959999999825206</v>
      </c>
      <c r="O461" s="300">
        <f t="shared" si="1225"/>
        <v>29.129000000081323</v>
      </c>
      <c r="P461" s="300"/>
      <c r="Q461" s="300">
        <f>SUM(Q459:Q460)</f>
        <v>22.836000000111945</v>
      </c>
      <c r="R461" s="300">
        <f t="shared" ref="R461" si="1234">SUM(R459:R460)</f>
        <v>4.5970000000176636</v>
      </c>
      <c r="S461" s="300">
        <f t="shared" ref="S461" si="1235">SUM(S459:S460)</f>
        <v>3.5580000000550625</v>
      </c>
      <c r="T461" s="300">
        <f t="shared" si="1226"/>
        <v>30.991000000184673</v>
      </c>
      <c r="U461" s="300"/>
      <c r="V461" s="300">
        <f>SUM(V459:V460)</f>
        <v>24.414999999988954</v>
      </c>
      <c r="W461" s="300">
        <f t="shared" ref="W461" si="1236">SUM(W459:W460)</f>
        <v>4.7990000000075117</v>
      </c>
      <c r="X461" s="300">
        <f t="shared" ref="X461" si="1237">SUM(X459:X460)</f>
        <v>3.8120000000376093</v>
      </c>
      <c r="Y461" s="300">
        <f t="shared" si="1227"/>
        <v>33.026000000034074</v>
      </c>
    </row>
    <row r="462" spans="1:25" x14ac:dyDescent="0.2">
      <c r="C462" s="319"/>
      <c r="D462" s="319"/>
      <c r="E462" s="319"/>
      <c r="F462" s="319"/>
      <c r="G462" s="319"/>
      <c r="H462" s="319"/>
      <c r="I462" s="319"/>
      <c r="J462" s="319"/>
      <c r="K462" s="319"/>
      <c r="L462" s="319"/>
      <c r="M462" s="319"/>
      <c r="N462" s="319"/>
      <c r="O462" s="319"/>
      <c r="P462" s="319"/>
      <c r="Q462" s="319"/>
      <c r="R462" s="319"/>
      <c r="S462" s="319"/>
      <c r="T462" s="319"/>
      <c r="U462" s="319"/>
      <c r="V462" s="319"/>
      <c r="W462" s="319"/>
      <c r="X462" s="319"/>
      <c r="Y462" s="319"/>
    </row>
    <row r="463" spans="1:25" x14ac:dyDescent="0.2">
      <c r="A463" s="261" t="s">
        <v>360</v>
      </c>
      <c r="C463" s="263"/>
    </row>
    <row r="464" spans="1:25" x14ac:dyDescent="0.2">
      <c r="A464" s="260" t="s">
        <v>356</v>
      </c>
      <c r="B464" s="300">
        <f>SUM(B434,B439,B444,B449,B454,B459)</f>
        <v>47.264000000085318</v>
      </c>
      <c r="C464" s="300">
        <f t="shared" ref="C464:D465" si="1238">SUM(C434,C439,C444,C449,C454,C459)</f>
        <v>38.214000000688806</v>
      </c>
      <c r="D464" s="300">
        <f t="shared" si="1238"/>
        <v>10.233000000090932</v>
      </c>
      <c r="E464" s="300">
        <f>SUM(B464:D464)</f>
        <v>95.711000000865056</v>
      </c>
      <c r="F464" s="300"/>
      <c r="G464" s="300">
        <f>SUM(G434,G439,G444,G449,G454,G459)</f>
        <v>39.619999999480186</v>
      </c>
      <c r="H464" s="300">
        <f t="shared" ref="H464:I464" si="1239">SUM(H434,H439,H444,H449,H454,H459)</f>
        <v>28.603999999907042</v>
      </c>
      <c r="I464" s="300">
        <f t="shared" si="1239"/>
        <v>10.167000000196271</v>
      </c>
      <c r="J464" s="300">
        <f>SUM(G464:I464)</f>
        <v>78.390999999583499</v>
      </c>
      <c r="K464" s="300"/>
      <c r="L464" s="300">
        <f>SUM(L434,L439,L444,L449,L454,L459)</f>
        <v>37.05300000003168</v>
      </c>
      <c r="M464" s="300">
        <f t="shared" ref="M464:N464" si="1240">SUM(M434,M439,M444,M449,M454,M459)</f>
        <v>32.027000000399532</v>
      </c>
      <c r="N464" s="300">
        <f t="shared" si="1240"/>
        <v>10.261999999792938</v>
      </c>
      <c r="O464" s="300">
        <f>SUM(L464:N464)</f>
        <v>79.342000000224147</v>
      </c>
      <c r="P464" s="300"/>
      <c r="Q464" s="300">
        <f>SUM(Q434,Q439,Q444,Q449,Q454,Q459)</f>
        <v>40.16500000045766</v>
      </c>
      <c r="R464" s="300">
        <f t="shared" ref="R464:S464" si="1241">SUM(R434,R439,R444,R449,R454,R459)</f>
        <v>33.46400000005216</v>
      </c>
      <c r="S464" s="300">
        <f t="shared" si="1241"/>
        <v>10.746000000029774</v>
      </c>
      <c r="T464" s="300">
        <f>SUM(Q464:S464)</f>
        <v>84.375000000539586</v>
      </c>
      <c r="U464" s="300"/>
      <c r="V464" s="300">
        <f>SUM(V434,V439,V444,V449,V454,V459)</f>
        <v>43.722999999602514</v>
      </c>
      <c r="W464" s="300">
        <f t="shared" ref="W464:X464" si="1242">SUM(W434,W439,W444,W449,W454,W459)</f>
        <v>34.414999999900694</v>
      </c>
      <c r="X464" s="300">
        <f t="shared" si="1242"/>
        <v>11.546000000022691</v>
      </c>
      <c r="Y464" s="300">
        <f>SUM(V464:X464)</f>
        <v>89.683999999525895</v>
      </c>
    </row>
    <row r="465" spans="1:25" x14ac:dyDescent="0.2">
      <c r="A465" s="260" t="s">
        <v>355</v>
      </c>
      <c r="B465" s="300">
        <f>SUM(B435,B440,B445,B450,B455,B460)</f>
        <v>89.842999999463018</v>
      </c>
      <c r="C465" s="300">
        <f t="shared" si="1238"/>
        <v>27.778999999977103</v>
      </c>
      <c r="D465" s="300">
        <f t="shared" si="1238"/>
        <v>10.884000000210138</v>
      </c>
      <c r="E465" s="300">
        <f t="shared" ref="E465:E466" si="1243">SUM(B465:D465)</f>
        <v>128.50599999965027</v>
      </c>
      <c r="F465" s="300"/>
      <c r="G465" s="300">
        <f>SUM(G435,G440,G445,G450,G455,G460)</f>
        <v>81.774000000028693</v>
      </c>
      <c r="H465" s="300">
        <f t="shared" ref="H465:I465" si="1244">SUM(H435,H440,H445,H450,H455,H460)</f>
        <v>23.104000000216935</v>
      </c>
      <c r="I465" s="300">
        <f t="shared" si="1244"/>
        <v>10.898000000040662</v>
      </c>
      <c r="J465" s="300">
        <f t="shared" ref="J465:J466" si="1245">SUM(G465:I465)</f>
        <v>115.7760000002863</v>
      </c>
      <c r="K465" s="300"/>
      <c r="L465" s="300">
        <f>SUM(L435,L440,L445,L450,L455,L460)</f>
        <v>78.049000000165407</v>
      </c>
      <c r="M465" s="300">
        <f t="shared" ref="M465:N465" si="1246">SUM(M435,M440,M445,M450,M455,M460)</f>
        <v>27.34800000014468</v>
      </c>
      <c r="N465" s="300">
        <f t="shared" si="1246"/>
        <v>10.803000000099612</v>
      </c>
      <c r="O465" s="300">
        <f t="shared" ref="O465:O466" si="1247">SUM(L465:N465)</f>
        <v>116.2000000004097</v>
      </c>
      <c r="P465" s="300"/>
      <c r="Q465" s="300">
        <f>SUM(Q435,Q440,Q445,Q450,Q455,Q460)</f>
        <v>83.113000000245734</v>
      </c>
      <c r="R465" s="300">
        <f t="shared" ref="R465:S465" si="1248">SUM(R435,R440,R445,R450,R455,R460)</f>
        <v>29.062000000145396</v>
      </c>
      <c r="S465" s="300">
        <f t="shared" si="1248"/>
        <v>11.324000000344242</v>
      </c>
      <c r="T465" s="300">
        <f t="shared" ref="T465:T466" si="1249">SUM(Q465:S465)</f>
        <v>123.49900000073536</v>
      </c>
      <c r="U465" s="300"/>
      <c r="V465" s="300">
        <f>SUM(V435,V440,V445,V450,V455,V460)</f>
        <v>88.499000000118272</v>
      </c>
      <c r="W465" s="300">
        <f t="shared" ref="W465:X465" si="1250">SUM(W435,W440,W445,W450,W455,W460)</f>
        <v>30.664000000148473</v>
      </c>
      <c r="X465" s="300">
        <f t="shared" si="1250"/>
        <v>12.095000000238445</v>
      </c>
      <c r="Y465" s="300">
        <f t="shared" ref="Y465:Y466" si="1251">SUM(V465:X465)</f>
        <v>131.25800000050521</v>
      </c>
    </row>
    <row r="466" spans="1:25" x14ac:dyDescent="0.2">
      <c r="A466" s="264" t="s">
        <v>354</v>
      </c>
      <c r="B466" s="301">
        <f>SUM(B464:B465)</f>
        <v>137.10699999954835</v>
      </c>
      <c r="C466" s="301">
        <f t="shared" ref="C466" si="1252">SUM(C464:C465)</f>
        <v>65.993000000665916</v>
      </c>
      <c r="D466" s="301">
        <f t="shared" ref="D466" si="1253">SUM(D464:D465)</f>
        <v>21.117000000301068</v>
      </c>
      <c r="E466" s="301">
        <f t="shared" si="1243"/>
        <v>224.21700000051533</v>
      </c>
      <c r="F466" s="301"/>
      <c r="G466" s="301">
        <f>SUM(G464:G465)</f>
        <v>121.39399999950888</v>
      </c>
      <c r="H466" s="301">
        <f t="shared" ref="H466" si="1254">SUM(H464:H465)</f>
        <v>51.708000000123974</v>
      </c>
      <c r="I466" s="301">
        <f t="shared" ref="I466" si="1255">SUM(I464:I465)</f>
        <v>21.065000000236935</v>
      </c>
      <c r="J466" s="301">
        <f t="shared" si="1245"/>
        <v>194.1669999998698</v>
      </c>
      <c r="K466" s="301"/>
      <c r="L466" s="301">
        <f>SUM(L464:L465)</f>
        <v>115.10200000019708</v>
      </c>
      <c r="M466" s="301">
        <f t="shared" ref="M466" si="1256">SUM(M464:M465)</f>
        <v>59.375000000544212</v>
      </c>
      <c r="N466" s="301">
        <f t="shared" ref="N466" si="1257">SUM(N464:N465)</f>
        <v>21.064999999892549</v>
      </c>
      <c r="O466" s="301">
        <f t="shared" si="1247"/>
        <v>195.54200000063383</v>
      </c>
      <c r="P466" s="301"/>
      <c r="Q466" s="301">
        <f>SUM(Q464:Q465)</f>
        <v>123.2780000007034</v>
      </c>
      <c r="R466" s="301">
        <f t="shared" ref="R466" si="1258">SUM(R464:R465)</f>
        <v>62.526000000197556</v>
      </c>
      <c r="S466" s="301">
        <f t="shared" ref="S466" si="1259">SUM(S464:S465)</f>
        <v>22.070000000374016</v>
      </c>
      <c r="T466" s="301">
        <f t="shared" si="1249"/>
        <v>207.87400000127496</v>
      </c>
      <c r="U466" s="301"/>
      <c r="V466" s="301">
        <f>SUM(V464:V465)</f>
        <v>132.22199999972079</v>
      </c>
      <c r="W466" s="301">
        <f t="shared" ref="W466" si="1260">SUM(W464:W465)</f>
        <v>65.079000000049163</v>
      </c>
      <c r="X466" s="301">
        <f t="shared" ref="X466" si="1261">SUM(X464:X465)</f>
        <v>23.641000000261137</v>
      </c>
      <c r="Y466" s="301">
        <f t="shared" si="1251"/>
        <v>220.94200000003107</v>
      </c>
    </row>
    <row r="467" spans="1:25" x14ac:dyDescent="0.2">
      <c r="C467" s="263"/>
    </row>
    <row r="468" spans="1:25" x14ac:dyDescent="0.2">
      <c r="A468" s="261"/>
    </row>
    <row r="469" spans="1:25" x14ac:dyDescent="0.2">
      <c r="C469" s="263"/>
    </row>
    <row r="470" spans="1:25" ht="15" x14ac:dyDescent="0.25">
      <c r="A470" s="265" t="str">
        <f>"Industry 18 : "&amp; name!B21</f>
        <v>Industry 18 : Public admin. and defence</v>
      </c>
      <c r="B470" s="371">
        <f>$B$5</f>
        <v>2015</v>
      </c>
      <c r="C470" s="371"/>
      <c r="D470" s="371"/>
      <c r="E470" s="371"/>
      <c r="F470" s="320"/>
      <c r="G470" s="371">
        <f>$G$5</f>
        <v>2019</v>
      </c>
      <c r="H470" s="371"/>
      <c r="I470" s="371"/>
      <c r="J470" s="371"/>
      <c r="K470" s="320"/>
      <c r="L470" s="371">
        <f>$L$5</f>
        <v>2020</v>
      </c>
      <c r="M470" s="371"/>
      <c r="N470" s="371"/>
      <c r="O470" s="371"/>
      <c r="P470" s="318"/>
      <c r="Q470" s="371">
        <f>$Q$5</f>
        <v>2025</v>
      </c>
      <c r="R470" s="371"/>
      <c r="S470" s="371"/>
      <c r="T470" s="371"/>
      <c r="U470" s="320"/>
      <c r="V470" s="371">
        <f>$V$5</f>
        <v>2035</v>
      </c>
      <c r="W470" s="371"/>
      <c r="X470" s="371"/>
      <c r="Y470" s="371"/>
    </row>
    <row r="471" spans="1:25" x14ac:dyDescent="0.2">
      <c r="A471" s="264"/>
      <c r="B471" s="268" t="str">
        <f>$B$6</f>
        <v>FT</v>
      </c>
      <c r="C471" s="268" t="str">
        <f>$C$6</f>
        <v>PT</v>
      </c>
      <c r="D471" s="268" t="str">
        <f>$D$6</f>
        <v>SE</v>
      </c>
      <c r="E471" s="268" t="str">
        <f>$E$6</f>
        <v>Total</v>
      </c>
      <c r="F471" s="268"/>
      <c r="G471" s="268" t="str">
        <f>$B$6</f>
        <v>FT</v>
      </c>
      <c r="H471" s="268" t="str">
        <f>$C$6</f>
        <v>PT</v>
      </c>
      <c r="I471" s="268" t="str">
        <f>$D$6</f>
        <v>SE</v>
      </c>
      <c r="J471" s="268" t="str">
        <f>$E$6</f>
        <v>Total</v>
      </c>
      <c r="K471" s="268"/>
      <c r="L471" s="268" t="str">
        <f>$L$6</f>
        <v>FT</v>
      </c>
      <c r="M471" s="268" t="str">
        <f>$M$6</f>
        <v>PT</v>
      </c>
      <c r="N471" s="268" t="str">
        <f>$N$6</f>
        <v>SE</v>
      </c>
      <c r="O471" s="268" t="str">
        <f>$O$6</f>
        <v>Total</v>
      </c>
      <c r="P471" s="268"/>
      <c r="Q471" s="268" t="str">
        <f>$L$6</f>
        <v>FT</v>
      </c>
      <c r="R471" s="268" t="str">
        <f>$M$6</f>
        <v>PT</v>
      </c>
      <c r="S471" s="268" t="str">
        <f>$N$6</f>
        <v>SE</v>
      </c>
      <c r="T471" s="268" t="str">
        <f>$O$6</f>
        <v>Total</v>
      </c>
      <c r="U471" s="268"/>
      <c r="V471" s="268" t="str">
        <f>$V$6</f>
        <v>FT</v>
      </c>
      <c r="W471" s="268" t="str">
        <f>$W$6</f>
        <v>PT</v>
      </c>
      <c r="X471" s="268" t="str">
        <f>$X$6</f>
        <v>SE</v>
      </c>
      <c r="Y471" s="268" t="str">
        <f>$Y$6</f>
        <v>Total</v>
      </c>
    </row>
    <row r="472" spans="1:25" x14ac:dyDescent="0.2">
      <c r="A472" s="262"/>
      <c r="C472" s="319"/>
      <c r="D472" s="319"/>
      <c r="E472" s="319"/>
      <c r="F472" s="319"/>
      <c r="G472" s="319"/>
      <c r="H472" s="319"/>
      <c r="I472" s="319"/>
      <c r="J472" s="319"/>
      <c r="K472" s="319"/>
      <c r="L472" s="319"/>
      <c r="M472" s="319"/>
      <c r="N472" s="319"/>
      <c r="O472" s="319"/>
      <c r="P472" s="319"/>
      <c r="Q472" s="319"/>
      <c r="R472" s="319"/>
      <c r="S472" s="319"/>
      <c r="T472" s="319"/>
      <c r="U472" s="319"/>
      <c r="V472" s="319"/>
      <c r="W472" s="319"/>
      <c r="X472" s="319"/>
      <c r="Y472" s="319"/>
    </row>
    <row r="473" spans="1:25" x14ac:dyDescent="0.2">
      <c r="A473" s="261" t="str">
        <f>name!A67</f>
        <v>Public administration and defence</v>
      </c>
      <c r="C473" s="263"/>
    </row>
    <row r="474" spans="1:25" x14ac:dyDescent="0.2">
      <c r="A474" s="260" t="s">
        <v>356</v>
      </c>
      <c r="B474" s="300">
        <v>21.734999999507181</v>
      </c>
      <c r="C474" s="300">
        <v>21.860999999651913</v>
      </c>
      <c r="D474" s="300">
        <v>0</v>
      </c>
      <c r="E474" s="300">
        <f>SUM(B474:D474)</f>
        <v>43.595999999159091</v>
      </c>
      <c r="F474" s="300"/>
      <c r="G474" s="300">
        <v>23.051000000084834</v>
      </c>
      <c r="H474" s="300">
        <v>21.887000000024884</v>
      </c>
      <c r="I474" s="300">
        <v>1.3240000000266763</v>
      </c>
      <c r="J474" s="300">
        <f>SUM(G474:I474)</f>
        <v>46.262000000136396</v>
      </c>
      <c r="K474" s="300"/>
      <c r="L474" s="300">
        <v>23.837999999605863</v>
      </c>
      <c r="M474" s="300">
        <v>21.737999999769219</v>
      </c>
      <c r="N474" s="300">
        <v>1.9029999999587024</v>
      </c>
      <c r="O474" s="300">
        <f>SUM(L474:N474)</f>
        <v>47.478999999333787</v>
      </c>
      <c r="P474" s="300"/>
      <c r="Q474" s="300">
        <v>25.760000000490244</v>
      </c>
      <c r="R474" s="300">
        <v>23.538999999972891</v>
      </c>
      <c r="S474" s="300">
        <v>2.0590000000293536</v>
      </c>
      <c r="T474" s="300">
        <f>SUM(Q474:S474)</f>
        <v>51.358000000492495</v>
      </c>
      <c r="U474" s="300"/>
      <c r="V474" s="300">
        <v>27.85500000023589</v>
      </c>
      <c r="W474" s="300">
        <v>25.464000000145571</v>
      </c>
      <c r="X474" s="300">
        <v>2.2450000000108226</v>
      </c>
      <c r="Y474" s="300">
        <f>SUM(V474:X474)</f>
        <v>55.564000000392284</v>
      </c>
    </row>
    <row r="475" spans="1:25" x14ac:dyDescent="0.2">
      <c r="A475" s="260" t="s">
        <v>355</v>
      </c>
      <c r="B475" s="300">
        <v>26.404000000103192</v>
      </c>
      <c r="C475" s="300">
        <v>4.3850000000105664</v>
      </c>
      <c r="D475" s="300">
        <v>1.281000000063953</v>
      </c>
      <c r="E475" s="300">
        <f t="shared" ref="E475:E476" si="1262">SUM(B475:D475)</f>
        <v>32.070000000177714</v>
      </c>
      <c r="F475" s="300"/>
      <c r="G475" s="300">
        <v>27.27599999983201</v>
      </c>
      <c r="H475" s="300">
        <v>4.3799999999630987</v>
      </c>
      <c r="I475" s="300">
        <v>9.9999999998950408E-4</v>
      </c>
      <c r="J475" s="300">
        <f t="shared" ref="J475:J476" si="1263">SUM(G475:I475)</f>
        <v>31.656999999795097</v>
      </c>
      <c r="K475" s="300"/>
      <c r="L475" s="300">
        <v>27.584999999655395</v>
      </c>
      <c r="M475" s="300">
        <v>4.4879999999600351</v>
      </c>
      <c r="N475" s="300">
        <v>0.67200000000188542</v>
      </c>
      <c r="O475" s="300">
        <f t="shared" ref="O475:O476" si="1264">SUM(L475:N475)</f>
        <v>32.74499999961732</v>
      </c>
      <c r="P475" s="300"/>
      <c r="Q475" s="300">
        <v>29.207999999798332</v>
      </c>
      <c r="R475" s="300">
        <v>5.1109999999649736</v>
      </c>
      <c r="S475" s="300">
        <v>0.72700000003934528</v>
      </c>
      <c r="T475" s="300">
        <f t="shared" ref="T475:T476" si="1265">SUM(Q475:S475)</f>
        <v>35.045999999802653</v>
      </c>
      <c r="U475" s="300"/>
      <c r="V475" s="300">
        <v>30.296999999697622</v>
      </c>
      <c r="W475" s="300">
        <v>6.0969999999457931</v>
      </c>
      <c r="X475" s="300">
        <v>0.79500000002816851</v>
      </c>
      <c r="Y475" s="300">
        <f t="shared" ref="Y475:Y476" si="1266">SUM(V475:X475)</f>
        <v>37.18899999967158</v>
      </c>
    </row>
    <row r="476" spans="1:25" x14ac:dyDescent="0.2">
      <c r="A476" s="264" t="s">
        <v>354</v>
      </c>
      <c r="B476" s="301">
        <f>SUM(B474:B475)</f>
        <v>48.138999999610377</v>
      </c>
      <c r="C476" s="301">
        <f t="shared" ref="C476" si="1267">SUM(C474:C475)</f>
        <v>26.24599999966248</v>
      </c>
      <c r="D476" s="301">
        <f t="shared" ref="D476" si="1268">SUM(D474:D475)</f>
        <v>1.281000000063953</v>
      </c>
      <c r="E476" s="301">
        <f t="shared" si="1262"/>
        <v>75.665999999336805</v>
      </c>
      <c r="F476" s="301"/>
      <c r="G476" s="301">
        <f>SUM(G474:G475)</f>
        <v>50.326999999916843</v>
      </c>
      <c r="H476" s="301">
        <f t="shared" ref="H476" si="1269">SUM(H474:H475)</f>
        <v>26.266999999987981</v>
      </c>
      <c r="I476" s="301">
        <f t="shared" ref="I476" si="1270">SUM(I474:I475)</f>
        <v>1.3250000000266657</v>
      </c>
      <c r="J476" s="301">
        <f t="shared" si="1263"/>
        <v>77.918999999931486</v>
      </c>
      <c r="K476" s="301"/>
      <c r="L476" s="301">
        <f>SUM(L474:L475)</f>
        <v>51.422999999261258</v>
      </c>
      <c r="M476" s="301">
        <f t="shared" ref="M476" si="1271">SUM(M474:M475)</f>
        <v>26.225999999729254</v>
      </c>
      <c r="N476" s="301">
        <f t="shared" ref="N476" si="1272">SUM(N474:N475)</f>
        <v>2.5749999999605877</v>
      </c>
      <c r="O476" s="301">
        <f t="shared" si="1264"/>
        <v>80.223999998951101</v>
      </c>
      <c r="P476" s="301"/>
      <c r="Q476" s="301">
        <f>SUM(Q474:Q475)</f>
        <v>54.968000000288576</v>
      </c>
      <c r="R476" s="301">
        <f t="shared" ref="R476" si="1273">SUM(R474:R475)</f>
        <v>28.649999999937865</v>
      </c>
      <c r="S476" s="301">
        <f t="shared" ref="S476" si="1274">SUM(S474:S475)</f>
        <v>2.7860000000686989</v>
      </c>
      <c r="T476" s="301">
        <f t="shared" si="1265"/>
        <v>86.404000000295142</v>
      </c>
      <c r="U476" s="301"/>
      <c r="V476" s="301">
        <f>SUM(V474:V475)</f>
        <v>58.151999999933508</v>
      </c>
      <c r="W476" s="301">
        <f t="shared" ref="W476" si="1275">SUM(W474:W475)</f>
        <v>31.561000000091365</v>
      </c>
      <c r="X476" s="301">
        <f t="shared" ref="X476" si="1276">SUM(X474:X475)</f>
        <v>3.0400000000389911</v>
      </c>
      <c r="Y476" s="301">
        <f t="shared" si="1266"/>
        <v>92.753000000063864</v>
      </c>
    </row>
    <row r="480" spans="1:25" ht="15" x14ac:dyDescent="0.25">
      <c r="A480" s="265" t="str">
        <f>"Industry 19 : "&amp; name!B22</f>
        <v>Industry 19 : Education</v>
      </c>
      <c r="B480" s="371">
        <f>$B$5</f>
        <v>2015</v>
      </c>
      <c r="C480" s="371"/>
      <c r="D480" s="371"/>
      <c r="E480" s="371"/>
      <c r="F480" s="320"/>
      <c r="G480" s="371">
        <f>$G$5</f>
        <v>2019</v>
      </c>
      <c r="H480" s="371"/>
      <c r="I480" s="371"/>
      <c r="J480" s="371"/>
      <c r="K480" s="320"/>
      <c r="L480" s="371">
        <f>$L$5</f>
        <v>2020</v>
      </c>
      <c r="M480" s="371"/>
      <c r="N480" s="371"/>
      <c r="O480" s="371"/>
      <c r="P480" s="318"/>
      <c r="Q480" s="371">
        <f>$Q$5</f>
        <v>2025</v>
      </c>
      <c r="R480" s="371"/>
      <c r="S480" s="371"/>
      <c r="T480" s="371"/>
      <c r="U480" s="320"/>
      <c r="V480" s="371">
        <f>$V$5</f>
        <v>2035</v>
      </c>
      <c r="W480" s="371"/>
      <c r="X480" s="371"/>
      <c r="Y480" s="371"/>
    </row>
    <row r="481" spans="1:25" x14ac:dyDescent="0.2">
      <c r="A481" s="264"/>
      <c r="B481" s="268" t="str">
        <f>$B$6</f>
        <v>FT</v>
      </c>
      <c r="C481" s="268" t="str">
        <f>$C$6</f>
        <v>PT</v>
      </c>
      <c r="D481" s="268" t="str">
        <f>$D$6</f>
        <v>SE</v>
      </c>
      <c r="E481" s="268" t="str">
        <f>$E$6</f>
        <v>Total</v>
      </c>
      <c r="F481" s="268"/>
      <c r="G481" s="268" t="str">
        <f>$B$6</f>
        <v>FT</v>
      </c>
      <c r="H481" s="268" t="str">
        <f>$C$6</f>
        <v>PT</v>
      </c>
      <c r="I481" s="268" t="str">
        <f>$D$6</f>
        <v>SE</v>
      </c>
      <c r="J481" s="268" t="str">
        <f>$E$6</f>
        <v>Total</v>
      </c>
      <c r="K481" s="268"/>
      <c r="L481" s="268" t="str">
        <f>$L$6</f>
        <v>FT</v>
      </c>
      <c r="M481" s="268" t="str">
        <f>$M$6</f>
        <v>PT</v>
      </c>
      <c r="N481" s="268" t="str">
        <f>$N$6</f>
        <v>SE</v>
      </c>
      <c r="O481" s="268" t="str">
        <f>$O$6</f>
        <v>Total</v>
      </c>
      <c r="P481" s="268"/>
      <c r="Q481" s="268" t="str">
        <f>$L$6</f>
        <v>FT</v>
      </c>
      <c r="R481" s="268" t="str">
        <f>$M$6</f>
        <v>PT</v>
      </c>
      <c r="S481" s="268" t="str">
        <f>$N$6</f>
        <v>SE</v>
      </c>
      <c r="T481" s="268" t="str">
        <f>$O$6</f>
        <v>Total</v>
      </c>
      <c r="U481" s="268"/>
      <c r="V481" s="268" t="str">
        <f>$V$6</f>
        <v>FT</v>
      </c>
      <c r="W481" s="268" t="str">
        <f>$W$6</f>
        <v>PT</v>
      </c>
      <c r="X481" s="268" t="str">
        <f>$X$6</f>
        <v>SE</v>
      </c>
      <c r="Y481" s="268" t="str">
        <f>$Y$6</f>
        <v>Total</v>
      </c>
    </row>
    <row r="482" spans="1:25" x14ac:dyDescent="0.2">
      <c r="C482" s="319"/>
      <c r="D482" s="319"/>
      <c r="E482" s="319"/>
      <c r="F482" s="319"/>
      <c r="G482" s="319"/>
      <c r="H482" s="319"/>
      <c r="I482" s="319"/>
      <c r="J482" s="319"/>
      <c r="K482" s="319"/>
      <c r="L482" s="319"/>
      <c r="M482" s="319"/>
      <c r="N482" s="319"/>
      <c r="O482" s="319"/>
      <c r="P482" s="319"/>
      <c r="Q482" s="319"/>
      <c r="R482" s="319"/>
      <c r="S482" s="319"/>
      <c r="T482" s="319"/>
      <c r="U482" s="319"/>
      <c r="V482" s="319"/>
      <c r="W482" s="319"/>
      <c r="X482" s="319"/>
      <c r="Y482" s="319"/>
    </row>
    <row r="483" spans="1:25" x14ac:dyDescent="0.2">
      <c r="A483" s="261" t="str">
        <f>name!A68</f>
        <v xml:space="preserve">Education </v>
      </c>
      <c r="C483" s="263"/>
    </row>
    <row r="484" spans="1:25" x14ac:dyDescent="0.2">
      <c r="A484" s="260" t="s">
        <v>356</v>
      </c>
      <c r="B484" s="300">
        <v>60.246999999972296</v>
      </c>
      <c r="C484" s="300">
        <v>75.052999996778681</v>
      </c>
      <c r="D484" s="300">
        <v>9.3369999996340187</v>
      </c>
      <c r="E484" s="300">
        <f>SUM(B484:D484)</f>
        <v>144.63699999638501</v>
      </c>
      <c r="F484" s="300"/>
      <c r="G484" s="300">
        <v>57.740000003074762</v>
      </c>
      <c r="H484" s="300">
        <v>79.965999998346703</v>
      </c>
      <c r="I484" s="300">
        <v>13.277000000329156</v>
      </c>
      <c r="J484" s="300">
        <f>SUM(G484:I484)</f>
        <v>150.98300000175064</v>
      </c>
      <c r="K484" s="300"/>
      <c r="L484" s="300">
        <v>58.61600000070311</v>
      </c>
      <c r="M484" s="300">
        <v>78.196999996451808</v>
      </c>
      <c r="N484" s="300">
        <v>13.757999999646987</v>
      </c>
      <c r="O484" s="300">
        <f>SUM(L484:N484)</f>
        <v>150.5709999968019</v>
      </c>
      <c r="P484" s="300"/>
      <c r="Q484" s="300">
        <v>58.609999996170572</v>
      </c>
      <c r="R484" s="300">
        <v>74.842999995353779</v>
      </c>
      <c r="S484" s="300">
        <v>13.608000000235181</v>
      </c>
      <c r="T484" s="300">
        <f>SUM(Q484:S484)</f>
        <v>147.06099999175953</v>
      </c>
      <c r="U484" s="300"/>
      <c r="V484" s="300">
        <v>62.020000001196429</v>
      </c>
      <c r="W484" s="300">
        <v>72.397000000784018</v>
      </c>
      <c r="X484" s="300">
        <v>13.780000000185469</v>
      </c>
      <c r="Y484" s="300">
        <f>SUM(V484:X484)</f>
        <v>148.19700000216594</v>
      </c>
    </row>
    <row r="485" spans="1:25" x14ac:dyDescent="0.2">
      <c r="A485" s="260" t="s">
        <v>355</v>
      </c>
      <c r="B485" s="300">
        <v>40.020000003196031</v>
      </c>
      <c r="C485" s="300">
        <v>12.719999999779256</v>
      </c>
      <c r="D485" s="300">
        <v>6.9980000002386493</v>
      </c>
      <c r="E485" s="300">
        <f t="shared" ref="E485" si="1277">SUM(B485:D485)</f>
        <v>59.738000003213934</v>
      </c>
      <c r="F485" s="300"/>
      <c r="G485" s="300">
        <v>38.842000000732952</v>
      </c>
      <c r="H485" s="300">
        <v>13.741999999258249</v>
      </c>
      <c r="I485" s="300">
        <v>7.3989999997284199</v>
      </c>
      <c r="J485" s="300">
        <f t="shared" ref="J485:J486" si="1278">SUM(G485:I485)</f>
        <v>59.982999999719617</v>
      </c>
      <c r="K485" s="300"/>
      <c r="L485" s="300">
        <v>36.381000000202214</v>
      </c>
      <c r="M485" s="300">
        <v>15.38400000010078</v>
      </c>
      <c r="N485" s="300">
        <v>7.4580000001677753</v>
      </c>
      <c r="O485" s="300">
        <f t="shared" ref="O485:O486" si="1279">SUM(L485:N485)</f>
        <v>59.223000000470762</v>
      </c>
      <c r="P485" s="300"/>
      <c r="Q485" s="300">
        <v>35.121999998442384</v>
      </c>
      <c r="R485" s="300">
        <v>15.249999999765711</v>
      </c>
      <c r="S485" s="300">
        <v>7.4360000006332134</v>
      </c>
      <c r="T485" s="300">
        <f t="shared" ref="T485:T486" si="1280">SUM(Q485:S485)</f>
        <v>57.807999998841311</v>
      </c>
      <c r="U485" s="300"/>
      <c r="V485" s="300">
        <v>34.620999999045814</v>
      </c>
      <c r="W485" s="300">
        <v>15.755999999699153</v>
      </c>
      <c r="X485" s="300">
        <v>7.7510000005112714</v>
      </c>
      <c r="Y485" s="300">
        <f t="shared" ref="Y485:Y486" si="1281">SUM(V485:X485)</f>
        <v>58.127999999256232</v>
      </c>
    </row>
    <row r="486" spans="1:25" x14ac:dyDescent="0.2">
      <c r="A486" s="264" t="s">
        <v>354</v>
      </c>
      <c r="B486" s="301">
        <f>SUM(B484:B485)</f>
        <v>100.26700000316833</v>
      </c>
      <c r="C486" s="301">
        <f t="shared" ref="C486" si="1282">SUM(C484:C485)</f>
        <v>87.772999996557942</v>
      </c>
      <c r="D486" s="301">
        <f t="shared" ref="D486" si="1283">SUM(D484:D485)</f>
        <v>16.334999999872668</v>
      </c>
      <c r="E486" s="301">
        <f>SUM(B486:D486)</f>
        <v>204.37499999959894</v>
      </c>
      <c r="F486" s="301"/>
      <c r="G486" s="301">
        <f>SUM(G484:G485)</f>
        <v>96.582000003807707</v>
      </c>
      <c r="H486" s="301">
        <f t="shared" ref="H486" si="1284">SUM(H484:H485)</f>
        <v>93.707999997604958</v>
      </c>
      <c r="I486" s="301">
        <f t="shared" ref="I486" si="1285">SUM(I484:I485)</f>
        <v>20.676000000057577</v>
      </c>
      <c r="J486" s="301">
        <f t="shared" si="1278"/>
        <v>210.96600000147023</v>
      </c>
      <c r="K486" s="301"/>
      <c r="L486" s="301">
        <f>SUM(L484:L485)</f>
        <v>94.997000000905331</v>
      </c>
      <c r="M486" s="301">
        <f t="shared" ref="M486" si="1286">SUM(M484:M485)</f>
        <v>93.580999996552592</v>
      </c>
      <c r="N486" s="301">
        <f t="shared" ref="N486" si="1287">SUM(N484:N485)</f>
        <v>21.215999999814763</v>
      </c>
      <c r="O486" s="301">
        <f t="shared" si="1279"/>
        <v>209.79399999727269</v>
      </c>
      <c r="P486" s="301"/>
      <c r="Q486" s="301">
        <f>SUM(Q484:Q485)</f>
        <v>93.731999994612949</v>
      </c>
      <c r="R486" s="301">
        <f t="shared" ref="R486" si="1288">SUM(R484:R485)</f>
        <v>90.092999995119484</v>
      </c>
      <c r="S486" s="301">
        <f t="shared" ref="S486" si="1289">SUM(S484:S485)</f>
        <v>21.044000000868394</v>
      </c>
      <c r="T486" s="301">
        <f t="shared" si="1280"/>
        <v>204.8689999906008</v>
      </c>
      <c r="U486" s="301"/>
      <c r="V486" s="301">
        <f>SUM(V484:V485)</f>
        <v>96.641000000242244</v>
      </c>
      <c r="W486" s="301">
        <f t="shared" ref="W486" si="1290">SUM(W484:W485)</f>
        <v>88.153000000483175</v>
      </c>
      <c r="X486" s="301">
        <f t="shared" ref="X486" si="1291">SUM(X484:X485)</f>
        <v>21.531000000696739</v>
      </c>
      <c r="Y486" s="301">
        <f t="shared" si="1281"/>
        <v>206.32500000142215</v>
      </c>
    </row>
    <row r="490" spans="1:25" ht="15" x14ac:dyDescent="0.25">
      <c r="A490" s="265" t="str">
        <f>"Industry 20 : "&amp; name!B23</f>
        <v>Industry 20 : Health and social work</v>
      </c>
      <c r="B490" s="371">
        <f>$B$5</f>
        <v>2015</v>
      </c>
      <c r="C490" s="371"/>
      <c r="D490" s="371"/>
      <c r="E490" s="371"/>
      <c r="F490" s="320"/>
      <c r="G490" s="371">
        <f>$G$5</f>
        <v>2019</v>
      </c>
      <c r="H490" s="371"/>
      <c r="I490" s="371"/>
      <c r="J490" s="371"/>
      <c r="K490" s="320"/>
      <c r="L490" s="371">
        <f>$L$5</f>
        <v>2020</v>
      </c>
      <c r="M490" s="371"/>
      <c r="N490" s="371"/>
      <c r="O490" s="371"/>
      <c r="P490" s="318"/>
      <c r="Q490" s="371">
        <f>$Q$5</f>
        <v>2025</v>
      </c>
      <c r="R490" s="371"/>
      <c r="S490" s="371"/>
      <c r="T490" s="371"/>
      <c r="U490" s="320"/>
      <c r="V490" s="371">
        <f>$V$5</f>
        <v>2035</v>
      </c>
      <c r="W490" s="371"/>
      <c r="X490" s="371"/>
      <c r="Y490" s="371"/>
    </row>
    <row r="491" spans="1:25" x14ac:dyDescent="0.2">
      <c r="A491" s="264"/>
      <c r="B491" s="268" t="str">
        <f>$B$6</f>
        <v>FT</v>
      </c>
      <c r="C491" s="268" t="str">
        <f>$C$6</f>
        <v>PT</v>
      </c>
      <c r="D491" s="268" t="str">
        <f>$D$6</f>
        <v>SE</v>
      </c>
      <c r="E491" s="268" t="str">
        <f>$E$6</f>
        <v>Total</v>
      </c>
      <c r="F491" s="268"/>
      <c r="G491" s="268" t="str">
        <f>$B$6</f>
        <v>FT</v>
      </c>
      <c r="H491" s="268" t="str">
        <f>$C$6</f>
        <v>PT</v>
      </c>
      <c r="I491" s="268" t="str">
        <f>$D$6</f>
        <v>SE</v>
      </c>
      <c r="J491" s="268" t="str">
        <f>$E$6</f>
        <v>Total</v>
      </c>
      <c r="K491" s="268"/>
      <c r="L491" s="268" t="str">
        <f>$L$6</f>
        <v>FT</v>
      </c>
      <c r="M491" s="268" t="str">
        <f>$M$6</f>
        <v>PT</v>
      </c>
      <c r="N491" s="268" t="str">
        <f>$N$6</f>
        <v>SE</v>
      </c>
      <c r="O491" s="268" t="str">
        <f>$O$6</f>
        <v>Total</v>
      </c>
      <c r="P491" s="268"/>
      <c r="Q491" s="268" t="str">
        <f>$L$6</f>
        <v>FT</v>
      </c>
      <c r="R491" s="268" t="str">
        <f>$M$6</f>
        <v>PT</v>
      </c>
      <c r="S491" s="268" t="str">
        <f>$N$6</f>
        <v>SE</v>
      </c>
      <c r="T491" s="268" t="str">
        <f>$O$6</f>
        <v>Total</v>
      </c>
      <c r="U491" s="268"/>
      <c r="V491" s="268" t="str">
        <f>$V$6</f>
        <v>FT</v>
      </c>
      <c r="W491" s="268" t="str">
        <f>$W$6</f>
        <v>PT</v>
      </c>
      <c r="X491" s="268" t="str">
        <f>$X$6</f>
        <v>SE</v>
      </c>
      <c r="Y491" s="268" t="str">
        <f>$Y$6</f>
        <v>Total</v>
      </c>
    </row>
    <row r="492" spans="1:25" x14ac:dyDescent="0.2">
      <c r="C492" s="319"/>
      <c r="D492" s="319"/>
      <c r="E492" s="319"/>
      <c r="F492" s="319"/>
      <c r="G492" s="319"/>
      <c r="H492" s="319"/>
      <c r="I492" s="319"/>
      <c r="J492" s="319"/>
      <c r="K492" s="319"/>
      <c r="L492" s="319"/>
      <c r="M492" s="319"/>
      <c r="N492" s="319"/>
      <c r="O492" s="319"/>
      <c r="P492" s="319"/>
      <c r="Q492" s="319"/>
      <c r="R492" s="319"/>
      <c r="S492" s="319"/>
      <c r="T492" s="319"/>
      <c r="U492" s="319"/>
      <c r="V492" s="319"/>
      <c r="W492" s="319"/>
      <c r="X492" s="319"/>
      <c r="Y492" s="319"/>
    </row>
    <row r="493" spans="1:25" x14ac:dyDescent="0.2">
      <c r="A493" s="261" t="str">
        <f>name!A69</f>
        <v>Health</v>
      </c>
      <c r="C493" s="263"/>
    </row>
    <row r="494" spans="1:25" x14ac:dyDescent="0.2">
      <c r="A494" s="260" t="s">
        <v>356</v>
      </c>
      <c r="B494" s="300">
        <v>61.403999999155687</v>
      </c>
      <c r="C494" s="300">
        <v>56.95699999878763</v>
      </c>
      <c r="D494" s="300">
        <v>7.4749999993233995</v>
      </c>
      <c r="E494" s="300">
        <f>SUM(B494:D494)</f>
        <v>125.83599999726671</v>
      </c>
      <c r="F494" s="300"/>
      <c r="G494" s="300">
        <v>58.266000000385915</v>
      </c>
      <c r="H494" s="300">
        <v>62.555999999063658</v>
      </c>
      <c r="I494" s="300">
        <v>9.8439999994705119</v>
      </c>
      <c r="J494" s="300">
        <f>SUM(G494:I494)</f>
        <v>130.66599999892009</v>
      </c>
      <c r="K494" s="300"/>
      <c r="L494" s="300">
        <v>67.441999999557979</v>
      </c>
      <c r="M494" s="300">
        <v>56.592999999049283</v>
      </c>
      <c r="N494" s="300">
        <v>7.3080000004390673</v>
      </c>
      <c r="O494" s="300">
        <f>SUM(L494:N494)</f>
        <v>131.34299999904633</v>
      </c>
      <c r="P494" s="300"/>
      <c r="Q494" s="300">
        <v>71.185999999982286</v>
      </c>
      <c r="R494" s="300">
        <v>58.155999998053652</v>
      </c>
      <c r="S494" s="300">
        <v>8.183000000093628</v>
      </c>
      <c r="T494" s="300">
        <f>SUM(Q494:S494)</f>
        <v>137.52499999812954</v>
      </c>
      <c r="U494" s="300"/>
      <c r="V494" s="300">
        <v>75.18300000008955</v>
      </c>
      <c r="W494" s="300">
        <v>58.021999999876435</v>
      </c>
      <c r="X494" s="300">
        <v>9.6060000000279953</v>
      </c>
      <c r="Y494" s="300">
        <f>SUM(V494:X494)</f>
        <v>142.81099999999398</v>
      </c>
    </row>
    <row r="495" spans="1:25" x14ac:dyDescent="0.2">
      <c r="A495" s="260" t="s">
        <v>355</v>
      </c>
      <c r="B495" s="300">
        <v>24.635000000372155</v>
      </c>
      <c r="C495" s="300">
        <v>5.782999999987779</v>
      </c>
      <c r="D495" s="300">
        <v>4.4870000003927899</v>
      </c>
      <c r="E495" s="300">
        <f t="shared" ref="E495:E496" si="1292">SUM(B495:D495)</f>
        <v>34.905000000752722</v>
      </c>
      <c r="F495" s="300"/>
      <c r="G495" s="300">
        <v>26.069999999834451</v>
      </c>
      <c r="H495" s="300">
        <v>6.7839999999706713</v>
      </c>
      <c r="I495" s="300">
        <v>2.818999999975127</v>
      </c>
      <c r="J495" s="300">
        <f t="shared" ref="J495:J496" si="1293">SUM(G495:I495)</f>
        <v>35.672999999780252</v>
      </c>
      <c r="K495" s="300"/>
      <c r="L495" s="300">
        <v>26.862999999584982</v>
      </c>
      <c r="M495" s="300">
        <v>6.8540000000076216</v>
      </c>
      <c r="N495" s="300">
        <v>3.4960000000438369</v>
      </c>
      <c r="O495" s="300">
        <f t="shared" ref="O495:O496" si="1294">SUM(L495:N495)</f>
        <v>37.212999999636438</v>
      </c>
      <c r="P495" s="300"/>
      <c r="Q495" s="300">
        <v>28.146999999653456</v>
      </c>
      <c r="R495" s="300">
        <v>7.4109999999980047</v>
      </c>
      <c r="S495" s="300">
        <v>3.4690000003062926</v>
      </c>
      <c r="T495" s="300">
        <f t="shared" ref="T495:T496" si="1295">SUM(Q495:S495)</f>
        <v>39.026999999957752</v>
      </c>
      <c r="U495" s="300"/>
      <c r="V495" s="300">
        <v>29.301999999693813</v>
      </c>
      <c r="W495" s="300">
        <v>8.1849999999881859</v>
      </c>
      <c r="X495" s="300">
        <v>3.2140000001797571</v>
      </c>
      <c r="Y495" s="300">
        <f t="shared" ref="Y495:Y496" si="1296">SUM(V495:X495)</f>
        <v>40.700999999861757</v>
      </c>
    </row>
    <row r="496" spans="1:25" x14ac:dyDescent="0.2">
      <c r="A496" s="260" t="s">
        <v>354</v>
      </c>
      <c r="B496" s="300">
        <f>SUM(B494:B495)</f>
        <v>86.038999999527846</v>
      </c>
      <c r="C496" s="300">
        <f t="shared" ref="C496" si="1297">SUM(C494:C495)</f>
        <v>62.73999999877541</v>
      </c>
      <c r="D496" s="300">
        <f t="shared" ref="D496" si="1298">SUM(D494:D495)</f>
        <v>11.961999999716189</v>
      </c>
      <c r="E496" s="300">
        <f t="shared" si="1292"/>
        <v>160.74099999801945</v>
      </c>
      <c r="F496" s="300"/>
      <c r="G496" s="300">
        <f>SUM(G494:G495)</f>
        <v>84.336000000220366</v>
      </c>
      <c r="H496" s="300">
        <f t="shared" ref="H496" si="1299">SUM(H494:H495)</f>
        <v>69.339999999034333</v>
      </c>
      <c r="I496" s="300">
        <f t="shared" ref="I496" si="1300">SUM(I494:I495)</f>
        <v>12.662999999445638</v>
      </c>
      <c r="J496" s="300">
        <f t="shared" si="1293"/>
        <v>166.33899999870036</v>
      </c>
      <c r="K496" s="300"/>
      <c r="L496" s="300">
        <f>SUM(L494:L495)</f>
        <v>94.304999999142964</v>
      </c>
      <c r="M496" s="300">
        <f t="shared" ref="M496" si="1301">SUM(M494:M495)</f>
        <v>63.446999999056906</v>
      </c>
      <c r="N496" s="300">
        <f t="shared" ref="N496" si="1302">SUM(N494:N495)</f>
        <v>10.804000000482905</v>
      </c>
      <c r="O496" s="300">
        <f t="shared" si="1294"/>
        <v>168.55599999868278</v>
      </c>
      <c r="P496" s="300"/>
      <c r="Q496" s="300">
        <f>SUM(Q494:Q495)</f>
        <v>99.332999999635746</v>
      </c>
      <c r="R496" s="300">
        <f t="shared" ref="R496" si="1303">SUM(R494:R495)</f>
        <v>65.566999998051656</v>
      </c>
      <c r="S496" s="300">
        <f t="shared" ref="S496" si="1304">SUM(S494:S495)</f>
        <v>11.652000000399921</v>
      </c>
      <c r="T496" s="300">
        <f t="shared" si="1295"/>
        <v>176.55199999808733</v>
      </c>
      <c r="U496" s="300"/>
      <c r="V496" s="300">
        <f>SUM(V494:V495)</f>
        <v>104.48499999978335</v>
      </c>
      <c r="W496" s="300">
        <f t="shared" ref="W496" si="1305">SUM(W494:W495)</f>
        <v>66.206999999864621</v>
      </c>
      <c r="X496" s="300">
        <f t="shared" ref="X496" si="1306">SUM(X494:X495)</f>
        <v>12.820000000207752</v>
      </c>
      <c r="Y496" s="300">
        <f t="shared" si="1296"/>
        <v>183.51199999985573</v>
      </c>
    </row>
    <row r="497" spans="1:25" x14ac:dyDescent="0.2">
      <c r="C497" s="319"/>
      <c r="D497" s="319"/>
      <c r="E497" s="319"/>
      <c r="F497" s="319"/>
      <c r="G497" s="319"/>
      <c r="H497" s="319"/>
      <c r="I497" s="319"/>
      <c r="J497" s="319"/>
      <c r="K497" s="319"/>
      <c r="L497" s="319"/>
      <c r="M497" s="319"/>
      <c r="N497" s="319"/>
      <c r="O497" s="319"/>
      <c r="P497" s="319"/>
      <c r="Q497" s="319"/>
      <c r="R497" s="319"/>
      <c r="S497" s="319"/>
      <c r="T497" s="319"/>
      <c r="U497" s="319"/>
      <c r="V497" s="319"/>
      <c r="W497" s="319"/>
      <c r="X497" s="319"/>
      <c r="Y497" s="319"/>
    </row>
    <row r="498" spans="1:25" x14ac:dyDescent="0.2">
      <c r="A498" s="261" t="str">
        <f>name!A70</f>
        <v>Residential care</v>
      </c>
      <c r="C498" s="263"/>
    </row>
    <row r="499" spans="1:25" x14ac:dyDescent="0.2">
      <c r="A499" s="260" t="s">
        <v>356</v>
      </c>
      <c r="B499" s="300">
        <v>18.186999999749911</v>
      </c>
      <c r="C499" s="300">
        <v>18.886999999597982</v>
      </c>
      <c r="D499" s="300">
        <v>3.5889999996751425</v>
      </c>
      <c r="E499" s="300">
        <f>SUM(B499:D499)</f>
        <v>40.662999999023036</v>
      </c>
      <c r="F499" s="300"/>
      <c r="G499" s="300">
        <v>19.331000000128046</v>
      </c>
      <c r="H499" s="300">
        <v>18.214999999727354</v>
      </c>
      <c r="I499" s="300">
        <v>5.5189999997031407</v>
      </c>
      <c r="J499" s="300">
        <f>SUM(G499:I499)</f>
        <v>43.064999999558538</v>
      </c>
      <c r="K499" s="300"/>
      <c r="L499" s="300">
        <v>20.354999999866585</v>
      </c>
      <c r="M499" s="300">
        <v>14.663999999753647</v>
      </c>
      <c r="N499" s="300">
        <v>3.3000000001982679</v>
      </c>
      <c r="O499" s="300">
        <f>SUM(L499:N499)</f>
        <v>38.318999999818502</v>
      </c>
      <c r="P499" s="300"/>
      <c r="Q499" s="300">
        <v>23.492999999994154</v>
      </c>
      <c r="R499" s="300">
        <v>15.242999999489856</v>
      </c>
      <c r="S499" s="300">
        <v>3.7520000000429317</v>
      </c>
      <c r="T499" s="300">
        <f>SUM(Q499:S499)</f>
        <v>42.487999999526942</v>
      </c>
      <c r="U499" s="300"/>
      <c r="V499" s="300">
        <v>27.915000000033267</v>
      </c>
      <c r="W499" s="300">
        <v>14.579999999968971</v>
      </c>
      <c r="X499" s="300">
        <v>4.1530000000121028</v>
      </c>
      <c r="Y499" s="300">
        <f>SUM(V499:X499)</f>
        <v>46.648000000014335</v>
      </c>
    </row>
    <row r="500" spans="1:25" x14ac:dyDescent="0.2">
      <c r="A500" s="260" t="s">
        <v>355</v>
      </c>
      <c r="B500" s="300">
        <v>7.1440000001079191</v>
      </c>
      <c r="C500" s="300">
        <v>3.4039999999928137</v>
      </c>
      <c r="D500" s="300">
        <v>0.5990000000524367</v>
      </c>
      <c r="E500" s="300">
        <f t="shared" ref="E500:E501" si="1307">SUM(B500:D500)</f>
        <v>11.147000000153168</v>
      </c>
      <c r="F500" s="300"/>
      <c r="G500" s="300">
        <v>6.4949999999587531</v>
      </c>
      <c r="H500" s="300">
        <v>2.8349999999877431</v>
      </c>
      <c r="I500" s="300">
        <v>0.34399999999696529</v>
      </c>
      <c r="J500" s="300">
        <f t="shared" ref="J500:J501" si="1308">SUM(G500:I500)</f>
        <v>9.6739999999434616</v>
      </c>
      <c r="K500" s="300"/>
      <c r="L500" s="300">
        <v>6.9039999998933252</v>
      </c>
      <c r="M500" s="300">
        <v>3.0410000000033799</v>
      </c>
      <c r="N500" s="300">
        <v>0.28900000000362391</v>
      </c>
      <c r="O500" s="300">
        <f t="shared" ref="O500:O501" si="1309">SUM(L500:N500)</f>
        <v>10.233999999900329</v>
      </c>
      <c r="P500" s="300"/>
      <c r="Q500" s="300">
        <v>7.6109999999062881</v>
      </c>
      <c r="R500" s="300">
        <v>3.3519999999990979</v>
      </c>
      <c r="S500" s="300">
        <v>0.32000000002825429</v>
      </c>
      <c r="T500" s="300">
        <f t="shared" ref="T500:T501" si="1310">SUM(Q500:S500)</f>
        <v>11.28299999993364</v>
      </c>
      <c r="U500" s="300"/>
      <c r="V500" s="300">
        <v>8.3379999999128724</v>
      </c>
      <c r="W500" s="300">
        <v>3.6319999999947585</v>
      </c>
      <c r="X500" s="300">
        <v>0.34400000001923969</v>
      </c>
      <c r="Y500" s="300">
        <f t="shared" ref="Y500:Y501" si="1311">SUM(V500:X500)</f>
        <v>12.313999999926871</v>
      </c>
    </row>
    <row r="501" spans="1:25" x14ac:dyDescent="0.2">
      <c r="A501" s="260" t="s">
        <v>354</v>
      </c>
      <c r="B501" s="300">
        <f>SUM(B499:B500)</f>
        <v>25.330999999857831</v>
      </c>
      <c r="C501" s="300">
        <f t="shared" ref="C501" si="1312">SUM(C499:C500)</f>
        <v>22.290999999590795</v>
      </c>
      <c r="D501" s="300">
        <f t="shared" ref="D501" si="1313">SUM(D499:D500)</f>
        <v>4.1879999997275794</v>
      </c>
      <c r="E501" s="300">
        <f t="shared" si="1307"/>
        <v>51.809999999176206</v>
      </c>
      <c r="F501" s="300"/>
      <c r="G501" s="300">
        <f>SUM(G499:G500)</f>
        <v>25.8260000000868</v>
      </c>
      <c r="H501" s="300">
        <f t="shared" ref="H501" si="1314">SUM(H499:H500)</f>
        <v>21.049999999715098</v>
      </c>
      <c r="I501" s="300">
        <f t="shared" ref="I501" si="1315">SUM(I499:I500)</f>
        <v>5.8629999997001061</v>
      </c>
      <c r="J501" s="300">
        <f t="shared" si="1308"/>
        <v>52.738999999502006</v>
      </c>
      <c r="K501" s="300"/>
      <c r="L501" s="300">
        <f>SUM(L499:L500)</f>
        <v>27.258999999759912</v>
      </c>
      <c r="M501" s="300">
        <f t="shared" ref="M501" si="1316">SUM(M499:M500)</f>
        <v>17.704999999757028</v>
      </c>
      <c r="N501" s="300">
        <f t="shared" ref="N501" si="1317">SUM(N499:N500)</f>
        <v>3.5890000002018918</v>
      </c>
      <c r="O501" s="300">
        <f t="shared" si="1309"/>
        <v>48.552999999718836</v>
      </c>
      <c r="P501" s="300"/>
      <c r="Q501" s="300">
        <f>SUM(Q499:Q500)</f>
        <v>31.103999999900442</v>
      </c>
      <c r="R501" s="300">
        <f t="shared" ref="R501" si="1318">SUM(R499:R500)</f>
        <v>18.594999999488955</v>
      </c>
      <c r="S501" s="300">
        <f t="shared" ref="S501" si="1319">SUM(S499:S500)</f>
        <v>4.0720000000711858</v>
      </c>
      <c r="T501" s="300">
        <f t="shared" si="1310"/>
        <v>53.770999999460585</v>
      </c>
      <c r="U501" s="300"/>
      <c r="V501" s="300">
        <f>SUM(V499:V500)</f>
        <v>36.252999999946141</v>
      </c>
      <c r="W501" s="300">
        <f t="shared" ref="W501" si="1320">SUM(W499:W500)</f>
        <v>18.21199999996373</v>
      </c>
      <c r="X501" s="300">
        <f t="shared" ref="X501" si="1321">SUM(X499:X500)</f>
        <v>4.4970000000313428</v>
      </c>
      <c r="Y501" s="300">
        <f t="shared" si="1311"/>
        <v>58.961999999941213</v>
      </c>
    </row>
    <row r="502" spans="1:25" x14ac:dyDescent="0.2">
      <c r="C502" s="319"/>
      <c r="D502" s="319"/>
      <c r="E502" s="319"/>
      <c r="F502" s="319"/>
      <c r="G502" s="319"/>
      <c r="H502" s="319"/>
      <c r="I502" s="319"/>
      <c r="J502" s="319"/>
      <c r="K502" s="319"/>
      <c r="L502" s="319"/>
      <c r="M502" s="319"/>
      <c r="N502" s="319"/>
      <c r="O502" s="319"/>
      <c r="P502" s="319"/>
      <c r="Q502" s="319"/>
      <c r="R502" s="319"/>
      <c r="S502" s="319"/>
      <c r="T502" s="319"/>
      <c r="U502" s="319"/>
      <c r="V502" s="319"/>
      <c r="W502" s="319"/>
      <c r="X502" s="319"/>
      <c r="Y502" s="319"/>
    </row>
    <row r="503" spans="1:25" x14ac:dyDescent="0.2">
      <c r="A503" s="261" t="str">
        <f>name!A71</f>
        <v>Social work</v>
      </c>
      <c r="C503" s="263"/>
    </row>
    <row r="504" spans="1:25" x14ac:dyDescent="0.2">
      <c r="A504" s="260" t="s">
        <v>356</v>
      </c>
      <c r="B504" s="300">
        <v>21.148999999709183</v>
      </c>
      <c r="C504" s="300">
        <v>25.61599999945474</v>
      </c>
      <c r="D504" s="300">
        <v>3.6549999996691684</v>
      </c>
      <c r="E504" s="300">
        <f>SUM(B504:D504)</f>
        <v>50.419999998833084</v>
      </c>
      <c r="F504" s="300"/>
      <c r="G504" s="300">
        <v>21.268000000140866</v>
      </c>
      <c r="H504" s="300">
        <v>30.656999999541146</v>
      </c>
      <c r="I504" s="300">
        <v>6.0169999996763499</v>
      </c>
      <c r="J504" s="300">
        <f>SUM(G504:I504)</f>
        <v>57.941999999358366</v>
      </c>
      <c r="K504" s="300"/>
      <c r="L504" s="300">
        <v>22.393999999853254</v>
      </c>
      <c r="M504" s="300">
        <v>24.679999999585409</v>
      </c>
      <c r="N504" s="300">
        <v>3.5980000002161741</v>
      </c>
      <c r="O504" s="300">
        <f>SUM(L504:N504)</f>
        <v>50.671999999654837</v>
      </c>
      <c r="P504" s="300"/>
      <c r="Q504" s="300">
        <v>25.845999999993573</v>
      </c>
      <c r="R504" s="300">
        <v>25.65399999914143</v>
      </c>
      <c r="S504" s="300">
        <v>4.0910000000468107</v>
      </c>
      <c r="T504" s="300">
        <f>SUM(Q504:S504)</f>
        <v>55.590999999181811</v>
      </c>
      <c r="U504" s="300"/>
      <c r="V504" s="300">
        <v>30.711000000036581</v>
      </c>
      <c r="W504" s="300">
        <v>24.537999999947786</v>
      </c>
      <c r="X504" s="300">
        <v>4.5280000000131961</v>
      </c>
      <c r="Y504" s="300">
        <f>SUM(V504:X504)</f>
        <v>59.776999999997557</v>
      </c>
    </row>
    <row r="505" spans="1:25" x14ac:dyDescent="0.2">
      <c r="A505" s="260" t="s">
        <v>355</v>
      </c>
      <c r="B505" s="300">
        <v>6.4530000000974681</v>
      </c>
      <c r="C505" s="300">
        <v>3.4299999999927571</v>
      </c>
      <c r="D505" s="300">
        <v>0.77700000006801928</v>
      </c>
      <c r="E505" s="300">
        <f t="shared" ref="E505:E506" si="1322">SUM(B505:D505)</f>
        <v>10.660000000158245</v>
      </c>
      <c r="F505" s="300"/>
      <c r="G505" s="300">
        <v>5.5499999999647631</v>
      </c>
      <c r="H505" s="300">
        <v>3.5439999999846821</v>
      </c>
      <c r="I505" s="300">
        <v>0.47799999999578363</v>
      </c>
      <c r="J505" s="300">
        <f t="shared" ref="J505:J506" si="1323">SUM(G505:I505)</f>
        <v>9.5719999999452305</v>
      </c>
      <c r="K505" s="300"/>
      <c r="L505" s="300">
        <v>5.8989999999088596</v>
      </c>
      <c r="M505" s="300">
        <v>3.8020000000042242</v>
      </c>
      <c r="N505" s="300">
        <v>0.40200000000504099</v>
      </c>
      <c r="O505" s="300">
        <f t="shared" ref="O505:O506" si="1324">SUM(L505:N505)</f>
        <v>10.102999999918124</v>
      </c>
      <c r="P505" s="300"/>
      <c r="Q505" s="300">
        <v>6.5039999999199187</v>
      </c>
      <c r="R505" s="300">
        <v>4.1899999999988733</v>
      </c>
      <c r="S505" s="300">
        <v>0.44400000003920242</v>
      </c>
      <c r="T505" s="300">
        <f t="shared" ref="T505:T506" si="1325">SUM(Q505:S505)</f>
        <v>11.137999999957994</v>
      </c>
      <c r="U505" s="300"/>
      <c r="V505" s="300">
        <v>7.1249999999255484</v>
      </c>
      <c r="W505" s="300">
        <v>4.5409999999934403</v>
      </c>
      <c r="X505" s="300">
        <v>0.47800000002673476</v>
      </c>
      <c r="Y505" s="300">
        <f t="shared" ref="Y505:Y506" si="1326">SUM(V505:X505)</f>
        <v>12.143999999945722</v>
      </c>
    </row>
    <row r="506" spans="1:25" x14ac:dyDescent="0.2">
      <c r="A506" s="260" t="s">
        <v>354</v>
      </c>
      <c r="B506" s="300">
        <f>SUM(B504:B505)</f>
        <v>27.601999999806651</v>
      </c>
      <c r="C506" s="300">
        <f t="shared" ref="C506" si="1327">SUM(C504:C505)</f>
        <v>29.045999999447496</v>
      </c>
      <c r="D506" s="300">
        <f t="shared" ref="D506" si="1328">SUM(D504:D505)</f>
        <v>4.4319999997371875</v>
      </c>
      <c r="E506" s="300">
        <f t="shared" si="1322"/>
        <v>61.079999998991333</v>
      </c>
      <c r="F506" s="300"/>
      <c r="G506" s="300">
        <f>SUM(G504:G505)</f>
        <v>26.818000000105627</v>
      </c>
      <c r="H506" s="300">
        <f t="shared" ref="H506" si="1329">SUM(H504:H505)</f>
        <v>34.200999999525827</v>
      </c>
      <c r="I506" s="300">
        <f t="shared" ref="I506" si="1330">SUM(I504:I505)</f>
        <v>6.4949999996721335</v>
      </c>
      <c r="J506" s="300">
        <f t="shared" si="1323"/>
        <v>67.513999999303593</v>
      </c>
      <c r="K506" s="300"/>
      <c r="L506" s="300">
        <f>SUM(L504:L505)</f>
        <v>28.292999999762113</v>
      </c>
      <c r="M506" s="300">
        <f t="shared" ref="M506" si="1331">SUM(M504:M505)</f>
        <v>28.481999999589632</v>
      </c>
      <c r="N506" s="300">
        <f t="shared" ref="N506" si="1332">SUM(N504:N505)</f>
        <v>4.000000000221215</v>
      </c>
      <c r="O506" s="300">
        <f t="shared" si="1324"/>
        <v>60.774999999572962</v>
      </c>
      <c r="P506" s="300"/>
      <c r="Q506" s="300">
        <f>SUM(Q504:Q505)</f>
        <v>32.349999999913493</v>
      </c>
      <c r="R506" s="300">
        <f t="shared" ref="R506" si="1333">SUM(R504:R505)</f>
        <v>29.843999999140301</v>
      </c>
      <c r="S506" s="300">
        <f t="shared" ref="S506" si="1334">SUM(S504:S505)</f>
        <v>4.5350000000860131</v>
      </c>
      <c r="T506" s="300">
        <f t="shared" si="1325"/>
        <v>66.728999999139802</v>
      </c>
      <c r="U506" s="300"/>
      <c r="V506" s="300">
        <f>SUM(V504:V505)</f>
        <v>37.835999999962127</v>
      </c>
      <c r="W506" s="300">
        <f t="shared" ref="W506" si="1335">SUM(W504:W505)</f>
        <v>29.078999999941225</v>
      </c>
      <c r="X506" s="300">
        <f t="shared" ref="X506" si="1336">SUM(X504:X505)</f>
        <v>5.006000000039931</v>
      </c>
      <c r="Y506" s="300">
        <f t="shared" si="1326"/>
        <v>71.920999999943291</v>
      </c>
    </row>
    <row r="507" spans="1:25" x14ac:dyDescent="0.2">
      <c r="C507" s="263"/>
    </row>
    <row r="508" spans="1:25" x14ac:dyDescent="0.2">
      <c r="A508" s="261" t="s">
        <v>359</v>
      </c>
      <c r="C508" s="263"/>
    </row>
    <row r="509" spans="1:25" x14ac:dyDescent="0.2">
      <c r="A509" s="260" t="s">
        <v>356</v>
      </c>
      <c r="B509" s="300">
        <f>SUM(B494,B499,B504)</f>
        <v>100.73999999861479</v>
      </c>
      <c r="C509" s="300">
        <f t="shared" ref="C509:D509" si="1337">SUM(C494,C499,C504)</f>
        <v>101.45999999784036</v>
      </c>
      <c r="D509" s="300">
        <f t="shared" si="1337"/>
        <v>14.71899999866771</v>
      </c>
      <c r="E509" s="300">
        <f>SUM(B509:D509)</f>
        <v>216.91899999512285</v>
      </c>
      <c r="F509" s="300"/>
      <c r="G509" s="300">
        <f>SUM(G494,G499,G504)</f>
        <v>98.865000000654817</v>
      </c>
      <c r="H509" s="300">
        <f t="shared" ref="H509:I509" si="1338">SUM(H494,H499,H504)</f>
        <v>111.42799999833215</v>
      </c>
      <c r="I509" s="300">
        <f t="shared" si="1338"/>
        <v>21.379999998850003</v>
      </c>
      <c r="J509" s="300">
        <f>SUM(G509:I509)</f>
        <v>231.67299999783697</v>
      </c>
      <c r="K509" s="300"/>
      <c r="L509" s="300">
        <f>SUM(L494,L499,L504)</f>
        <v>110.19099999927782</v>
      </c>
      <c r="M509" s="300">
        <f t="shared" ref="M509:N509" si="1339">SUM(M494,M499,M504)</f>
        <v>95.93699999838833</v>
      </c>
      <c r="N509" s="300">
        <f t="shared" si="1339"/>
        <v>14.206000000853511</v>
      </c>
      <c r="O509" s="300">
        <f>SUM(L509:N509)</f>
        <v>220.33399999851969</v>
      </c>
      <c r="P509" s="300"/>
      <c r="Q509" s="300">
        <f>SUM(Q494,Q499,Q504)</f>
        <v>120.52499999997002</v>
      </c>
      <c r="R509" s="300">
        <f t="shared" ref="R509:S509" si="1340">SUM(R494,R499,R504)</f>
        <v>99.052999996684946</v>
      </c>
      <c r="S509" s="300">
        <f t="shared" si="1340"/>
        <v>16.02600000018337</v>
      </c>
      <c r="T509" s="300">
        <f>SUM(Q509:S509)</f>
        <v>235.60399999683833</v>
      </c>
      <c r="U509" s="300"/>
      <c r="V509" s="300">
        <f>SUM(V494,V499,V504)</f>
        <v>133.80900000015941</v>
      </c>
      <c r="W509" s="300">
        <f t="shared" ref="W509:X509" si="1341">SUM(W494,W499,W504)</f>
        <v>97.13999999979319</v>
      </c>
      <c r="X509" s="300">
        <f t="shared" si="1341"/>
        <v>18.287000000053293</v>
      </c>
      <c r="Y509" s="300">
        <f>SUM(V509:X509)</f>
        <v>249.2360000000059</v>
      </c>
    </row>
    <row r="510" spans="1:25" x14ac:dyDescent="0.2">
      <c r="A510" s="260" t="s">
        <v>355</v>
      </c>
      <c r="B510" s="300">
        <f>SUM(B495,B500,B505)</f>
        <v>38.232000000577543</v>
      </c>
      <c r="C510" s="300">
        <f t="shared" ref="C510:D510" si="1342">SUM(C495,C500,C505)</f>
        <v>12.61699999997335</v>
      </c>
      <c r="D510" s="300">
        <f t="shared" si="1342"/>
        <v>5.8630000005132459</v>
      </c>
      <c r="E510" s="300">
        <f t="shared" ref="E510:E511" si="1343">SUM(B510:D510)</f>
        <v>56.712000001064141</v>
      </c>
      <c r="F510" s="300"/>
      <c r="G510" s="300">
        <f>SUM(G495,G500,G505)</f>
        <v>38.114999999757963</v>
      </c>
      <c r="H510" s="300">
        <f t="shared" ref="H510:I510" si="1344">SUM(H495,H500,H505)</f>
        <v>13.162999999943096</v>
      </c>
      <c r="I510" s="300">
        <f t="shared" si="1344"/>
        <v>3.6409999999678759</v>
      </c>
      <c r="J510" s="300">
        <f t="shared" ref="J510:J511" si="1345">SUM(G510:I510)</f>
        <v>54.918999999668934</v>
      </c>
      <c r="K510" s="300"/>
      <c r="L510" s="300">
        <f>SUM(L495,L500,L505)</f>
        <v>39.665999999387168</v>
      </c>
      <c r="M510" s="300">
        <f t="shared" ref="M510:N510" si="1346">SUM(M495,M500,M505)</f>
        <v>13.697000000015226</v>
      </c>
      <c r="N510" s="300">
        <f t="shared" si="1346"/>
        <v>4.1870000000525014</v>
      </c>
      <c r="O510" s="300">
        <f t="shared" ref="O510:O511" si="1347">SUM(L510:N510)</f>
        <v>57.54999999945489</v>
      </c>
      <c r="P510" s="300"/>
      <c r="Q510" s="300">
        <f>SUM(Q495,Q500,Q505)</f>
        <v>42.261999999479663</v>
      </c>
      <c r="R510" s="300">
        <f t="shared" ref="R510:S510" si="1348">SUM(R495,R500,R505)</f>
        <v>14.952999999995976</v>
      </c>
      <c r="S510" s="300">
        <f t="shared" si="1348"/>
        <v>4.2330000003737496</v>
      </c>
      <c r="T510" s="300">
        <f t="shared" ref="T510:T511" si="1349">SUM(Q510:S510)</f>
        <v>61.447999999849387</v>
      </c>
      <c r="U510" s="300"/>
      <c r="V510" s="300">
        <f>SUM(V495,V500,V505)</f>
        <v>44.764999999532236</v>
      </c>
      <c r="W510" s="300">
        <f t="shared" ref="W510:X510" si="1350">SUM(W495,W500,W505)</f>
        <v>16.357999999976386</v>
      </c>
      <c r="X510" s="300">
        <f t="shared" si="1350"/>
        <v>4.036000000225731</v>
      </c>
      <c r="Y510" s="300">
        <f t="shared" ref="Y510:Y511" si="1351">SUM(V510:X510)</f>
        <v>65.158999999734348</v>
      </c>
    </row>
    <row r="511" spans="1:25" x14ac:dyDescent="0.2">
      <c r="A511" s="264" t="s">
        <v>354</v>
      </c>
      <c r="B511" s="301">
        <f>SUM(B509:B510)</f>
        <v>138.97199999919235</v>
      </c>
      <c r="C511" s="301">
        <f t="shared" ref="C511" si="1352">SUM(C509:C510)</f>
        <v>114.0769999978137</v>
      </c>
      <c r="D511" s="301">
        <f t="shared" ref="D511" si="1353">SUM(D509:D510)</f>
        <v>20.581999999180958</v>
      </c>
      <c r="E511" s="301">
        <f t="shared" si="1343"/>
        <v>273.63099999618697</v>
      </c>
      <c r="F511" s="301"/>
      <c r="G511" s="301">
        <f>SUM(G509:G510)</f>
        <v>136.98000000041279</v>
      </c>
      <c r="H511" s="301">
        <f t="shared" ref="H511" si="1354">SUM(H509:H510)</f>
        <v>124.59099999827525</v>
      </c>
      <c r="I511" s="301">
        <f t="shared" ref="I511" si="1355">SUM(I509:I510)</f>
        <v>25.020999998817878</v>
      </c>
      <c r="J511" s="301">
        <f t="shared" si="1345"/>
        <v>286.59199999750592</v>
      </c>
      <c r="K511" s="301"/>
      <c r="L511" s="301">
        <f>SUM(L509:L510)</f>
        <v>149.856999998665</v>
      </c>
      <c r="M511" s="301">
        <f t="shared" ref="M511" si="1356">SUM(M509:M510)</f>
        <v>109.63399999840355</v>
      </c>
      <c r="N511" s="301">
        <f t="shared" ref="N511" si="1357">SUM(N509:N510)</f>
        <v>18.393000000906014</v>
      </c>
      <c r="O511" s="301">
        <f t="shared" si="1347"/>
        <v>277.88399999797457</v>
      </c>
      <c r="P511" s="301"/>
      <c r="Q511" s="301">
        <f>SUM(Q509:Q510)</f>
        <v>162.78699999944968</v>
      </c>
      <c r="R511" s="301">
        <f t="shared" ref="R511" si="1358">SUM(R509:R510)</f>
        <v>114.00599999668093</v>
      </c>
      <c r="S511" s="301">
        <f t="shared" ref="S511" si="1359">SUM(S509:S510)</f>
        <v>20.259000000557119</v>
      </c>
      <c r="T511" s="301">
        <f t="shared" si="1349"/>
        <v>297.05199999668775</v>
      </c>
      <c r="U511" s="301"/>
      <c r="V511" s="301">
        <f>SUM(V509:V510)</f>
        <v>178.57399999969164</v>
      </c>
      <c r="W511" s="301">
        <f t="shared" ref="W511" si="1360">SUM(W509:W510)</f>
        <v>113.49799999976958</v>
      </c>
      <c r="X511" s="301">
        <f t="shared" ref="X511" si="1361">SUM(X509:X510)</f>
        <v>22.323000000279023</v>
      </c>
      <c r="Y511" s="301">
        <f t="shared" si="1351"/>
        <v>314.39499999974026</v>
      </c>
    </row>
    <row r="512" spans="1:25" x14ac:dyDescent="0.2">
      <c r="C512" s="263"/>
    </row>
    <row r="513" spans="1:25" x14ac:dyDescent="0.2">
      <c r="A513" s="261"/>
    </row>
    <row r="514" spans="1:25" x14ac:dyDescent="0.2">
      <c r="C514" s="263"/>
    </row>
    <row r="515" spans="1:25" ht="15" x14ac:dyDescent="0.25">
      <c r="A515" s="265" t="str">
        <f>"Industry 21 : "&amp; name!B24</f>
        <v>Industry 21 : Arts and entertainment</v>
      </c>
      <c r="B515" s="371">
        <f>$B$5</f>
        <v>2015</v>
      </c>
      <c r="C515" s="371"/>
      <c r="D515" s="371"/>
      <c r="E515" s="371"/>
      <c r="F515" s="320"/>
      <c r="G515" s="371">
        <f>$G$5</f>
        <v>2019</v>
      </c>
      <c r="H515" s="371"/>
      <c r="I515" s="371"/>
      <c r="J515" s="371"/>
      <c r="K515" s="320"/>
      <c r="L515" s="371">
        <f>$L$5</f>
        <v>2020</v>
      </c>
      <c r="M515" s="371"/>
      <c r="N515" s="371"/>
      <c r="O515" s="371"/>
      <c r="P515" s="318"/>
      <c r="Q515" s="371">
        <f>$Q$5</f>
        <v>2025</v>
      </c>
      <c r="R515" s="371"/>
      <c r="S515" s="371"/>
      <c r="T515" s="371"/>
      <c r="U515" s="320"/>
      <c r="V515" s="371">
        <f>$V$5</f>
        <v>2035</v>
      </c>
      <c r="W515" s="371"/>
      <c r="X515" s="371"/>
      <c r="Y515" s="371"/>
    </row>
    <row r="516" spans="1:25" x14ac:dyDescent="0.2">
      <c r="A516" s="264"/>
      <c r="B516" s="268" t="str">
        <f>$B$6</f>
        <v>FT</v>
      </c>
      <c r="C516" s="268" t="str">
        <f>$C$6</f>
        <v>PT</v>
      </c>
      <c r="D516" s="268" t="str">
        <f>$D$6</f>
        <v>SE</v>
      </c>
      <c r="E516" s="268" t="str">
        <f>$E$6</f>
        <v>Total</v>
      </c>
      <c r="F516" s="268"/>
      <c r="G516" s="268" t="str">
        <f>$B$6</f>
        <v>FT</v>
      </c>
      <c r="H516" s="268" t="str">
        <f>$C$6</f>
        <v>PT</v>
      </c>
      <c r="I516" s="268" t="str">
        <f>$D$6</f>
        <v>SE</v>
      </c>
      <c r="J516" s="268" t="str">
        <f>$E$6</f>
        <v>Total</v>
      </c>
      <c r="K516" s="268"/>
      <c r="L516" s="268" t="str">
        <f>$L$6</f>
        <v>FT</v>
      </c>
      <c r="M516" s="268" t="str">
        <f>$M$6</f>
        <v>PT</v>
      </c>
      <c r="N516" s="268" t="str">
        <f>$N$6</f>
        <v>SE</v>
      </c>
      <c r="O516" s="268" t="str">
        <f>$O$6</f>
        <v>Total</v>
      </c>
      <c r="P516" s="268"/>
      <c r="Q516" s="268" t="str">
        <f>$L$6</f>
        <v>FT</v>
      </c>
      <c r="R516" s="268" t="str">
        <f>$M$6</f>
        <v>PT</v>
      </c>
      <c r="S516" s="268" t="str">
        <f>$N$6</f>
        <v>SE</v>
      </c>
      <c r="T516" s="268" t="str">
        <f>$O$6</f>
        <v>Total</v>
      </c>
      <c r="U516" s="268"/>
      <c r="V516" s="268" t="str">
        <f>$V$6</f>
        <v>FT</v>
      </c>
      <c r="W516" s="268" t="str">
        <f>$W$6</f>
        <v>PT</v>
      </c>
      <c r="X516" s="268" t="str">
        <f>$X$6</f>
        <v>SE</v>
      </c>
      <c r="Y516" s="268" t="str">
        <f>$Y$6</f>
        <v>Total</v>
      </c>
    </row>
    <row r="517" spans="1:25" x14ac:dyDescent="0.2">
      <c r="A517" s="262"/>
      <c r="C517" s="319"/>
      <c r="D517" s="319"/>
      <c r="E517" s="319"/>
      <c r="F517" s="319"/>
      <c r="G517" s="319"/>
      <c r="H517" s="319"/>
      <c r="I517" s="319"/>
      <c r="J517" s="319"/>
      <c r="K517" s="319"/>
      <c r="L517" s="319"/>
      <c r="M517" s="319"/>
      <c r="N517" s="319"/>
      <c r="O517" s="319"/>
      <c r="P517" s="319"/>
      <c r="Q517" s="319"/>
      <c r="R517" s="319"/>
      <c r="S517" s="319"/>
      <c r="T517" s="319"/>
      <c r="U517" s="319"/>
      <c r="V517" s="319"/>
      <c r="W517" s="319"/>
      <c r="X517" s="319"/>
      <c r="Y517" s="319"/>
    </row>
    <row r="518" spans="1:25" x14ac:dyDescent="0.2">
      <c r="A518" s="261" t="str">
        <f>name!A72</f>
        <v>Arts and entertainment</v>
      </c>
      <c r="C518" s="263"/>
    </row>
    <row r="519" spans="1:25" x14ac:dyDescent="0.2">
      <c r="A519" s="260" t="s">
        <v>356</v>
      </c>
      <c r="B519" s="300">
        <v>0.55399999998697824</v>
      </c>
      <c r="C519" s="300">
        <v>0.88400000000595758</v>
      </c>
      <c r="D519" s="300">
        <v>0.8069999999890034</v>
      </c>
      <c r="E519" s="300">
        <f>SUM(B519:D519)</f>
        <v>2.244999999981939</v>
      </c>
      <c r="F519" s="300"/>
      <c r="G519" s="300">
        <v>0.44000000000016093</v>
      </c>
      <c r="H519" s="300">
        <v>0.79400000000022763</v>
      </c>
      <c r="I519" s="300">
        <v>0.51500000001837587</v>
      </c>
      <c r="J519" s="300">
        <f>SUM(G519:I519)</f>
        <v>1.7490000000187644</v>
      </c>
      <c r="K519" s="300"/>
      <c r="L519" s="300">
        <v>0.50799999999103218</v>
      </c>
      <c r="M519" s="300">
        <v>0.67500000000493321</v>
      </c>
      <c r="N519" s="300">
        <v>0.91199999996028558</v>
      </c>
      <c r="O519" s="300">
        <f>SUM(L519:N519)</f>
        <v>2.0949999999562507</v>
      </c>
      <c r="P519" s="300"/>
      <c r="Q519" s="300">
        <v>0.39300000000972196</v>
      </c>
      <c r="R519" s="300">
        <v>0.56200000000331318</v>
      </c>
      <c r="S519" s="300">
        <v>0.71200000001030772</v>
      </c>
      <c r="T519" s="300">
        <f>SUM(Q519:S519)</f>
        <v>1.6670000000233429</v>
      </c>
      <c r="U519" s="300"/>
      <c r="V519" s="300">
        <v>0.37600000000247352</v>
      </c>
      <c r="W519" s="300">
        <v>0.58999999999844055</v>
      </c>
      <c r="X519" s="300">
        <v>0.77800000001301484</v>
      </c>
      <c r="Y519" s="300">
        <f>SUM(V519:X519)</f>
        <v>1.7440000000139291</v>
      </c>
    </row>
    <row r="520" spans="1:25" x14ac:dyDescent="0.2">
      <c r="A520" s="260" t="s">
        <v>355</v>
      </c>
      <c r="B520" s="300">
        <v>1.2899999999994838</v>
      </c>
      <c r="C520" s="300">
        <v>0.32699999999950569</v>
      </c>
      <c r="D520" s="300">
        <v>4.8110000002192663</v>
      </c>
      <c r="E520" s="300">
        <f t="shared" ref="E520:E521" si="1362">SUM(B520:D520)</f>
        <v>6.4280000002182556</v>
      </c>
      <c r="F520" s="300"/>
      <c r="G520" s="300">
        <v>0.7819999999980678</v>
      </c>
      <c r="H520" s="300">
        <v>0.25300000000136053</v>
      </c>
      <c r="I520" s="300">
        <v>2.1100000000032484</v>
      </c>
      <c r="J520" s="300">
        <f t="shared" ref="J520:J521" si="1363">SUM(G520:I520)</f>
        <v>3.1450000000026765</v>
      </c>
      <c r="K520" s="300"/>
      <c r="L520" s="300">
        <v>0.45499999999794455</v>
      </c>
      <c r="M520" s="300">
        <v>0.28300000000127257</v>
      </c>
      <c r="N520" s="300">
        <v>1.5480000000283161</v>
      </c>
      <c r="O520" s="300">
        <f t="shared" ref="O520:O521" si="1364">SUM(L520:N520)</f>
        <v>2.2860000000275331</v>
      </c>
      <c r="P520" s="300"/>
      <c r="Q520" s="300">
        <v>0.36199999999964905</v>
      </c>
      <c r="R520" s="300">
        <v>0.22500000000101794</v>
      </c>
      <c r="S520" s="300">
        <v>1.1570000000748324</v>
      </c>
      <c r="T520" s="300">
        <f t="shared" ref="T520:T521" si="1365">SUM(Q520:S520)</f>
        <v>1.7440000000754994</v>
      </c>
      <c r="U520" s="300"/>
      <c r="V520" s="300">
        <v>0.37199999999866962</v>
      </c>
      <c r="W520" s="300">
        <v>0.22200000000167497</v>
      </c>
      <c r="X520" s="300">
        <v>1.0880000000515282</v>
      </c>
      <c r="Y520" s="300">
        <f t="shared" ref="Y520:Y521" si="1366">SUM(V520:X520)</f>
        <v>1.6820000000518727</v>
      </c>
    </row>
    <row r="521" spans="1:25" x14ac:dyDescent="0.2">
      <c r="A521" s="260" t="s">
        <v>354</v>
      </c>
      <c r="B521" s="300">
        <f>SUM(B519:B520)</f>
        <v>1.843999999986462</v>
      </c>
      <c r="C521" s="300">
        <f t="shared" ref="C521" si="1367">SUM(C519:C520)</f>
        <v>1.2110000000054633</v>
      </c>
      <c r="D521" s="300">
        <f t="shared" ref="D521" si="1368">SUM(D519:D520)</f>
        <v>5.6180000002082693</v>
      </c>
      <c r="E521" s="300">
        <f t="shared" si="1362"/>
        <v>8.6730000002001937</v>
      </c>
      <c r="F521" s="300"/>
      <c r="G521" s="300">
        <f>SUM(G519:G520)</f>
        <v>1.2219999999982287</v>
      </c>
      <c r="H521" s="300">
        <f t="shared" ref="H521" si="1369">SUM(H519:H520)</f>
        <v>1.0470000000015882</v>
      </c>
      <c r="I521" s="300">
        <f t="shared" ref="I521" si="1370">SUM(I519:I520)</f>
        <v>2.6250000000216245</v>
      </c>
      <c r="J521" s="300">
        <f t="shared" si="1363"/>
        <v>4.8940000000214416</v>
      </c>
      <c r="K521" s="300"/>
      <c r="L521" s="300">
        <f>SUM(L519:L520)</f>
        <v>0.96299999998897667</v>
      </c>
      <c r="M521" s="300">
        <f t="shared" ref="M521" si="1371">SUM(M519:M520)</f>
        <v>0.95800000000620578</v>
      </c>
      <c r="N521" s="300">
        <f t="shared" ref="N521" si="1372">SUM(N519:N520)</f>
        <v>2.4599999999886015</v>
      </c>
      <c r="O521" s="300">
        <f t="shared" si="1364"/>
        <v>4.3809999999837839</v>
      </c>
      <c r="P521" s="300"/>
      <c r="Q521" s="300">
        <f>SUM(Q519:Q520)</f>
        <v>0.75500000000937106</v>
      </c>
      <c r="R521" s="300">
        <f t="shared" ref="R521" si="1373">SUM(R519:R520)</f>
        <v>0.78700000000433112</v>
      </c>
      <c r="S521" s="300">
        <f t="shared" ref="S521" si="1374">SUM(S519:S520)</f>
        <v>1.8690000000851401</v>
      </c>
      <c r="T521" s="300">
        <f t="shared" si="1365"/>
        <v>3.4110000000988423</v>
      </c>
      <c r="U521" s="300"/>
      <c r="V521" s="300">
        <f>SUM(V519:V520)</f>
        <v>0.74800000000114308</v>
      </c>
      <c r="W521" s="300">
        <f t="shared" ref="W521" si="1375">SUM(W519:W520)</f>
        <v>0.81200000000011552</v>
      </c>
      <c r="X521" s="300">
        <f t="shared" ref="X521" si="1376">SUM(X519:X520)</f>
        <v>1.8660000000645431</v>
      </c>
      <c r="Y521" s="300">
        <f t="shared" si="1366"/>
        <v>3.4260000000658017</v>
      </c>
    </row>
    <row r="522" spans="1:25" x14ac:dyDescent="0.2">
      <c r="C522" s="319"/>
      <c r="D522" s="319"/>
      <c r="E522" s="319"/>
      <c r="F522" s="319"/>
      <c r="G522" s="319"/>
      <c r="H522" s="319"/>
      <c r="I522" s="319"/>
      <c r="J522" s="319"/>
      <c r="K522" s="319"/>
      <c r="L522" s="319"/>
      <c r="M522" s="319"/>
      <c r="N522" s="319"/>
      <c r="O522" s="319"/>
      <c r="P522" s="319"/>
      <c r="Q522" s="319"/>
      <c r="R522" s="319"/>
      <c r="S522" s="319"/>
      <c r="T522" s="319"/>
      <c r="U522" s="319"/>
      <c r="V522" s="319"/>
      <c r="W522" s="319"/>
      <c r="X522" s="319"/>
      <c r="Y522" s="319"/>
    </row>
    <row r="523" spans="1:25" x14ac:dyDescent="0.2">
      <c r="A523" s="261" t="str">
        <f>name!A73</f>
        <v>Libraries, etc</v>
      </c>
      <c r="C523" s="263"/>
    </row>
    <row r="524" spans="1:25" x14ac:dyDescent="0.2">
      <c r="A524" s="260" t="s">
        <v>356</v>
      </c>
      <c r="B524" s="300">
        <v>1.4729999999653784</v>
      </c>
      <c r="C524" s="300">
        <v>2.3790000000160307</v>
      </c>
      <c r="D524" s="300">
        <v>2.0539999999720084</v>
      </c>
      <c r="E524" s="300">
        <f>SUM(B524:D524)</f>
        <v>5.9059999999534174</v>
      </c>
      <c r="F524" s="300"/>
      <c r="G524" s="300">
        <v>1.4450000000005296</v>
      </c>
      <c r="H524" s="300">
        <v>3.7940000000010885</v>
      </c>
      <c r="I524" s="300">
        <v>2.1540000000768553</v>
      </c>
      <c r="J524" s="300">
        <f>SUM(G524:I524)</f>
        <v>7.393000000078473</v>
      </c>
      <c r="K524" s="300"/>
      <c r="L524" s="300">
        <v>1.670999999970501</v>
      </c>
      <c r="M524" s="300">
        <v>3.2260000000235793</v>
      </c>
      <c r="N524" s="300">
        <v>3.8109999998340447</v>
      </c>
      <c r="O524" s="300">
        <f>SUM(L524:N524)</f>
        <v>8.7079999998281252</v>
      </c>
      <c r="P524" s="300"/>
      <c r="Q524" s="300">
        <v>1.2920000000319629</v>
      </c>
      <c r="R524" s="300">
        <v>2.6870000000158423</v>
      </c>
      <c r="S524" s="300">
        <v>2.9740000000430573</v>
      </c>
      <c r="T524" s="300">
        <f>SUM(Q524:S524)</f>
        <v>6.9530000000908627</v>
      </c>
      <c r="U524" s="300"/>
      <c r="V524" s="300">
        <v>1.2350000000081238</v>
      </c>
      <c r="W524" s="300">
        <v>2.8209999999925448</v>
      </c>
      <c r="X524" s="300">
        <v>3.252000000054402</v>
      </c>
      <c r="Y524" s="300">
        <f>SUM(V524:X524)</f>
        <v>7.3080000000550704</v>
      </c>
    </row>
    <row r="525" spans="1:25" x14ac:dyDescent="0.2">
      <c r="A525" s="260" t="s">
        <v>355</v>
      </c>
      <c r="B525" s="300">
        <v>1.1799999999995274</v>
      </c>
      <c r="C525" s="300">
        <v>0.52699999999920333</v>
      </c>
      <c r="D525" s="300">
        <v>3.7670000001716843</v>
      </c>
      <c r="E525" s="300">
        <f t="shared" ref="E525:E526" si="1377">SUM(B525:D525)</f>
        <v>5.474000000170415</v>
      </c>
      <c r="F525" s="300"/>
      <c r="G525" s="300">
        <v>0.8839999999978162</v>
      </c>
      <c r="H525" s="300">
        <v>0.72700000000390996</v>
      </c>
      <c r="I525" s="300">
        <v>2.7130000000041736</v>
      </c>
      <c r="J525" s="300">
        <f t="shared" ref="J525:J526" si="1378">SUM(G525:I525)</f>
        <v>4.3240000000059</v>
      </c>
      <c r="K525" s="300"/>
      <c r="L525" s="300">
        <v>0.51399999999767831</v>
      </c>
      <c r="M525" s="300">
        <v>0.81000000000364192</v>
      </c>
      <c r="N525" s="300">
        <v>1.9900000000363998</v>
      </c>
      <c r="O525" s="300">
        <f t="shared" ref="O525:O526" si="1379">SUM(L525:N525)</f>
        <v>3.3140000000377201</v>
      </c>
      <c r="P525" s="300"/>
      <c r="Q525" s="300">
        <v>0.40999999999960252</v>
      </c>
      <c r="R525" s="300">
        <v>0.64600000000292246</v>
      </c>
      <c r="S525" s="300">
        <v>1.4880000000962395</v>
      </c>
      <c r="T525" s="300">
        <f t="shared" ref="T525:T526" si="1380">SUM(Q525:S525)</f>
        <v>2.5440000000987641</v>
      </c>
      <c r="U525" s="300"/>
      <c r="V525" s="300">
        <v>0.42099999999849425</v>
      </c>
      <c r="W525" s="300">
        <v>0.63700000000480672</v>
      </c>
      <c r="X525" s="300">
        <v>1.399000000066257</v>
      </c>
      <c r="Y525" s="300">
        <f t="shared" ref="Y525:Y526" si="1381">SUM(V525:X525)</f>
        <v>2.457000000069558</v>
      </c>
    </row>
    <row r="526" spans="1:25" x14ac:dyDescent="0.2">
      <c r="A526" s="260" t="s">
        <v>354</v>
      </c>
      <c r="B526" s="300">
        <f>SUM(B524:B525)</f>
        <v>2.6529999999649059</v>
      </c>
      <c r="C526" s="300">
        <f t="shared" ref="C526" si="1382">SUM(C524:C525)</f>
        <v>2.9060000000152342</v>
      </c>
      <c r="D526" s="300">
        <f t="shared" ref="D526" si="1383">SUM(D524:D525)</f>
        <v>5.8210000001436928</v>
      </c>
      <c r="E526" s="300">
        <f t="shared" si="1377"/>
        <v>11.380000000123832</v>
      </c>
      <c r="F526" s="300"/>
      <c r="G526" s="300">
        <f>SUM(G524:G525)</f>
        <v>2.3289999999983459</v>
      </c>
      <c r="H526" s="300">
        <f t="shared" ref="H526" si="1384">SUM(H524:H525)</f>
        <v>4.5210000000049986</v>
      </c>
      <c r="I526" s="300">
        <f t="shared" ref="I526" si="1385">SUM(I524:I525)</f>
        <v>4.8670000000810294</v>
      </c>
      <c r="J526" s="300">
        <f t="shared" si="1378"/>
        <v>11.717000000084374</v>
      </c>
      <c r="K526" s="300"/>
      <c r="L526" s="300">
        <f>SUM(L524:L525)</f>
        <v>2.1849999999681793</v>
      </c>
      <c r="M526" s="300">
        <f t="shared" ref="M526" si="1386">SUM(M524:M525)</f>
        <v>4.0360000000272214</v>
      </c>
      <c r="N526" s="300">
        <f t="shared" ref="N526" si="1387">SUM(N524:N525)</f>
        <v>5.8009999998704442</v>
      </c>
      <c r="O526" s="300">
        <f t="shared" si="1379"/>
        <v>12.021999999865844</v>
      </c>
      <c r="P526" s="300"/>
      <c r="Q526" s="300">
        <f>SUM(Q524:Q525)</f>
        <v>1.7020000000315654</v>
      </c>
      <c r="R526" s="300">
        <f t="shared" ref="R526" si="1388">SUM(R524:R525)</f>
        <v>3.3330000000187647</v>
      </c>
      <c r="S526" s="300">
        <f t="shared" ref="S526" si="1389">SUM(S524:S525)</f>
        <v>4.4620000001392963</v>
      </c>
      <c r="T526" s="300">
        <f t="shared" si="1380"/>
        <v>9.497000000189626</v>
      </c>
      <c r="U526" s="300"/>
      <c r="V526" s="300">
        <f>SUM(V524:V525)</f>
        <v>1.656000000006618</v>
      </c>
      <c r="W526" s="300">
        <f t="shared" ref="W526" si="1390">SUM(W524:W525)</f>
        <v>3.4579999999973516</v>
      </c>
      <c r="X526" s="300">
        <f t="shared" ref="X526" si="1391">SUM(X524:X525)</f>
        <v>4.6510000001206588</v>
      </c>
      <c r="Y526" s="300">
        <f t="shared" si="1381"/>
        <v>9.765000000124628</v>
      </c>
    </row>
    <row r="527" spans="1:25" x14ac:dyDescent="0.2">
      <c r="C527" s="319"/>
      <c r="D527" s="319"/>
      <c r="E527" s="319"/>
      <c r="F527" s="319"/>
      <c r="G527" s="319"/>
      <c r="H527" s="319"/>
      <c r="I527" s="319"/>
      <c r="J527" s="319"/>
      <c r="K527" s="319"/>
      <c r="L527" s="319"/>
      <c r="M527" s="319"/>
      <c r="N527" s="319"/>
      <c r="O527" s="319"/>
      <c r="P527" s="319"/>
      <c r="Q527" s="319"/>
      <c r="R527" s="319"/>
      <c r="S527" s="319"/>
      <c r="T527" s="319"/>
      <c r="U527" s="319"/>
      <c r="V527" s="319"/>
      <c r="W527" s="319"/>
      <c r="X527" s="319"/>
      <c r="Y527" s="319"/>
    </row>
    <row r="528" spans="1:25" x14ac:dyDescent="0.2">
      <c r="A528" s="261" t="str">
        <f>name!A74</f>
        <v>Gambling and betting</v>
      </c>
      <c r="C528" s="263"/>
    </row>
    <row r="529" spans="1:25" x14ac:dyDescent="0.2">
      <c r="A529" s="260" t="s">
        <v>356</v>
      </c>
      <c r="B529" s="300">
        <v>0.59899999998592046</v>
      </c>
      <c r="C529" s="300">
        <v>0.86700000000584243</v>
      </c>
      <c r="D529" s="300">
        <v>0.30699999999581645</v>
      </c>
      <c r="E529" s="300">
        <f>SUM(B529:D529)</f>
        <v>1.7729999999875792</v>
      </c>
      <c r="F529" s="300"/>
      <c r="G529" s="300">
        <v>0.94000000000034367</v>
      </c>
      <c r="H529" s="300">
        <v>1.0380000000002978</v>
      </c>
      <c r="I529" s="300">
        <v>0.24100000000859892</v>
      </c>
      <c r="J529" s="300">
        <f>SUM(G529:I529)</f>
        <v>2.2190000000092405</v>
      </c>
      <c r="K529" s="300"/>
      <c r="L529" s="300">
        <v>0.90699999998398806</v>
      </c>
      <c r="M529" s="300">
        <v>0.88200000000644641</v>
      </c>
      <c r="N529" s="300">
        <v>0.22099999999037639</v>
      </c>
      <c r="O529" s="300">
        <f>SUM(L529:N529)</f>
        <v>2.0099999999808107</v>
      </c>
      <c r="P529" s="300"/>
      <c r="Q529" s="300">
        <v>0.86400000002137345</v>
      </c>
      <c r="R529" s="300">
        <v>0.86400000000509325</v>
      </c>
      <c r="S529" s="300">
        <v>0.21300000000308375</v>
      </c>
      <c r="T529" s="300">
        <f>SUM(Q529:S529)</f>
        <v>1.9410000000295504</v>
      </c>
      <c r="U529" s="300"/>
      <c r="V529" s="300">
        <v>0.81700000000537498</v>
      </c>
      <c r="W529" s="300">
        <v>0.85499999999774035</v>
      </c>
      <c r="X529" s="300">
        <v>0.20800000000347957</v>
      </c>
      <c r="Y529" s="300">
        <f>SUM(V529:X529)</f>
        <v>1.8800000000065951</v>
      </c>
    </row>
    <row r="530" spans="1:25" x14ac:dyDescent="0.2">
      <c r="A530" s="260" t="s">
        <v>355</v>
      </c>
      <c r="B530" s="300">
        <v>1.9069999999992355</v>
      </c>
      <c r="C530" s="300">
        <v>1.7349999999973769</v>
      </c>
      <c r="D530" s="300">
        <v>0.43000000001959787</v>
      </c>
      <c r="E530" s="300">
        <f t="shared" ref="E530:E531" si="1392">SUM(B530:D530)</f>
        <v>4.0720000000162102</v>
      </c>
      <c r="F530" s="300"/>
      <c r="G530" s="300">
        <v>2.4449999999939589</v>
      </c>
      <c r="H530" s="300">
        <v>1.4960000000080456</v>
      </c>
      <c r="I530" s="300">
        <v>0.40900000000062986</v>
      </c>
      <c r="J530" s="300">
        <f t="shared" ref="J530:J531" si="1393">SUM(G530:I530)</f>
        <v>4.350000000002634</v>
      </c>
      <c r="K530" s="300"/>
      <c r="L530" s="300">
        <v>1.9399999999912403</v>
      </c>
      <c r="M530" s="300">
        <v>1.2970000000058313</v>
      </c>
      <c r="N530" s="300">
        <v>0.3410000000062372</v>
      </c>
      <c r="O530" s="300">
        <f t="shared" ref="O530:O531" si="1394">SUM(L530:N530)</f>
        <v>3.5780000000033088</v>
      </c>
      <c r="P530" s="300"/>
      <c r="Q530" s="300">
        <v>1.9099999999981478</v>
      </c>
      <c r="R530" s="300">
        <v>1.3190000000059672</v>
      </c>
      <c r="S530" s="300">
        <v>0.35800000002315385</v>
      </c>
      <c r="T530" s="300">
        <f t="shared" ref="T530:T531" si="1395">SUM(Q530:S530)</f>
        <v>3.587000000027269</v>
      </c>
      <c r="U530" s="300"/>
      <c r="V530" s="300">
        <v>1.9249999999931178</v>
      </c>
      <c r="W530" s="300">
        <v>1.3940000000105188</v>
      </c>
      <c r="X530" s="300">
        <v>0.40500000001918068</v>
      </c>
      <c r="Y530" s="300">
        <f t="shared" ref="Y530:Y531" si="1396">SUM(V530:X530)</f>
        <v>3.7240000000228175</v>
      </c>
    </row>
    <row r="531" spans="1:25" x14ac:dyDescent="0.2">
      <c r="A531" s="260" t="s">
        <v>354</v>
      </c>
      <c r="B531" s="300">
        <f>SUM(B529:B530)</f>
        <v>2.5059999999851561</v>
      </c>
      <c r="C531" s="300">
        <f t="shared" ref="C531" si="1397">SUM(C529:C530)</f>
        <v>2.6020000000032191</v>
      </c>
      <c r="D531" s="300">
        <f t="shared" ref="D531" si="1398">SUM(D529:D530)</f>
        <v>0.73700000001541432</v>
      </c>
      <c r="E531" s="300">
        <f t="shared" si="1392"/>
        <v>5.8450000000037896</v>
      </c>
      <c r="F531" s="300"/>
      <c r="G531" s="300">
        <f>SUM(G529:G530)</f>
        <v>3.3849999999943026</v>
      </c>
      <c r="H531" s="300">
        <f t="shared" ref="H531" si="1399">SUM(H529:H530)</f>
        <v>2.5340000000083434</v>
      </c>
      <c r="I531" s="300">
        <f t="shared" ref="I531" si="1400">SUM(I529:I530)</f>
        <v>0.65000000000922875</v>
      </c>
      <c r="J531" s="300">
        <f t="shared" si="1393"/>
        <v>6.569000000011874</v>
      </c>
      <c r="K531" s="300"/>
      <c r="L531" s="300">
        <f>SUM(L529:L530)</f>
        <v>2.8469999999752282</v>
      </c>
      <c r="M531" s="300">
        <f t="shared" ref="M531" si="1401">SUM(M529:M530)</f>
        <v>2.1790000000122776</v>
      </c>
      <c r="N531" s="300">
        <f t="shared" ref="N531" si="1402">SUM(N529:N530)</f>
        <v>0.56199999999661365</v>
      </c>
      <c r="O531" s="300">
        <f t="shared" si="1394"/>
        <v>5.5879999999841194</v>
      </c>
      <c r="P531" s="300"/>
      <c r="Q531" s="300">
        <f>SUM(Q529:Q530)</f>
        <v>2.7740000000195213</v>
      </c>
      <c r="R531" s="300">
        <f t="shared" ref="R531" si="1403">SUM(R529:R530)</f>
        <v>2.1830000000110603</v>
      </c>
      <c r="S531" s="300">
        <f t="shared" ref="S531" si="1404">SUM(S529:S530)</f>
        <v>0.57100000002623763</v>
      </c>
      <c r="T531" s="300">
        <f t="shared" si="1395"/>
        <v>5.528000000056819</v>
      </c>
      <c r="U531" s="300"/>
      <c r="V531" s="300">
        <f>SUM(V529:V530)</f>
        <v>2.7419999999984928</v>
      </c>
      <c r="W531" s="300">
        <f t="shared" ref="W531" si="1405">SUM(W529:W530)</f>
        <v>2.2490000000082593</v>
      </c>
      <c r="X531" s="300">
        <f t="shared" ref="X531" si="1406">SUM(X529:X530)</f>
        <v>0.61300000002266031</v>
      </c>
      <c r="Y531" s="300">
        <f t="shared" si="1396"/>
        <v>5.6040000000294121</v>
      </c>
    </row>
    <row r="532" spans="1:25" x14ac:dyDescent="0.2">
      <c r="C532" s="319"/>
      <c r="D532" s="319"/>
      <c r="E532" s="319"/>
      <c r="F532" s="319"/>
      <c r="G532" s="319"/>
      <c r="H532" s="319"/>
      <c r="I532" s="319"/>
      <c r="J532" s="319"/>
      <c r="K532" s="319"/>
      <c r="L532" s="319"/>
      <c r="M532" s="319"/>
      <c r="N532" s="319"/>
      <c r="O532" s="319"/>
      <c r="P532" s="319"/>
      <c r="Q532" s="319"/>
      <c r="R532" s="319"/>
      <c r="S532" s="319"/>
      <c r="T532" s="319"/>
      <c r="U532" s="319"/>
      <c r="V532" s="319"/>
      <c r="W532" s="319"/>
      <c r="X532" s="319"/>
      <c r="Y532" s="319"/>
    </row>
    <row r="533" spans="1:25" x14ac:dyDescent="0.2">
      <c r="A533" s="261" t="str">
        <f>name!A75</f>
        <v>Sport and recreation</v>
      </c>
      <c r="C533" s="263"/>
    </row>
    <row r="534" spans="1:25" x14ac:dyDescent="0.2">
      <c r="A534" s="260" t="s">
        <v>356</v>
      </c>
      <c r="B534" s="300">
        <v>3.9899999999135916</v>
      </c>
      <c r="C534" s="300">
        <v>8.3820000000627122</v>
      </c>
      <c r="D534" s="300">
        <v>1.3069999999908268</v>
      </c>
      <c r="E534" s="300">
        <f>SUM(B534:D534)</f>
        <v>13.678999999967131</v>
      </c>
      <c r="F534" s="300"/>
      <c r="G534" s="300">
        <v>6.0469999999908488</v>
      </c>
      <c r="H534" s="300">
        <v>11.757000000009311</v>
      </c>
      <c r="I534" s="300">
        <v>1.183000000039671</v>
      </c>
      <c r="J534" s="300">
        <f>SUM(G534:I534)</f>
        <v>18.987000000039828</v>
      </c>
      <c r="K534" s="300"/>
      <c r="L534" s="300">
        <v>5.834999999903598</v>
      </c>
      <c r="M534" s="300">
        <v>9.9810000000811687</v>
      </c>
      <c r="N534" s="300">
        <v>1.0849999999563746</v>
      </c>
      <c r="O534" s="300">
        <f>SUM(L534:N534)</f>
        <v>16.900999999941142</v>
      </c>
      <c r="P534" s="300"/>
      <c r="Q534" s="300">
        <v>5.5560000001402017</v>
      </c>
      <c r="R534" s="300">
        <v>9.7880000000687506</v>
      </c>
      <c r="S534" s="300">
        <v>1.0420000000112875</v>
      </c>
      <c r="T534" s="300">
        <f>SUM(Q534:S534)</f>
        <v>16.386000000220239</v>
      </c>
      <c r="U534" s="300"/>
      <c r="V534" s="300">
        <v>5.2550000000310995</v>
      </c>
      <c r="W534" s="300">
        <v>9.6799999999759709</v>
      </c>
      <c r="X534" s="300">
        <v>1.0200000000122953</v>
      </c>
      <c r="Y534" s="300">
        <f>SUM(V534:X534)</f>
        <v>15.955000000019366</v>
      </c>
    </row>
    <row r="535" spans="1:25" x14ac:dyDescent="0.2">
      <c r="A535" s="260" t="s">
        <v>355</v>
      </c>
      <c r="B535" s="300">
        <v>8.6799999999932016</v>
      </c>
      <c r="C535" s="300">
        <v>6.9359999999886126</v>
      </c>
      <c r="D535" s="300">
        <v>3.6470000001594358</v>
      </c>
      <c r="E535" s="300">
        <f t="shared" ref="E535:E536" si="1407">SUM(B535:D535)</f>
        <v>19.26300000014125</v>
      </c>
      <c r="F535" s="300"/>
      <c r="G535" s="300">
        <v>10.742999999977133</v>
      </c>
      <c r="H535" s="300">
        <v>7.0080000000378337</v>
      </c>
      <c r="I535" s="300">
        <v>3.9890000000077697</v>
      </c>
      <c r="J535" s="300">
        <f t="shared" ref="J535:J536" si="1408">SUM(G535:I535)</f>
        <v>21.740000000022739</v>
      </c>
      <c r="K535" s="300"/>
      <c r="L535" s="300">
        <v>8.5239999999669571</v>
      </c>
      <c r="M535" s="300">
        <v>6.0730000000284337</v>
      </c>
      <c r="N535" s="300">
        <v>3.3200000000608374</v>
      </c>
      <c r="O535" s="300">
        <f t="shared" ref="O535:O536" si="1409">SUM(L535:N535)</f>
        <v>17.917000000056227</v>
      </c>
      <c r="P535" s="300"/>
      <c r="Q535" s="300">
        <v>8.3929999999952702</v>
      </c>
      <c r="R535" s="300">
        <v>6.1750000000284322</v>
      </c>
      <c r="S535" s="300">
        <v>3.487000000217011</v>
      </c>
      <c r="T535" s="300">
        <f t="shared" ref="T535:T536" si="1410">SUM(Q535:S535)</f>
        <v>18.055000000240714</v>
      </c>
      <c r="U535" s="300"/>
      <c r="V535" s="300">
        <v>8.4609999999728878</v>
      </c>
      <c r="W535" s="300">
        <v>6.5270000000499646</v>
      </c>
      <c r="X535" s="300">
        <v>3.9490000001797338</v>
      </c>
      <c r="Y535" s="300">
        <f t="shared" ref="Y535:Y536" si="1411">SUM(V535:X535)</f>
        <v>18.937000000202588</v>
      </c>
    </row>
    <row r="536" spans="1:25" x14ac:dyDescent="0.2">
      <c r="A536" s="260" t="s">
        <v>354</v>
      </c>
      <c r="B536" s="300">
        <f>SUM(B534:B535)</f>
        <v>12.669999999906793</v>
      </c>
      <c r="C536" s="300">
        <f t="shared" ref="C536" si="1412">SUM(C534:C535)</f>
        <v>15.318000000051324</v>
      </c>
      <c r="D536" s="300">
        <f t="shared" ref="D536" si="1413">SUM(D534:D535)</f>
        <v>4.9540000001502627</v>
      </c>
      <c r="E536" s="300">
        <f t="shared" si="1407"/>
        <v>32.942000000108379</v>
      </c>
      <c r="F536" s="300"/>
      <c r="G536" s="300">
        <f>SUM(G534:G535)</f>
        <v>16.789999999967982</v>
      </c>
      <c r="H536" s="300">
        <f t="shared" ref="H536" si="1414">SUM(H534:H535)</f>
        <v>18.765000000047145</v>
      </c>
      <c r="I536" s="300">
        <f t="shared" ref="I536" si="1415">SUM(I534:I535)</f>
        <v>5.1720000000474409</v>
      </c>
      <c r="J536" s="300">
        <f t="shared" si="1408"/>
        <v>40.727000000062567</v>
      </c>
      <c r="K536" s="300"/>
      <c r="L536" s="300">
        <f>SUM(L534:L535)</f>
        <v>14.358999999870555</v>
      </c>
      <c r="M536" s="300">
        <f t="shared" ref="M536" si="1416">SUM(M534:M535)</f>
        <v>16.054000000109603</v>
      </c>
      <c r="N536" s="300">
        <f t="shared" ref="N536" si="1417">SUM(N534:N535)</f>
        <v>4.4050000000172123</v>
      </c>
      <c r="O536" s="300">
        <f t="shared" si="1409"/>
        <v>34.817999999997369</v>
      </c>
      <c r="P536" s="300"/>
      <c r="Q536" s="300">
        <f>SUM(Q534:Q535)</f>
        <v>13.949000000135472</v>
      </c>
      <c r="R536" s="300">
        <f t="shared" ref="R536" si="1418">SUM(R534:R535)</f>
        <v>15.963000000097182</v>
      </c>
      <c r="S536" s="300">
        <f t="shared" ref="S536" si="1419">SUM(S534:S535)</f>
        <v>4.5290000002282982</v>
      </c>
      <c r="T536" s="300">
        <f t="shared" si="1410"/>
        <v>34.441000000460953</v>
      </c>
      <c r="U536" s="300"/>
      <c r="V536" s="300">
        <f>SUM(V534:V535)</f>
        <v>13.716000000003987</v>
      </c>
      <c r="W536" s="300">
        <f t="shared" ref="W536" si="1420">SUM(W534:W535)</f>
        <v>16.207000000025936</v>
      </c>
      <c r="X536" s="300">
        <f t="shared" ref="X536" si="1421">SUM(X534:X535)</f>
        <v>4.9690000001920289</v>
      </c>
      <c r="Y536" s="300">
        <f t="shared" si="1411"/>
        <v>34.892000000221955</v>
      </c>
    </row>
    <row r="537" spans="1:25" x14ac:dyDescent="0.2">
      <c r="A537" s="261"/>
    </row>
    <row r="538" spans="1:25" x14ac:dyDescent="0.2">
      <c r="A538" s="261" t="s">
        <v>358</v>
      </c>
    </row>
    <row r="539" spans="1:25" x14ac:dyDescent="0.2">
      <c r="A539" s="260" t="s">
        <v>356</v>
      </c>
      <c r="B539" s="300">
        <f>SUM(B519,B524,B529,B534)</f>
        <v>6.6159999998518684</v>
      </c>
      <c r="C539" s="300">
        <f t="shared" ref="C539:D540" si="1422">SUM(C519,C524,C529,C534)</f>
        <v>12.512000000090543</v>
      </c>
      <c r="D539" s="300">
        <f t="shared" si="1422"/>
        <v>4.4749999999476557</v>
      </c>
      <c r="E539" s="300">
        <f>SUM(B539:D539)</f>
        <v>23.602999999890066</v>
      </c>
      <c r="F539" s="300"/>
      <c r="G539" s="300">
        <f>SUM(G519,G524,G529,G534)</f>
        <v>8.8719999999918819</v>
      </c>
      <c r="H539" s="300">
        <f t="shared" ref="H539:I539" si="1423">SUM(H519,H524,H529,H534)</f>
        <v>17.383000000010924</v>
      </c>
      <c r="I539" s="300">
        <f t="shared" si="1423"/>
        <v>4.0930000001435012</v>
      </c>
      <c r="J539" s="300">
        <f>SUM(G539:I539)</f>
        <v>30.348000000146307</v>
      </c>
      <c r="K539" s="300"/>
      <c r="L539" s="300">
        <f>SUM(L519,L524,L529,L534)</f>
        <v>8.9209999998491192</v>
      </c>
      <c r="M539" s="300">
        <f t="shared" ref="M539:N539" si="1424">SUM(M519,M524,M529,M534)</f>
        <v>14.764000000116127</v>
      </c>
      <c r="N539" s="300">
        <f t="shared" si="1424"/>
        <v>6.0289999997410817</v>
      </c>
      <c r="O539" s="300">
        <f>SUM(L539:N539)</f>
        <v>29.713999999706328</v>
      </c>
      <c r="P539" s="300"/>
      <c r="Q539" s="300">
        <f>SUM(Q519,Q524,Q529,Q534)</f>
        <v>8.1050000002032601</v>
      </c>
      <c r="R539" s="300">
        <f t="shared" ref="R539:S539" si="1425">SUM(R519,R524,R529,R534)</f>
        <v>13.901000000092999</v>
      </c>
      <c r="S539" s="300">
        <f t="shared" si="1425"/>
        <v>4.9410000000677368</v>
      </c>
      <c r="T539" s="300">
        <f>SUM(Q539:S539)</f>
        <v>26.947000000364</v>
      </c>
      <c r="U539" s="300"/>
      <c r="V539" s="300">
        <f>SUM(V519,V524,V529,V534)</f>
        <v>7.6830000000470715</v>
      </c>
      <c r="W539" s="300">
        <f t="shared" ref="W539:X539" si="1426">SUM(W519,W524,W529,W534)</f>
        <v>13.945999999964696</v>
      </c>
      <c r="X539" s="300">
        <f t="shared" si="1426"/>
        <v>5.2580000000831912</v>
      </c>
      <c r="Y539" s="300">
        <f>SUM(V539:X539)</f>
        <v>26.887000000094957</v>
      </c>
    </row>
    <row r="540" spans="1:25" x14ac:dyDescent="0.2">
      <c r="A540" s="260" t="s">
        <v>355</v>
      </c>
      <c r="B540" s="300">
        <f>SUM(B520,B525,B530,B535)</f>
        <v>13.056999999991447</v>
      </c>
      <c r="C540" s="300">
        <f t="shared" si="1422"/>
        <v>9.5249999999846988</v>
      </c>
      <c r="D540" s="300">
        <f t="shared" si="1422"/>
        <v>12.655000000569984</v>
      </c>
      <c r="E540" s="300">
        <f t="shared" ref="E540:E541" si="1427">SUM(B540:D540)</f>
        <v>35.237000000546132</v>
      </c>
      <c r="F540" s="300"/>
      <c r="G540" s="300">
        <f>SUM(G520,G525,G530,G535)</f>
        <v>14.853999999966977</v>
      </c>
      <c r="H540" s="300">
        <f t="shared" ref="H540:I540" si="1428">SUM(H520,H525,H530,H535)</f>
        <v>9.4840000000511502</v>
      </c>
      <c r="I540" s="300">
        <f t="shared" si="1428"/>
        <v>9.2210000000158203</v>
      </c>
      <c r="J540" s="300">
        <f t="shared" ref="J540:J541" si="1429">SUM(G540:I540)</f>
        <v>33.559000000033947</v>
      </c>
      <c r="K540" s="300"/>
      <c r="L540" s="300">
        <f>SUM(L520,L525,L530,L535)</f>
        <v>11.43299999995382</v>
      </c>
      <c r="M540" s="300">
        <f t="shared" ref="M540:N540" si="1430">SUM(M520,M525,M530,M535)</f>
        <v>8.4630000000391803</v>
      </c>
      <c r="N540" s="300">
        <f t="shared" si="1430"/>
        <v>7.1990000001317895</v>
      </c>
      <c r="O540" s="300">
        <f t="shared" ref="O540:O541" si="1431">SUM(L540:N540)</f>
        <v>27.095000000124791</v>
      </c>
      <c r="P540" s="300"/>
      <c r="Q540" s="300">
        <f>SUM(Q520,Q525,Q530,Q535)</f>
        <v>11.07499999999267</v>
      </c>
      <c r="R540" s="300">
        <f t="shared" ref="R540:S540" si="1432">SUM(R520,R525,R530,R535)</f>
        <v>8.3650000000383393</v>
      </c>
      <c r="S540" s="300">
        <f t="shared" si="1432"/>
        <v>6.4900000004112366</v>
      </c>
      <c r="T540" s="300">
        <f t="shared" ref="T540:T541" si="1433">SUM(Q540:S540)</f>
        <v>25.930000000442245</v>
      </c>
      <c r="U540" s="300"/>
      <c r="V540" s="300">
        <f>SUM(V520,V525,V530,V535)</f>
        <v>11.178999999963169</v>
      </c>
      <c r="W540" s="300">
        <f t="shared" ref="W540:X540" si="1434">SUM(W520,W525,W530,W535)</f>
        <v>8.7800000000669662</v>
      </c>
      <c r="X540" s="300">
        <f t="shared" si="1434"/>
        <v>6.8410000003166989</v>
      </c>
      <c r="Y540" s="300">
        <f t="shared" ref="Y540:Y541" si="1435">SUM(V540:X540)</f>
        <v>26.800000000346834</v>
      </c>
    </row>
    <row r="541" spans="1:25" x14ac:dyDescent="0.2">
      <c r="A541" s="264" t="s">
        <v>354</v>
      </c>
      <c r="B541" s="301">
        <f>SUM(B539:B540)</f>
        <v>19.672999999843316</v>
      </c>
      <c r="C541" s="301">
        <f t="shared" ref="C541" si="1436">SUM(C539:C540)</f>
        <v>22.037000000075242</v>
      </c>
      <c r="D541" s="301">
        <f t="shared" ref="D541" si="1437">SUM(D539:D540)</f>
        <v>17.13000000051764</v>
      </c>
      <c r="E541" s="301">
        <f t="shared" si="1427"/>
        <v>58.840000000436198</v>
      </c>
      <c r="F541" s="301"/>
      <c r="G541" s="301">
        <f>SUM(G539:G540)</f>
        <v>23.725999999958859</v>
      </c>
      <c r="H541" s="301">
        <f t="shared" ref="H541" si="1438">SUM(H539:H540)</f>
        <v>26.867000000062074</v>
      </c>
      <c r="I541" s="301">
        <f t="shared" ref="I541" si="1439">SUM(I539:I540)</f>
        <v>13.314000000159322</v>
      </c>
      <c r="J541" s="301">
        <f t="shared" si="1429"/>
        <v>63.907000000180261</v>
      </c>
      <c r="K541" s="301"/>
      <c r="L541" s="301">
        <f>SUM(L539:L540)</f>
        <v>20.353999999802937</v>
      </c>
      <c r="M541" s="301">
        <f t="shared" ref="M541" si="1440">SUM(M539:M540)</f>
        <v>23.227000000155307</v>
      </c>
      <c r="N541" s="301">
        <f t="shared" ref="N541" si="1441">SUM(N539:N540)</f>
        <v>13.227999999872871</v>
      </c>
      <c r="O541" s="301">
        <f t="shared" si="1431"/>
        <v>56.808999999831116</v>
      </c>
      <c r="P541" s="301"/>
      <c r="Q541" s="301">
        <f>SUM(Q539:Q540)</f>
        <v>19.180000000195932</v>
      </c>
      <c r="R541" s="301">
        <f t="shared" ref="R541" si="1442">SUM(R539:R540)</f>
        <v>22.266000000131339</v>
      </c>
      <c r="S541" s="301">
        <f t="shared" ref="S541" si="1443">SUM(S539:S540)</f>
        <v>11.431000000478974</v>
      </c>
      <c r="T541" s="301">
        <f t="shared" si="1433"/>
        <v>52.877000000806248</v>
      </c>
      <c r="U541" s="301"/>
      <c r="V541" s="301">
        <f>SUM(V539:V540)</f>
        <v>18.862000000010241</v>
      </c>
      <c r="W541" s="301">
        <f t="shared" ref="W541" si="1444">SUM(W539:W540)</f>
        <v>22.726000000031661</v>
      </c>
      <c r="X541" s="301">
        <f t="shared" ref="X541" si="1445">SUM(X539:X540)</f>
        <v>12.09900000039989</v>
      </c>
      <c r="Y541" s="301">
        <f t="shared" si="1435"/>
        <v>53.687000000441792</v>
      </c>
    </row>
    <row r="545" spans="1:25" ht="15" x14ac:dyDescent="0.25">
      <c r="A545" s="265" t="str">
        <f>"Industry 22 : "&amp; name!B25</f>
        <v>Industry 22 : Other services</v>
      </c>
      <c r="B545" s="371">
        <f>$B$5</f>
        <v>2015</v>
      </c>
      <c r="C545" s="371"/>
      <c r="D545" s="371"/>
      <c r="E545" s="371"/>
      <c r="F545" s="320"/>
      <c r="G545" s="371">
        <f>$G$5</f>
        <v>2019</v>
      </c>
      <c r="H545" s="371"/>
      <c r="I545" s="371"/>
      <c r="J545" s="371"/>
      <c r="K545" s="320"/>
      <c r="L545" s="371">
        <f>$L$5</f>
        <v>2020</v>
      </c>
      <c r="M545" s="371"/>
      <c r="N545" s="371"/>
      <c r="O545" s="371"/>
      <c r="P545" s="318"/>
      <c r="Q545" s="371">
        <f>$Q$5</f>
        <v>2025</v>
      </c>
      <c r="R545" s="371"/>
      <c r="S545" s="371"/>
      <c r="T545" s="371"/>
      <c r="U545" s="320"/>
      <c r="V545" s="371">
        <f>$V$5</f>
        <v>2035</v>
      </c>
      <c r="W545" s="371"/>
      <c r="X545" s="371"/>
      <c r="Y545" s="371"/>
    </row>
    <row r="546" spans="1:25" x14ac:dyDescent="0.2">
      <c r="A546" s="264"/>
      <c r="B546" s="268" t="str">
        <f>$B$6</f>
        <v>FT</v>
      </c>
      <c r="C546" s="268" t="str">
        <f>$C$6</f>
        <v>PT</v>
      </c>
      <c r="D546" s="268" t="str">
        <f>$D$6</f>
        <v>SE</v>
      </c>
      <c r="E546" s="268" t="str">
        <f>$E$6</f>
        <v>Total</v>
      </c>
      <c r="F546" s="268"/>
      <c r="G546" s="268" t="str">
        <f>$B$6</f>
        <v>FT</v>
      </c>
      <c r="H546" s="268" t="str">
        <f>$C$6</f>
        <v>PT</v>
      </c>
      <c r="I546" s="268" t="str">
        <f>$D$6</f>
        <v>SE</v>
      </c>
      <c r="J546" s="268" t="str">
        <f>$E$6</f>
        <v>Total</v>
      </c>
      <c r="K546" s="268"/>
      <c r="L546" s="268" t="str">
        <f>$L$6</f>
        <v>FT</v>
      </c>
      <c r="M546" s="268" t="str">
        <f>$M$6</f>
        <v>PT</v>
      </c>
      <c r="N546" s="268" t="str">
        <f>$N$6</f>
        <v>SE</v>
      </c>
      <c r="O546" s="268" t="str">
        <f>$O$6</f>
        <v>Total</v>
      </c>
      <c r="P546" s="268"/>
      <c r="Q546" s="268" t="str">
        <f>$L$6</f>
        <v>FT</v>
      </c>
      <c r="R546" s="268" t="str">
        <f>$M$6</f>
        <v>PT</v>
      </c>
      <c r="S546" s="268" t="str">
        <f>$N$6</f>
        <v>SE</v>
      </c>
      <c r="T546" s="268" t="str">
        <f>$O$6</f>
        <v>Total</v>
      </c>
      <c r="U546" s="268"/>
      <c r="V546" s="268" t="str">
        <f>$V$6</f>
        <v>FT</v>
      </c>
      <c r="W546" s="268" t="str">
        <f>$W$6</f>
        <v>PT</v>
      </c>
      <c r="X546" s="268" t="str">
        <f>$X$6</f>
        <v>SE</v>
      </c>
      <c r="Y546" s="268" t="str">
        <f>$Y$6</f>
        <v>Total</v>
      </c>
    </row>
    <row r="547" spans="1:25" x14ac:dyDescent="0.2">
      <c r="C547" s="319"/>
      <c r="D547" s="319"/>
      <c r="E547" s="319"/>
      <c r="F547" s="319"/>
      <c r="G547" s="319"/>
      <c r="H547" s="319"/>
      <c r="I547" s="319"/>
      <c r="J547" s="319"/>
      <c r="K547" s="319"/>
      <c r="L547" s="319"/>
      <c r="M547" s="319"/>
      <c r="N547" s="319"/>
      <c r="O547" s="319"/>
      <c r="P547" s="319"/>
      <c r="Q547" s="319"/>
      <c r="R547" s="319"/>
      <c r="S547" s="319"/>
      <c r="T547" s="319"/>
      <c r="U547" s="319"/>
      <c r="V547" s="319"/>
      <c r="W547" s="319"/>
      <c r="X547" s="319"/>
      <c r="Y547" s="319"/>
    </row>
    <row r="548" spans="1:25" x14ac:dyDescent="0.2">
      <c r="A548" s="261" t="str">
        <f>name!A76</f>
        <v>Membership organisations</v>
      </c>
      <c r="C548" s="263"/>
    </row>
    <row r="549" spans="1:25" x14ac:dyDescent="0.2">
      <c r="A549" s="260" t="s">
        <v>356</v>
      </c>
      <c r="B549" s="300">
        <v>3.3949999998951883</v>
      </c>
      <c r="C549" s="300">
        <v>10.004000000000497</v>
      </c>
      <c r="D549" s="300">
        <v>5.0949999999159008</v>
      </c>
      <c r="E549" s="300">
        <f>SUM(B549:D549)</f>
        <v>18.493999999811585</v>
      </c>
      <c r="F549" s="300"/>
      <c r="G549" s="300">
        <v>5.8760000000364601</v>
      </c>
      <c r="H549" s="300">
        <v>4.7280000000005327</v>
      </c>
      <c r="I549" s="300">
        <v>5.5280000001503824</v>
      </c>
      <c r="J549" s="300">
        <f>SUM(G549:I549)</f>
        <v>16.132000000187375</v>
      </c>
      <c r="K549" s="300"/>
      <c r="L549" s="300">
        <v>5.0589999998830883</v>
      </c>
      <c r="M549" s="300">
        <v>4.1130000000045763</v>
      </c>
      <c r="N549" s="300">
        <v>6.8149999997712198</v>
      </c>
      <c r="O549" s="300">
        <f>SUM(L549:N549)</f>
        <v>15.986999999658885</v>
      </c>
      <c r="P549" s="300"/>
      <c r="Q549" s="300">
        <v>4.616000000118551</v>
      </c>
      <c r="R549" s="300">
        <v>3.8190000000084146</v>
      </c>
      <c r="S549" s="300">
        <v>6.4380000000725977</v>
      </c>
      <c r="T549" s="300">
        <f>SUM(Q549:S549)</f>
        <v>14.873000000199564</v>
      </c>
      <c r="U549" s="300"/>
      <c r="V549" s="300">
        <v>4.3590000000420552</v>
      </c>
      <c r="W549" s="300">
        <v>3.6569999999927543</v>
      </c>
      <c r="X549" s="300">
        <v>6.2690000000644668</v>
      </c>
      <c r="Y549" s="300">
        <f>SUM(V549:X549)</f>
        <v>14.285000000099277</v>
      </c>
    </row>
    <row r="550" spans="1:25" x14ac:dyDescent="0.2">
      <c r="A550" s="260" t="s">
        <v>355</v>
      </c>
      <c r="B550" s="300">
        <v>1.9060000000225559</v>
      </c>
      <c r="C550" s="300">
        <v>2.5049999999963628</v>
      </c>
      <c r="D550" s="300">
        <v>2.6130000001264402</v>
      </c>
      <c r="E550" s="300">
        <f t="shared" ref="E550:E551" si="1446">SUM(B550:D550)</f>
        <v>7.0240000001453584</v>
      </c>
      <c r="F550" s="300"/>
      <c r="G550" s="300">
        <v>2.7809999999604034</v>
      </c>
      <c r="H550" s="300">
        <v>0.69099999999662065</v>
      </c>
      <c r="I550" s="300">
        <v>1.8169999999876174</v>
      </c>
      <c r="J550" s="300">
        <f t="shared" ref="J550:J551" si="1447">SUM(G550:I550)</f>
        <v>5.2889999999446413</v>
      </c>
      <c r="K550" s="300"/>
      <c r="L550" s="300">
        <v>2.6329999999305382</v>
      </c>
      <c r="M550" s="300">
        <v>0.87899999999946343</v>
      </c>
      <c r="N550" s="300">
        <v>0.75699999999954259</v>
      </c>
      <c r="O550" s="300">
        <f t="shared" ref="O550:O551" si="1448">SUM(L550:N550)</f>
        <v>4.2689999999295445</v>
      </c>
      <c r="P550" s="300"/>
      <c r="Q550" s="300">
        <v>2.5609999999627679</v>
      </c>
      <c r="R550" s="300">
        <v>0.82499999999853524</v>
      </c>
      <c r="S550" s="300">
        <v>0.72900000003430498</v>
      </c>
      <c r="T550" s="300">
        <f t="shared" ref="T550:T551" si="1449">SUM(Q550:S550)</f>
        <v>4.1149999999956082</v>
      </c>
      <c r="U550" s="300"/>
      <c r="V550" s="300">
        <v>2.6549999999559013</v>
      </c>
      <c r="W550" s="300">
        <v>0.81799999999869033</v>
      </c>
      <c r="X550" s="300">
        <v>0.78500000002294956</v>
      </c>
      <c r="Y550" s="300">
        <f t="shared" ref="Y550:Y551" si="1450">SUM(V550:X550)</f>
        <v>4.2579999999775415</v>
      </c>
    </row>
    <row r="551" spans="1:25" x14ac:dyDescent="0.2">
      <c r="A551" s="260" t="s">
        <v>354</v>
      </c>
      <c r="B551" s="300">
        <f>SUM(B549:B550)</f>
        <v>5.3009999999177442</v>
      </c>
      <c r="C551" s="300">
        <f t="shared" ref="C551" si="1451">SUM(C549:C550)</f>
        <v>12.50899999999686</v>
      </c>
      <c r="D551" s="300">
        <f t="shared" ref="D551" si="1452">SUM(D549:D550)</f>
        <v>7.7080000000423414</v>
      </c>
      <c r="E551" s="300">
        <f t="shared" si="1446"/>
        <v>25.517999999956942</v>
      </c>
      <c r="F551" s="300"/>
      <c r="G551" s="300">
        <f>SUM(G549:G550)</f>
        <v>8.656999999996863</v>
      </c>
      <c r="H551" s="300">
        <f t="shared" ref="H551" si="1453">SUM(H549:H550)</f>
        <v>5.418999999997153</v>
      </c>
      <c r="I551" s="300">
        <f t="shared" ref="I551" si="1454">SUM(I549:I550)</f>
        <v>7.3450000001379996</v>
      </c>
      <c r="J551" s="300">
        <f t="shared" si="1447"/>
        <v>21.421000000132015</v>
      </c>
      <c r="K551" s="300"/>
      <c r="L551" s="300">
        <f>SUM(L549:L550)</f>
        <v>7.6919999998136266</v>
      </c>
      <c r="M551" s="300">
        <f t="shared" ref="M551" si="1455">SUM(M549:M550)</f>
        <v>4.9920000000040394</v>
      </c>
      <c r="N551" s="300">
        <f t="shared" ref="N551" si="1456">SUM(N549:N550)</f>
        <v>7.5719999997707621</v>
      </c>
      <c r="O551" s="300">
        <f t="shared" si="1448"/>
        <v>20.255999999588425</v>
      </c>
      <c r="P551" s="300"/>
      <c r="Q551" s="300">
        <f>SUM(Q549:Q550)</f>
        <v>7.1770000000813194</v>
      </c>
      <c r="R551" s="300">
        <f t="shared" ref="R551" si="1457">SUM(R549:R550)</f>
        <v>4.6440000000069501</v>
      </c>
      <c r="S551" s="300">
        <f t="shared" ref="S551" si="1458">SUM(S549:S550)</f>
        <v>7.1670000001069027</v>
      </c>
      <c r="T551" s="300">
        <f t="shared" si="1449"/>
        <v>18.988000000195171</v>
      </c>
      <c r="U551" s="300"/>
      <c r="V551" s="300">
        <f>SUM(V549:V550)</f>
        <v>7.0139999999979565</v>
      </c>
      <c r="W551" s="300">
        <f t="shared" ref="W551" si="1459">SUM(W549:W550)</f>
        <v>4.4749999999914447</v>
      </c>
      <c r="X551" s="300">
        <f t="shared" ref="X551" si="1460">SUM(X549:X550)</f>
        <v>7.0540000000874166</v>
      </c>
      <c r="Y551" s="300">
        <f t="shared" si="1450"/>
        <v>18.543000000076816</v>
      </c>
    </row>
    <row r="552" spans="1:25" x14ac:dyDescent="0.2">
      <c r="C552" s="319"/>
      <c r="D552" s="319"/>
      <c r="E552" s="319"/>
      <c r="F552" s="319"/>
      <c r="G552" s="319"/>
      <c r="H552" s="319"/>
      <c r="I552" s="319"/>
      <c r="J552" s="319"/>
      <c r="K552" s="319"/>
      <c r="L552" s="319"/>
      <c r="M552" s="319"/>
      <c r="N552" s="319"/>
      <c r="O552" s="319"/>
      <c r="P552" s="319"/>
      <c r="Q552" s="319"/>
      <c r="R552" s="319"/>
      <c r="S552" s="319"/>
      <c r="T552" s="319"/>
      <c r="U552" s="319"/>
      <c r="V552" s="319"/>
      <c r="W552" s="319"/>
      <c r="X552" s="319"/>
      <c r="Y552" s="319"/>
    </row>
    <row r="553" spans="1:25" x14ac:dyDescent="0.2">
      <c r="A553" s="261" t="str">
        <f>name!A77</f>
        <v>Repair of goods</v>
      </c>
      <c r="C553" s="263"/>
    </row>
    <row r="554" spans="1:25" x14ac:dyDescent="0.2">
      <c r="A554" s="260" t="s">
        <v>356</v>
      </c>
      <c r="B554" s="300">
        <v>2.0999999999730797E-2</v>
      </c>
      <c r="C554" s="300">
        <v>0.14800000000902408</v>
      </c>
      <c r="D554" s="300">
        <v>0.77100000000177671</v>
      </c>
      <c r="E554" s="300">
        <f>SUM(B554:D554)</f>
        <v>0.94000000001053152</v>
      </c>
      <c r="F554" s="300"/>
      <c r="G554" s="300">
        <v>3.9999999999472485E-2</v>
      </c>
      <c r="H554" s="300">
        <v>0.26900000000537505</v>
      </c>
      <c r="I554" s="300">
        <v>1.3680000000314052</v>
      </c>
      <c r="J554" s="300">
        <f>SUM(G554:I554)</f>
        <v>1.6770000000362528</v>
      </c>
      <c r="K554" s="300"/>
      <c r="L554" s="300">
        <v>3.3999999999612902E-2</v>
      </c>
      <c r="M554" s="300">
        <v>0.23400000001317853</v>
      </c>
      <c r="N554" s="300">
        <v>1.6859999999518751</v>
      </c>
      <c r="O554" s="300">
        <f>SUM(L554:N554)</f>
        <v>1.9539999999646667</v>
      </c>
      <c r="P554" s="300"/>
      <c r="Q554" s="300">
        <v>3.1000000000871174E-2</v>
      </c>
      <c r="R554" s="300">
        <v>0.21800000001306652</v>
      </c>
      <c r="S554" s="300">
        <v>1.5930000000143663</v>
      </c>
      <c r="T554" s="300">
        <f>SUM(Q554:S554)</f>
        <v>1.8420000000283039</v>
      </c>
      <c r="U554" s="300"/>
      <c r="V554" s="300">
        <v>2.9999999999949782E-2</v>
      </c>
      <c r="W554" s="300">
        <v>0.20799999999708613</v>
      </c>
      <c r="X554" s="300">
        <v>1.5510000001549678</v>
      </c>
      <c r="Y554" s="300">
        <f>SUM(V554:X554)</f>
        <v>1.7890000001520037</v>
      </c>
    </row>
    <row r="555" spans="1:25" x14ac:dyDescent="0.2">
      <c r="A555" s="260" t="s">
        <v>355</v>
      </c>
      <c r="B555" s="300">
        <v>1.3510000000086209</v>
      </c>
      <c r="C555" s="300">
        <v>0.4490000000007926</v>
      </c>
      <c r="D555" s="300">
        <v>1.1210000000201361</v>
      </c>
      <c r="E555" s="300">
        <f t="shared" ref="E555:E556" si="1461">SUM(B555:D555)</f>
        <v>2.9210000000295495</v>
      </c>
      <c r="F555" s="300"/>
      <c r="G555" s="300">
        <v>2.121999999972763</v>
      </c>
      <c r="H555" s="300">
        <v>0.47800000000782533</v>
      </c>
      <c r="I555" s="300">
        <v>1.2760000000049621</v>
      </c>
      <c r="J555" s="300">
        <f t="shared" ref="J555:J556" si="1462">SUM(G555:I555)</f>
        <v>3.8759999999855506</v>
      </c>
      <c r="K555" s="300"/>
      <c r="L555" s="300">
        <v>2.0099999999527651</v>
      </c>
      <c r="M555" s="300">
        <v>0.60800000000351362</v>
      </c>
      <c r="N555" s="300">
        <v>2.1990000000023637</v>
      </c>
      <c r="O555" s="300">
        <f t="shared" ref="O555:O556" si="1463">SUM(L555:N555)</f>
        <v>4.816999999958643</v>
      </c>
      <c r="P555" s="300"/>
      <c r="Q555" s="300">
        <v>1.9549999999710768</v>
      </c>
      <c r="R555" s="300">
        <v>0.57100000000489259</v>
      </c>
      <c r="S555" s="300">
        <v>2.2100000000306785</v>
      </c>
      <c r="T555" s="300">
        <f t="shared" ref="T555:T556" si="1464">SUM(Q555:S555)</f>
        <v>4.7360000000066478</v>
      </c>
      <c r="U555" s="300"/>
      <c r="V555" s="300">
        <v>2.0259999999590597</v>
      </c>
      <c r="W555" s="300">
        <v>0.5660000000068659</v>
      </c>
      <c r="X555" s="300">
        <v>2.2880000000137297</v>
      </c>
      <c r="Y555" s="300">
        <f t="shared" ref="Y555:Y556" si="1465">SUM(V555:X555)</f>
        <v>4.8799999999796553</v>
      </c>
    </row>
    <row r="556" spans="1:25" x14ac:dyDescent="0.2">
      <c r="A556" s="260" t="s">
        <v>354</v>
      </c>
      <c r="B556" s="300">
        <f>SUM(B554:B555)</f>
        <v>1.3720000000083517</v>
      </c>
      <c r="C556" s="300">
        <f t="shared" ref="C556" si="1466">SUM(C554:C555)</f>
        <v>0.59700000000981668</v>
      </c>
      <c r="D556" s="300">
        <f t="shared" ref="D556" si="1467">SUM(D554:D555)</f>
        <v>1.8920000000219128</v>
      </c>
      <c r="E556" s="300">
        <f t="shared" si="1461"/>
        <v>3.8610000000400815</v>
      </c>
      <c r="F556" s="300"/>
      <c r="G556" s="300">
        <f>SUM(G554:G555)</f>
        <v>2.1619999999722355</v>
      </c>
      <c r="H556" s="300">
        <f t="shared" ref="H556" si="1468">SUM(H554:H555)</f>
        <v>0.74700000001320044</v>
      </c>
      <c r="I556" s="300">
        <f t="shared" ref="I556" si="1469">SUM(I554:I555)</f>
        <v>2.6440000000363675</v>
      </c>
      <c r="J556" s="300">
        <f t="shared" si="1462"/>
        <v>5.5530000000218038</v>
      </c>
      <c r="K556" s="300"/>
      <c r="L556" s="300">
        <f>SUM(L554:L555)</f>
        <v>2.0439999999523781</v>
      </c>
      <c r="M556" s="300">
        <f t="shared" ref="M556" si="1470">SUM(M554:M555)</f>
        <v>0.84200000001669217</v>
      </c>
      <c r="N556" s="300">
        <f t="shared" ref="N556" si="1471">SUM(N554:N555)</f>
        <v>3.8849999999542391</v>
      </c>
      <c r="O556" s="300">
        <f t="shared" si="1463"/>
        <v>6.7709999999233093</v>
      </c>
      <c r="P556" s="300"/>
      <c r="Q556" s="300">
        <f>SUM(Q554:Q555)</f>
        <v>1.985999999971948</v>
      </c>
      <c r="R556" s="300">
        <f t="shared" ref="R556" si="1472">SUM(R554:R555)</f>
        <v>0.78900000001795911</v>
      </c>
      <c r="S556" s="300">
        <f t="shared" ref="S556" si="1473">SUM(S554:S555)</f>
        <v>3.8030000000450448</v>
      </c>
      <c r="T556" s="300">
        <f t="shared" si="1464"/>
        <v>6.5780000000349519</v>
      </c>
      <c r="U556" s="300"/>
      <c r="V556" s="300">
        <f>SUM(V554:V555)</f>
        <v>2.0559999999590093</v>
      </c>
      <c r="W556" s="300">
        <f t="shared" ref="W556" si="1474">SUM(W554:W555)</f>
        <v>0.77400000000395197</v>
      </c>
      <c r="X556" s="300">
        <f t="shared" ref="X556" si="1475">SUM(X554:X555)</f>
        <v>3.8390000001686975</v>
      </c>
      <c r="Y556" s="300">
        <f t="shared" si="1465"/>
        <v>6.6690000001316587</v>
      </c>
    </row>
    <row r="557" spans="1:25" x14ac:dyDescent="0.2">
      <c r="C557" s="319"/>
      <c r="D557" s="319"/>
      <c r="E557" s="319"/>
      <c r="F557" s="319"/>
      <c r="G557" s="319"/>
      <c r="H557" s="319"/>
      <c r="I557" s="319"/>
      <c r="J557" s="319"/>
      <c r="K557" s="319"/>
      <c r="L557" s="319"/>
      <c r="M557" s="319"/>
      <c r="N557" s="319"/>
      <c r="O557" s="319"/>
      <c r="P557" s="319"/>
      <c r="Q557" s="319"/>
      <c r="R557" s="319"/>
      <c r="S557" s="319"/>
      <c r="T557" s="319"/>
      <c r="U557" s="319"/>
      <c r="V557" s="319"/>
      <c r="W557" s="319"/>
      <c r="X557" s="319"/>
      <c r="Y557" s="319"/>
    </row>
    <row r="558" spans="1:25" x14ac:dyDescent="0.2">
      <c r="A558" s="261" t="str">
        <f>name!A78</f>
        <v>Other personal service</v>
      </c>
      <c r="C558" s="263"/>
    </row>
    <row r="559" spans="1:25" x14ac:dyDescent="0.2">
      <c r="A559" s="260" t="s">
        <v>356</v>
      </c>
      <c r="B559" s="300">
        <v>3.5280000000227063</v>
      </c>
      <c r="C559" s="300">
        <v>4.1030000001019529</v>
      </c>
      <c r="D559" s="300">
        <v>6.640000000212857</v>
      </c>
      <c r="E559" s="300">
        <f>SUM(B559:D559)</f>
        <v>14.271000000337516</v>
      </c>
      <c r="F559" s="300"/>
      <c r="G559" s="300">
        <v>6.3559999998612691</v>
      </c>
      <c r="H559" s="300">
        <v>7.1839999999977717</v>
      </c>
      <c r="I559" s="300">
        <v>12.279000000249519</v>
      </c>
      <c r="J559" s="300">
        <f>SUM(G559:I559)</f>
        <v>25.819000000108559</v>
      </c>
      <c r="K559" s="300"/>
      <c r="L559" s="300">
        <v>5.4730000000157926</v>
      </c>
      <c r="M559" s="300">
        <v>6.2500000001471054</v>
      </c>
      <c r="N559" s="300">
        <v>15.136999999715373</v>
      </c>
      <c r="O559" s="300">
        <f>SUM(L559:N559)</f>
        <v>26.859999999878269</v>
      </c>
      <c r="P559" s="300"/>
      <c r="Q559" s="300">
        <v>4.9930000000877124</v>
      </c>
      <c r="R559" s="300">
        <v>5.8030000000675335</v>
      </c>
      <c r="S559" s="300">
        <v>14.300999999872673</v>
      </c>
      <c r="T559" s="300">
        <f>SUM(Q559:S559)</f>
        <v>25.097000000027919</v>
      </c>
      <c r="U559" s="300"/>
      <c r="V559" s="300">
        <v>4.7149999999395975</v>
      </c>
      <c r="W559" s="300">
        <v>5.5569999999419126</v>
      </c>
      <c r="X559" s="300">
        <v>13.925999999865319</v>
      </c>
      <c r="Y559" s="300">
        <f>SUM(V559:X559)</f>
        <v>24.197999999746827</v>
      </c>
    </row>
    <row r="560" spans="1:25" x14ac:dyDescent="0.2">
      <c r="A560" s="260" t="s">
        <v>355</v>
      </c>
      <c r="B560" s="300">
        <v>5.4809999999805807</v>
      </c>
      <c r="C560" s="300">
        <v>2.496999999995658</v>
      </c>
      <c r="D560" s="300">
        <v>3.6270000000724716</v>
      </c>
      <c r="E560" s="300">
        <f t="shared" ref="E560:E561" si="1476">SUM(B560:D560)</f>
        <v>11.605000000048712</v>
      </c>
      <c r="F560" s="300"/>
      <c r="G560" s="300">
        <v>8.3229999999951403</v>
      </c>
      <c r="H560" s="300">
        <v>2.5510000000074222</v>
      </c>
      <c r="I560" s="300">
        <v>4.2990000000338231</v>
      </c>
      <c r="J560" s="300">
        <f t="shared" ref="J560:J561" si="1477">SUM(G560:I560)</f>
        <v>15.173000000036385</v>
      </c>
      <c r="K560" s="300"/>
      <c r="L560" s="300">
        <v>7.8809999999994034</v>
      </c>
      <c r="M560" s="300">
        <v>3.2460000000083236</v>
      </c>
      <c r="N560" s="300">
        <v>3.8660000000796586</v>
      </c>
      <c r="O560" s="300">
        <f t="shared" ref="O560:O561" si="1478">SUM(L560:N560)</f>
        <v>14.993000000087385</v>
      </c>
      <c r="P560" s="300"/>
      <c r="Q560" s="300">
        <v>7.6660000000076574</v>
      </c>
      <c r="R560" s="300">
        <v>3.0460000000048399</v>
      </c>
      <c r="S560" s="300">
        <v>3.6880000001427038</v>
      </c>
      <c r="T560" s="300">
        <f t="shared" ref="T560:T561" si="1479">SUM(Q560:S560)</f>
        <v>14.400000000155202</v>
      </c>
      <c r="U560" s="300"/>
      <c r="V560" s="300">
        <v>7.945000000002004</v>
      </c>
      <c r="W560" s="300">
        <v>3.0229999999969772</v>
      </c>
      <c r="X560" s="300">
        <v>3.7670000001057558</v>
      </c>
      <c r="Y560" s="300">
        <f t="shared" ref="Y560:Y561" si="1480">SUM(V560:X560)</f>
        <v>14.735000000104737</v>
      </c>
    </row>
    <row r="561" spans="1:25" x14ac:dyDescent="0.2">
      <c r="A561" s="260" t="s">
        <v>354</v>
      </c>
      <c r="B561" s="300">
        <f>SUM(B559:B560)</f>
        <v>9.0090000000032866</v>
      </c>
      <c r="C561" s="300">
        <f t="shared" ref="C561" si="1481">SUM(C559:C560)</f>
        <v>6.6000000000976105</v>
      </c>
      <c r="D561" s="300">
        <f t="shared" ref="D561" si="1482">SUM(D559:D560)</f>
        <v>10.267000000285329</v>
      </c>
      <c r="E561" s="300">
        <f t="shared" si="1476"/>
        <v>25.876000000386227</v>
      </c>
      <c r="F561" s="300"/>
      <c r="G561" s="300">
        <f>SUM(G559:G560)</f>
        <v>14.678999999856408</v>
      </c>
      <c r="H561" s="300">
        <f t="shared" ref="H561" si="1483">SUM(H559:H560)</f>
        <v>9.7350000000051935</v>
      </c>
      <c r="I561" s="300">
        <f t="shared" ref="I561" si="1484">SUM(I559:I560)</f>
        <v>16.578000000283343</v>
      </c>
      <c r="J561" s="300">
        <f t="shared" si="1477"/>
        <v>40.992000000144941</v>
      </c>
      <c r="K561" s="300"/>
      <c r="L561" s="300">
        <f>SUM(L559:L560)</f>
        <v>13.354000000015196</v>
      </c>
      <c r="M561" s="300">
        <f t="shared" ref="M561" si="1485">SUM(M559:M560)</f>
        <v>9.4960000001554299</v>
      </c>
      <c r="N561" s="300">
        <f t="shared" ref="N561" si="1486">SUM(N559:N560)</f>
        <v>19.00299999979503</v>
      </c>
      <c r="O561" s="300">
        <f t="shared" si="1478"/>
        <v>41.852999999965654</v>
      </c>
      <c r="P561" s="300"/>
      <c r="Q561" s="300">
        <f>SUM(Q559:Q560)</f>
        <v>12.65900000009537</v>
      </c>
      <c r="R561" s="300">
        <f t="shared" ref="R561" si="1487">SUM(R559:R560)</f>
        <v>8.8490000000723725</v>
      </c>
      <c r="S561" s="300">
        <f t="shared" ref="S561" si="1488">SUM(S559:S560)</f>
        <v>17.989000000015377</v>
      </c>
      <c r="T561" s="300">
        <f t="shared" si="1479"/>
        <v>39.497000000183121</v>
      </c>
      <c r="U561" s="300"/>
      <c r="V561" s="300">
        <f>SUM(V559:V560)</f>
        <v>12.659999999941601</v>
      </c>
      <c r="W561" s="300">
        <f t="shared" ref="W561" si="1489">SUM(W559:W560)</f>
        <v>8.5799999999388898</v>
      </c>
      <c r="X561" s="300">
        <f t="shared" ref="X561" si="1490">SUM(X559:X560)</f>
        <v>17.692999999971075</v>
      </c>
      <c r="Y561" s="300">
        <f t="shared" si="1480"/>
        <v>38.93299999985156</v>
      </c>
    </row>
    <row r="562" spans="1:25" x14ac:dyDescent="0.2">
      <c r="A562" s="261"/>
      <c r="C562" s="263"/>
    </row>
    <row r="563" spans="1:25" x14ac:dyDescent="0.2">
      <c r="A563" s="261" t="s">
        <v>357</v>
      </c>
      <c r="C563" s="263"/>
    </row>
    <row r="564" spans="1:25" x14ac:dyDescent="0.2">
      <c r="A564" s="260" t="s">
        <v>356</v>
      </c>
      <c r="B564" s="300">
        <f>SUM(B549,B554,B559)</f>
        <v>6.9439999999176258</v>
      </c>
      <c r="C564" s="300">
        <f t="shared" ref="C564:D564" si="1491">SUM(C549,C554,C559)</f>
        <v>14.255000000111473</v>
      </c>
      <c r="D564" s="300">
        <f t="shared" si="1491"/>
        <v>12.506000000130534</v>
      </c>
      <c r="E564" s="300">
        <f>SUM(B564:D564)</f>
        <v>33.705000000159629</v>
      </c>
      <c r="F564" s="300"/>
      <c r="G564" s="300">
        <f>SUM(G549,G554,G559)</f>
        <v>12.271999999897201</v>
      </c>
      <c r="H564" s="300">
        <f t="shared" ref="H564:I564" si="1492">SUM(H549,H554,H559)</f>
        <v>12.18100000000368</v>
      </c>
      <c r="I564" s="300">
        <f t="shared" si="1492"/>
        <v>19.175000000431307</v>
      </c>
      <c r="J564" s="300">
        <f>SUM(G564:I564)</f>
        <v>43.628000000332193</v>
      </c>
      <c r="K564" s="300"/>
      <c r="L564" s="300">
        <f>SUM(L549,L554,L559)</f>
        <v>10.565999999898494</v>
      </c>
      <c r="M564" s="300">
        <f t="shared" ref="M564" si="1493">SUM(M549,M554,M559)</f>
        <v>10.597000000164861</v>
      </c>
      <c r="N564" s="300">
        <f>SUM(N549,N554,N559)</f>
        <v>23.63799999943847</v>
      </c>
      <c r="O564" s="300">
        <f>SUM(L564:N564)</f>
        <v>44.800999999501826</v>
      </c>
      <c r="P564" s="300"/>
      <c r="Q564" s="300">
        <f>SUM(Q549,Q554,Q559)</f>
        <v>9.6400000002071344</v>
      </c>
      <c r="R564" s="300">
        <f t="shared" ref="R564:S564" si="1494">SUM(R549,R554,R559)</f>
        <v>9.8400000000890149</v>
      </c>
      <c r="S564" s="300">
        <f t="shared" si="1494"/>
        <v>22.331999999959635</v>
      </c>
      <c r="T564" s="300">
        <f>SUM(Q564:S564)</f>
        <v>41.812000000255786</v>
      </c>
      <c r="U564" s="300"/>
      <c r="V564" s="300">
        <f>SUM(V549,V554,V559)</f>
        <v>9.1039999999816033</v>
      </c>
      <c r="W564" s="300">
        <f t="shared" ref="W564:X564" si="1495">SUM(W549,W554,W559)</f>
        <v>9.421999999931753</v>
      </c>
      <c r="X564" s="300">
        <f t="shared" si="1495"/>
        <v>21.746000000084752</v>
      </c>
      <c r="Y564" s="300">
        <f>SUM(V564:X564)</f>
        <v>40.271999999998108</v>
      </c>
    </row>
    <row r="565" spans="1:25" x14ac:dyDescent="0.2">
      <c r="A565" s="260" t="s">
        <v>355</v>
      </c>
      <c r="B565" s="300">
        <f>SUM(B550,B555,B560)</f>
        <v>8.7380000000117573</v>
      </c>
      <c r="C565" s="300">
        <f t="shared" ref="C565:D565" si="1496">SUM(C550,C555,C560)</f>
        <v>5.4509999999928134</v>
      </c>
      <c r="D565" s="300">
        <f t="shared" si="1496"/>
        <v>7.3610000002190477</v>
      </c>
      <c r="E565" s="300">
        <f t="shared" ref="E565:E566" si="1497">SUM(B565:D565)</f>
        <v>21.550000000223619</v>
      </c>
      <c r="F565" s="300"/>
      <c r="G565" s="300">
        <f>SUM(G550,G555,G560)</f>
        <v>13.225999999928307</v>
      </c>
      <c r="H565" s="300">
        <f t="shared" ref="H565:I565" si="1498">SUM(H550,H555,H560)</f>
        <v>3.7200000000118685</v>
      </c>
      <c r="I565" s="300">
        <f t="shared" si="1498"/>
        <v>7.3920000000264023</v>
      </c>
      <c r="J565" s="300">
        <f t="shared" ref="J565:J566" si="1499">SUM(G565:I565)</f>
        <v>24.337999999966581</v>
      </c>
      <c r="K565" s="300"/>
      <c r="L565" s="300">
        <f>SUM(L550,L555,L560)</f>
        <v>12.523999999882706</v>
      </c>
      <c r="M565" s="300">
        <f t="shared" ref="M565:N565" si="1500">SUM(M550,M555,M560)</f>
        <v>4.7330000000113008</v>
      </c>
      <c r="N565" s="300">
        <f t="shared" si="1500"/>
        <v>6.822000000081565</v>
      </c>
      <c r="O565" s="300">
        <f t="shared" ref="O565:O566" si="1501">SUM(L565:N565)</f>
        <v>24.078999999975572</v>
      </c>
      <c r="P565" s="300"/>
      <c r="Q565" s="300">
        <f>SUM(Q550,Q555,Q560)</f>
        <v>12.181999999941503</v>
      </c>
      <c r="R565" s="300">
        <f t="shared" ref="R565:S565" si="1502">SUM(R550,R555,R560)</f>
        <v>4.4420000000082673</v>
      </c>
      <c r="S565" s="300">
        <f t="shared" si="1502"/>
        <v>6.627000000207687</v>
      </c>
      <c r="T565" s="300">
        <f t="shared" ref="T565:T566" si="1503">SUM(Q565:S565)</f>
        <v>23.251000000157457</v>
      </c>
      <c r="U565" s="300"/>
      <c r="V565" s="300">
        <f>SUM(V550,V555,V560)</f>
        <v>12.625999999916965</v>
      </c>
      <c r="W565" s="300">
        <f t="shared" ref="W565:X565" si="1504">SUM(W550,W555,W560)</f>
        <v>4.4070000000025331</v>
      </c>
      <c r="X565" s="300">
        <f t="shared" si="1504"/>
        <v>6.8400000001424353</v>
      </c>
      <c r="Y565" s="300">
        <f t="shared" ref="Y565:Y566" si="1505">SUM(V565:X565)</f>
        <v>23.873000000061932</v>
      </c>
    </row>
    <row r="566" spans="1:25" x14ac:dyDescent="0.2">
      <c r="A566" s="264" t="s">
        <v>354</v>
      </c>
      <c r="B566" s="301">
        <f>SUM(B564:B565)</f>
        <v>15.681999999929383</v>
      </c>
      <c r="C566" s="301">
        <f t="shared" ref="C566" si="1506">SUM(C564:C565)</f>
        <v>19.706000000104286</v>
      </c>
      <c r="D566" s="301">
        <f t="shared" ref="D566" si="1507">SUM(D564:D565)</f>
        <v>19.867000000349581</v>
      </c>
      <c r="E566" s="301">
        <f t="shared" si="1497"/>
        <v>55.255000000383248</v>
      </c>
      <c r="F566" s="301"/>
      <c r="G566" s="301">
        <f>SUM(G564:G565)</f>
        <v>25.49799999982551</v>
      </c>
      <c r="H566" s="301">
        <f t="shared" ref="H566" si="1508">SUM(H564:H565)</f>
        <v>15.901000000015548</v>
      </c>
      <c r="I566" s="301">
        <f t="shared" ref="I566" si="1509">SUM(I564:I565)</f>
        <v>26.56700000045771</v>
      </c>
      <c r="J566" s="301">
        <f t="shared" si="1499"/>
        <v>67.966000000298777</v>
      </c>
      <c r="K566" s="301"/>
      <c r="L566" s="301">
        <f>SUM(L564:L565)</f>
        <v>23.089999999781199</v>
      </c>
      <c r="M566" s="301">
        <f t="shared" ref="M566" si="1510">SUM(M564:M565)</f>
        <v>15.330000000176163</v>
      </c>
      <c r="N566" s="301">
        <f t="shared" ref="N566" si="1511">SUM(N564:N565)</f>
        <v>30.459999999520036</v>
      </c>
      <c r="O566" s="301">
        <f t="shared" si="1501"/>
        <v>68.879999999477405</v>
      </c>
      <c r="P566" s="301"/>
      <c r="Q566" s="301">
        <f>SUM(Q564:Q565)</f>
        <v>21.822000000148638</v>
      </c>
      <c r="R566" s="301">
        <f t="shared" ref="R566" si="1512">SUM(R564:R565)</f>
        <v>14.282000000097282</v>
      </c>
      <c r="S566" s="301">
        <f t="shared" ref="S566" si="1513">SUM(S564:S565)</f>
        <v>28.959000000167322</v>
      </c>
      <c r="T566" s="301">
        <f t="shared" si="1503"/>
        <v>65.06300000041324</v>
      </c>
      <c r="U566" s="301"/>
      <c r="V566" s="301">
        <f>SUM(V564:V565)</f>
        <v>21.729999999898567</v>
      </c>
      <c r="W566" s="301">
        <f t="shared" ref="W566" si="1514">SUM(W564:W565)</f>
        <v>13.828999999934286</v>
      </c>
      <c r="X566" s="301">
        <f t="shared" ref="X566" si="1515">SUM(X564:X565)</f>
        <v>28.586000000227187</v>
      </c>
      <c r="Y566" s="301">
        <f t="shared" si="1505"/>
        <v>64.145000000060037</v>
      </c>
    </row>
    <row r="578" spans="1:3" x14ac:dyDescent="0.2">
      <c r="A578" s="261"/>
    </row>
    <row r="579" spans="1:3" x14ac:dyDescent="0.2">
      <c r="C579" s="263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7" spans="1:3" x14ac:dyDescent="0.2">
      <c r="C587" s="263"/>
    </row>
    <row r="588" spans="1:3" x14ac:dyDescent="0.2">
      <c r="A588" s="262"/>
    </row>
    <row r="589" spans="1:3" x14ac:dyDescent="0.2">
      <c r="A589" s="261"/>
    </row>
    <row r="592" spans="1:3" x14ac:dyDescent="0.2">
      <c r="C592" s="263"/>
    </row>
    <row r="593" spans="1:3" x14ac:dyDescent="0.2">
      <c r="A593" s="261"/>
    </row>
    <row r="594" spans="1:3" x14ac:dyDescent="0.2">
      <c r="C594" s="263"/>
    </row>
    <row r="595" spans="1:3" x14ac:dyDescent="0.2">
      <c r="C595" s="263"/>
    </row>
    <row r="596" spans="1:3" x14ac:dyDescent="0.2">
      <c r="C596" s="263"/>
    </row>
    <row r="598" spans="1:3" x14ac:dyDescent="0.2">
      <c r="A598" s="261"/>
    </row>
    <row r="599" spans="1:3" x14ac:dyDescent="0.2">
      <c r="C599" s="263"/>
    </row>
    <row r="600" spans="1:3" x14ac:dyDescent="0.2">
      <c r="C600" s="263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C605" s="263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A610" s="261"/>
    </row>
    <row r="611" spans="1:3" x14ac:dyDescent="0.2">
      <c r="C611" s="263"/>
    </row>
    <row r="612" spans="1:3" x14ac:dyDescent="0.2">
      <c r="C612" s="263"/>
    </row>
    <row r="613" spans="1:3" x14ac:dyDescent="0.2">
      <c r="C613" s="263"/>
    </row>
    <row r="638" spans="1:3" x14ac:dyDescent="0.2">
      <c r="A638" s="261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3" spans="1:3" x14ac:dyDescent="0.2">
      <c r="A643" s="261"/>
    </row>
    <row r="644" spans="1:3" x14ac:dyDescent="0.2">
      <c r="C644" s="263"/>
    </row>
    <row r="645" spans="1:3" x14ac:dyDescent="0.2">
      <c r="C645" s="263"/>
    </row>
    <row r="646" spans="1:3" x14ac:dyDescent="0.2">
      <c r="C646" s="263"/>
    </row>
    <row r="647" spans="1:3" x14ac:dyDescent="0.2">
      <c r="C647" s="263"/>
    </row>
    <row r="648" spans="1:3" x14ac:dyDescent="0.2">
      <c r="A648" s="261"/>
    </row>
    <row r="649" spans="1:3" x14ac:dyDescent="0.2">
      <c r="C649" s="263"/>
    </row>
    <row r="650" spans="1:3" x14ac:dyDescent="0.2">
      <c r="C650" s="263"/>
    </row>
    <row r="651" spans="1:3" x14ac:dyDescent="0.2">
      <c r="C651" s="263"/>
    </row>
    <row r="652" spans="1:3" x14ac:dyDescent="0.2">
      <c r="A652" s="262"/>
    </row>
    <row r="653" spans="1:3" x14ac:dyDescent="0.2">
      <c r="A653" s="261"/>
    </row>
    <row r="654" spans="1:3" x14ac:dyDescent="0.2">
      <c r="C654" s="263"/>
    </row>
    <row r="655" spans="1:3" x14ac:dyDescent="0.2">
      <c r="C655" s="263"/>
    </row>
    <row r="656" spans="1:3" x14ac:dyDescent="0.2">
      <c r="C656" s="263"/>
    </row>
    <row r="658" spans="1:3" x14ac:dyDescent="0.2">
      <c r="A658" s="261"/>
    </row>
    <row r="659" spans="1:3" x14ac:dyDescent="0.2">
      <c r="C659" s="263"/>
    </row>
    <row r="660" spans="1:3" x14ac:dyDescent="0.2">
      <c r="C660" s="263"/>
    </row>
    <row r="661" spans="1:3" x14ac:dyDescent="0.2">
      <c r="C661" s="263"/>
    </row>
    <row r="662" spans="1:3" x14ac:dyDescent="0.2">
      <c r="C662" s="263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A666" s="261"/>
    </row>
    <row r="667" spans="1:3" x14ac:dyDescent="0.2">
      <c r="C667" s="263"/>
    </row>
    <row r="668" spans="1:3" x14ac:dyDescent="0.2">
      <c r="C668" s="263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  <c r="C673" s="263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A687" s="262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C691" s="263"/>
    </row>
    <row r="693" spans="1:3" x14ac:dyDescent="0.2">
      <c r="A693" s="261"/>
    </row>
    <row r="694" spans="1:3" x14ac:dyDescent="0.2">
      <c r="A694" s="261"/>
    </row>
    <row r="695" spans="1:3" x14ac:dyDescent="0.2">
      <c r="C695" s="263"/>
    </row>
    <row r="696" spans="1:3" x14ac:dyDescent="0.2">
      <c r="C696" s="263"/>
    </row>
    <row r="697" spans="1:3" x14ac:dyDescent="0.2">
      <c r="C697" s="263"/>
    </row>
    <row r="699" spans="1:3" x14ac:dyDescent="0.2">
      <c r="A699" s="261"/>
    </row>
    <row r="700" spans="1:3" x14ac:dyDescent="0.2">
      <c r="C700" s="263"/>
    </row>
    <row r="701" spans="1:3" x14ac:dyDescent="0.2">
      <c r="C701" s="263"/>
    </row>
    <row r="702" spans="1:3" x14ac:dyDescent="0.2">
      <c r="C702" s="263"/>
    </row>
    <row r="703" spans="1:3" x14ac:dyDescent="0.2">
      <c r="C703" s="263"/>
    </row>
    <row r="704" spans="1:3" x14ac:dyDescent="0.2">
      <c r="A704" s="261"/>
    </row>
    <row r="705" spans="1:3" x14ac:dyDescent="0.2">
      <c r="C705" s="263"/>
    </row>
    <row r="706" spans="1:3" x14ac:dyDescent="0.2">
      <c r="C706" s="263"/>
    </row>
    <row r="707" spans="1:3" x14ac:dyDescent="0.2">
      <c r="C707" s="263"/>
    </row>
    <row r="708" spans="1:3" x14ac:dyDescent="0.2">
      <c r="A708" s="262"/>
    </row>
    <row r="709" spans="1:3" x14ac:dyDescent="0.2">
      <c r="A709" s="261"/>
    </row>
    <row r="710" spans="1:3" x14ac:dyDescent="0.2">
      <c r="C710" s="263"/>
    </row>
    <row r="711" spans="1:3" x14ac:dyDescent="0.2">
      <c r="C711" s="263"/>
    </row>
    <row r="712" spans="1:3" x14ac:dyDescent="0.2">
      <c r="C712" s="263"/>
    </row>
    <row r="714" spans="1:3" x14ac:dyDescent="0.2">
      <c r="A714" s="261"/>
    </row>
    <row r="715" spans="1:3" x14ac:dyDescent="0.2">
      <c r="C715" s="263"/>
    </row>
    <row r="716" spans="1:3" x14ac:dyDescent="0.2">
      <c r="C716" s="263"/>
    </row>
    <row r="717" spans="1:3" x14ac:dyDescent="0.2">
      <c r="C717" s="263"/>
    </row>
    <row r="718" spans="1:3" x14ac:dyDescent="0.2">
      <c r="C718" s="263"/>
    </row>
    <row r="719" spans="1:3" x14ac:dyDescent="0.2">
      <c r="A719" s="261"/>
    </row>
    <row r="720" spans="1:3" x14ac:dyDescent="0.2">
      <c r="C720" s="263"/>
    </row>
    <row r="721" spans="1:3" x14ac:dyDescent="0.2">
      <c r="C721" s="263"/>
    </row>
    <row r="722" spans="1:3" x14ac:dyDescent="0.2">
      <c r="A722" s="261"/>
    </row>
    <row r="723" spans="1:3" x14ac:dyDescent="0.2">
      <c r="C723" s="263"/>
    </row>
    <row r="724" spans="1:3" x14ac:dyDescent="0.2">
      <c r="C724" s="263"/>
    </row>
    <row r="725" spans="1:3" x14ac:dyDescent="0.2">
      <c r="C725" s="263"/>
    </row>
    <row r="726" spans="1:3" x14ac:dyDescent="0.2">
      <c r="C726" s="263"/>
    </row>
    <row r="728" spans="1:3" x14ac:dyDescent="0.2">
      <c r="A728" s="261"/>
    </row>
    <row r="729" spans="1:3" x14ac:dyDescent="0.2">
      <c r="C729" s="263"/>
    </row>
    <row r="730" spans="1:3" x14ac:dyDescent="0.2">
      <c r="C730" s="263"/>
    </row>
    <row r="731" spans="1:3" x14ac:dyDescent="0.2">
      <c r="C731" s="263"/>
    </row>
    <row r="732" spans="1:3" x14ac:dyDescent="0.2">
      <c r="A732" s="262"/>
    </row>
    <row r="733" spans="1:3" x14ac:dyDescent="0.2">
      <c r="A733" s="261"/>
    </row>
    <row r="734" spans="1:3" x14ac:dyDescent="0.2">
      <c r="C734" s="263"/>
    </row>
    <row r="735" spans="1:3" x14ac:dyDescent="0.2">
      <c r="C735" s="263"/>
    </row>
    <row r="736" spans="1:3" x14ac:dyDescent="0.2">
      <c r="C736" s="263"/>
    </row>
    <row r="738" spans="1:3" x14ac:dyDescent="0.2">
      <c r="A738" s="261"/>
    </row>
    <row r="739" spans="1:3" x14ac:dyDescent="0.2">
      <c r="C739" s="263"/>
    </row>
    <row r="740" spans="1:3" x14ac:dyDescent="0.2">
      <c r="C740" s="263"/>
    </row>
    <row r="741" spans="1:3" x14ac:dyDescent="0.2">
      <c r="C741" s="263"/>
    </row>
    <row r="743" spans="1:3" x14ac:dyDescent="0.2">
      <c r="A743" s="261"/>
    </row>
    <row r="744" spans="1:3" x14ac:dyDescent="0.2">
      <c r="C744" s="263"/>
    </row>
    <row r="745" spans="1:3" x14ac:dyDescent="0.2">
      <c r="C745" s="263"/>
    </row>
    <row r="746" spans="1:3" x14ac:dyDescent="0.2">
      <c r="C746" s="263"/>
    </row>
    <row r="747" spans="1:3" x14ac:dyDescent="0.2">
      <c r="C747" s="263"/>
    </row>
    <row r="748" spans="1:3" x14ac:dyDescent="0.2">
      <c r="A748" s="261"/>
    </row>
    <row r="749" spans="1:3" x14ac:dyDescent="0.2">
      <c r="C749" s="263"/>
    </row>
    <row r="750" spans="1:3" x14ac:dyDescent="0.2">
      <c r="A750" s="261"/>
    </row>
    <row r="751" spans="1:3" x14ac:dyDescent="0.2">
      <c r="C751" s="263"/>
    </row>
    <row r="752" spans="1:3" x14ac:dyDescent="0.2">
      <c r="C752" s="263"/>
    </row>
    <row r="753" spans="1:3" x14ac:dyDescent="0.2">
      <c r="C753" s="263"/>
    </row>
    <row r="755" spans="1:3" x14ac:dyDescent="0.2">
      <c r="A755" s="261"/>
    </row>
    <row r="756" spans="1:3" x14ac:dyDescent="0.2">
      <c r="C756" s="263"/>
    </row>
    <row r="757" spans="1:3" x14ac:dyDescent="0.2">
      <c r="C757" s="263"/>
    </row>
    <row r="758" spans="1:3" x14ac:dyDescent="0.2">
      <c r="C758" s="263"/>
    </row>
    <row r="759" spans="1:3" x14ac:dyDescent="0.2">
      <c r="C759" s="263"/>
    </row>
    <row r="760" spans="1:3" x14ac:dyDescent="0.2">
      <c r="A760" s="261"/>
    </row>
    <row r="761" spans="1:3" x14ac:dyDescent="0.2">
      <c r="C761" s="263"/>
    </row>
    <row r="762" spans="1:3" x14ac:dyDescent="0.2">
      <c r="C762" s="263"/>
    </row>
    <row r="763" spans="1:3" x14ac:dyDescent="0.2">
      <c r="C763" s="263"/>
    </row>
    <row r="764" spans="1:3" x14ac:dyDescent="0.2">
      <c r="A764" s="262"/>
    </row>
    <row r="765" spans="1:3" x14ac:dyDescent="0.2">
      <c r="A765" s="261"/>
    </row>
    <row r="766" spans="1:3" x14ac:dyDescent="0.2">
      <c r="C766" s="263"/>
    </row>
    <row r="767" spans="1:3" x14ac:dyDescent="0.2">
      <c r="C767" s="263"/>
    </row>
    <row r="768" spans="1:3" x14ac:dyDescent="0.2">
      <c r="C768" s="263"/>
    </row>
    <row r="770" spans="1:3" x14ac:dyDescent="0.2">
      <c r="A770" s="261"/>
    </row>
    <row r="771" spans="1:3" x14ac:dyDescent="0.2">
      <c r="C771" s="263"/>
    </row>
    <row r="772" spans="1:3" x14ac:dyDescent="0.2">
      <c r="C772" s="263"/>
    </row>
    <row r="773" spans="1:3" x14ac:dyDescent="0.2">
      <c r="C773" s="263"/>
    </row>
    <row r="774" spans="1:3" x14ac:dyDescent="0.2">
      <c r="C774" s="263"/>
    </row>
    <row r="775" spans="1:3" x14ac:dyDescent="0.2">
      <c r="A775" s="261"/>
    </row>
    <row r="776" spans="1:3" x14ac:dyDescent="0.2">
      <c r="C776" s="263"/>
    </row>
    <row r="777" spans="1:3" x14ac:dyDescent="0.2">
      <c r="C777" s="263"/>
    </row>
    <row r="778" spans="1:3" x14ac:dyDescent="0.2">
      <c r="A778" s="261"/>
    </row>
    <row r="779" spans="1:3" x14ac:dyDescent="0.2">
      <c r="C779" s="263"/>
    </row>
    <row r="780" spans="1:3" x14ac:dyDescent="0.2">
      <c r="C780" s="263"/>
    </row>
    <row r="781" spans="1:3" x14ac:dyDescent="0.2">
      <c r="C781" s="263"/>
    </row>
    <row r="782" spans="1:3" x14ac:dyDescent="0.2">
      <c r="C782" s="263"/>
    </row>
    <row r="783" spans="1:3" x14ac:dyDescent="0.2">
      <c r="C783" s="263"/>
    </row>
    <row r="784" spans="1:3" x14ac:dyDescent="0.2">
      <c r="C784" s="263"/>
    </row>
    <row r="785" spans="1:3" x14ac:dyDescent="0.2">
      <c r="A785" s="261"/>
      <c r="C785" s="263"/>
    </row>
    <row r="786" spans="1:3" x14ac:dyDescent="0.2">
      <c r="C786" s="263"/>
    </row>
    <row r="787" spans="1:3" x14ac:dyDescent="0.2">
      <c r="C787" s="263"/>
    </row>
    <row r="788" spans="1:3" x14ac:dyDescent="0.2">
      <c r="C788" s="263"/>
    </row>
    <row r="789" spans="1:3" x14ac:dyDescent="0.2">
      <c r="A789" s="262"/>
    </row>
    <row r="790" spans="1:3" x14ac:dyDescent="0.2">
      <c r="A790" s="261"/>
    </row>
    <row r="791" spans="1:3" x14ac:dyDescent="0.2">
      <c r="C791" s="263"/>
    </row>
    <row r="792" spans="1:3" x14ac:dyDescent="0.2">
      <c r="C792" s="263"/>
    </row>
    <row r="793" spans="1:3" x14ac:dyDescent="0.2">
      <c r="C793" s="263"/>
    </row>
    <row r="795" spans="1:3" x14ac:dyDescent="0.2">
      <c r="A795" s="261"/>
    </row>
    <row r="796" spans="1:3" x14ac:dyDescent="0.2">
      <c r="C796" s="263"/>
    </row>
    <row r="797" spans="1:3" x14ac:dyDescent="0.2">
      <c r="C797" s="263"/>
    </row>
    <row r="798" spans="1:3" x14ac:dyDescent="0.2">
      <c r="C798" s="263"/>
    </row>
    <row r="799" spans="1:3" x14ac:dyDescent="0.2">
      <c r="A799" s="262"/>
    </row>
    <row r="800" spans="1:3" x14ac:dyDescent="0.2">
      <c r="A800" s="261"/>
    </row>
    <row r="801" spans="1:3" x14ac:dyDescent="0.2">
      <c r="C801" s="263"/>
    </row>
    <row r="802" spans="1:3" x14ac:dyDescent="0.2">
      <c r="C802" s="263"/>
    </row>
    <row r="803" spans="1:3" x14ac:dyDescent="0.2">
      <c r="C803" s="263"/>
    </row>
    <row r="805" spans="1:3" x14ac:dyDescent="0.2">
      <c r="A805" s="261"/>
    </row>
    <row r="806" spans="1:3" x14ac:dyDescent="0.2">
      <c r="A806" s="261"/>
    </row>
    <row r="807" spans="1:3" x14ac:dyDescent="0.2">
      <c r="C807" s="263"/>
    </row>
    <row r="808" spans="1:3" x14ac:dyDescent="0.2">
      <c r="C808" s="263"/>
    </row>
    <row r="809" spans="1:3" x14ac:dyDescent="0.2">
      <c r="C809" s="263"/>
    </row>
    <row r="811" spans="1:3" x14ac:dyDescent="0.2">
      <c r="A811" s="261"/>
    </row>
    <row r="812" spans="1:3" x14ac:dyDescent="0.2">
      <c r="C812" s="263"/>
    </row>
    <row r="813" spans="1:3" x14ac:dyDescent="0.2">
      <c r="C813" s="263"/>
    </row>
    <row r="814" spans="1:3" x14ac:dyDescent="0.2">
      <c r="C814" s="263"/>
    </row>
    <row r="815" spans="1:3" x14ac:dyDescent="0.2">
      <c r="C815" s="263"/>
    </row>
    <row r="816" spans="1:3" x14ac:dyDescent="0.2">
      <c r="A816" s="261"/>
    </row>
    <row r="817" spans="1:3" x14ac:dyDescent="0.2">
      <c r="C817" s="263"/>
    </row>
    <row r="818" spans="1:3" x14ac:dyDescent="0.2">
      <c r="C818" s="263"/>
    </row>
    <row r="819" spans="1:3" x14ac:dyDescent="0.2">
      <c r="C819" s="263"/>
    </row>
    <row r="820" spans="1:3" x14ac:dyDescent="0.2">
      <c r="A820" s="262"/>
    </row>
    <row r="821" spans="1:3" x14ac:dyDescent="0.2">
      <c r="A821" s="261"/>
    </row>
    <row r="822" spans="1:3" x14ac:dyDescent="0.2">
      <c r="C822" s="263"/>
    </row>
    <row r="823" spans="1:3" x14ac:dyDescent="0.2">
      <c r="C823" s="263"/>
    </row>
    <row r="824" spans="1:3" x14ac:dyDescent="0.2">
      <c r="C824" s="263"/>
    </row>
    <row r="826" spans="1:3" x14ac:dyDescent="0.2">
      <c r="A826" s="261"/>
    </row>
    <row r="827" spans="1:3" x14ac:dyDescent="0.2">
      <c r="C827" s="263"/>
    </row>
    <row r="828" spans="1:3" x14ac:dyDescent="0.2">
      <c r="C828" s="263"/>
    </row>
    <row r="829" spans="1:3" x14ac:dyDescent="0.2">
      <c r="C829" s="263"/>
    </row>
    <row r="830" spans="1:3" x14ac:dyDescent="0.2">
      <c r="C830" s="263"/>
    </row>
    <row r="831" spans="1:3" x14ac:dyDescent="0.2">
      <c r="A831" s="261"/>
    </row>
    <row r="832" spans="1:3" x14ac:dyDescent="0.2">
      <c r="C832" s="263"/>
    </row>
    <row r="833" spans="1:25" x14ac:dyDescent="0.2">
      <c r="C833" s="263"/>
    </row>
    <row r="834" spans="1:25" x14ac:dyDescent="0.2">
      <c r="A834" s="261"/>
    </row>
    <row r="835" spans="1:25" x14ac:dyDescent="0.2">
      <c r="C835" s="263"/>
    </row>
    <row r="836" spans="1:25" x14ac:dyDescent="0.2">
      <c r="C836" s="263"/>
    </row>
    <row r="837" spans="1:25" x14ac:dyDescent="0.2">
      <c r="C837" s="263"/>
    </row>
    <row r="838" spans="1:25" x14ac:dyDescent="0.2">
      <c r="A838" s="261"/>
    </row>
    <row r="839" spans="1:25" x14ac:dyDescent="0.2">
      <c r="C839" s="263"/>
    </row>
    <row r="840" spans="1:25" x14ac:dyDescent="0.2">
      <c r="C840" s="263"/>
    </row>
    <row r="841" spans="1:25" x14ac:dyDescent="0.2">
      <c r="A841" s="264"/>
      <c r="B841" s="315"/>
      <c r="C841" s="315"/>
      <c r="D841" s="315"/>
      <c r="E841" s="315"/>
      <c r="F841" s="315"/>
      <c r="G841" s="315"/>
      <c r="H841" s="315"/>
      <c r="I841" s="315"/>
      <c r="J841" s="315"/>
      <c r="K841" s="315"/>
      <c r="L841" s="315"/>
      <c r="M841" s="315"/>
      <c r="N841" s="315"/>
      <c r="O841" s="315"/>
      <c r="P841" s="315"/>
      <c r="Q841" s="315"/>
      <c r="R841" s="315"/>
      <c r="S841" s="315"/>
      <c r="T841" s="315"/>
      <c r="U841" s="315"/>
      <c r="V841" s="315"/>
      <c r="W841" s="315"/>
      <c r="X841" s="315"/>
      <c r="Y841" s="315"/>
    </row>
    <row r="842" spans="1:25" x14ac:dyDescent="0.2">
      <c r="A842" s="262"/>
    </row>
    <row r="843" spans="1:25" x14ac:dyDescent="0.2">
      <c r="A843" s="261"/>
    </row>
    <row r="844" spans="1:25" x14ac:dyDescent="0.2">
      <c r="C844" s="263"/>
    </row>
    <row r="845" spans="1:25" x14ac:dyDescent="0.2">
      <c r="C845" s="263"/>
    </row>
    <row r="846" spans="1:25" x14ac:dyDescent="0.2">
      <c r="A846" s="264"/>
      <c r="B846" s="315"/>
      <c r="C846" s="315"/>
      <c r="D846" s="315"/>
      <c r="E846" s="315"/>
      <c r="F846" s="315"/>
      <c r="G846" s="315"/>
      <c r="H846" s="315"/>
      <c r="I846" s="315"/>
      <c r="J846" s="315"/>
      <c r="K846" s="315"/>
      <c r="L846" s="315"/>
      <c r="M846" s="315"/>
      <c r="N846" s="315"/>
      <c r="O846" s="315"/>
      <c r="P846" s="315"/>
      <c r="Q846" s="315"/>
      <c r="R846" s="315"/>
      <c r="S846" s="315"/>
      <c r="T846" s="315"/>
      <c r="U846" s="315"/>
      <c r="V846" s="315"/>
      <c r="W846" s="315"/>
      <c r="X846" s="315"/>
      <c r="Y846" s="315"/>
    </row>
    <row r="847" spans="1:25" x14ac:dyDescent="0.2">
      <c r="A847" s="262"/>
    </row>
    <row r="848" spans="1:25" x14ac:dyDescent="0.2">
      <c r="A848" s="261"/>
    </row>
    <row r="849" spans="1:3" x14ac:dyDescent="0.2">
      <c r="C849" s="263"/>
    </row>
    <row r="850" spans="1:3" x14ac:dyDescent="0.2">
      <c r="C850" s="263"/>
    </row>
    <row r="851" spans="1:3" x14ac:dyDescent="0.2">
      <c r="C851" s="263"/>
    </row>
    <row r="853" spans="1:3" x14ac:dyDescent="0.2">
      <c r="A853" s="261"/>
    </row>
    <row r="854" spans="1:3" x14ac:dyDescent="0.2">
      <c r="C854" s="263"/>
    </row>
    <row r="855" spans="1:3" x14ac:dyDescent="0.2">
      <c r="C855" s="263"/>
    </row>
    <row r="856" spans="1:3" x14ac:dyDescent="0.2">
      <c r="C856" s="263"/>
    </row>
    <row r="857" spans="1:3" x14ac:dyDescent="0.2">
      <c r="C857" s="263"/>
    </row>
    <row r="858" spans="1:3" x14ac:dyDescent="0.2">
      <c r="A858" s="261"/>
    </row>
    <row r="859" spans="1:3" x14ac:dyDescent="0.2">
      <c r="C859" s="263"/>
    </row>
    <row r="860" spans="1:3" x14ac:dyDescent="0.2">
      <c r="C860" s="263"/>
    </row>
    <row r="861" spans="1:3" x14ac:dyDescent="0.2">
      <c r="C861" s="263"/>
    </row>
    <row r="862" spans="1:3" x14ac:dyDescent="0.2">
      <c r="A862" s="261"/>
    </row>
    <row r="863" spans="1:3" x14ac:dyDescent="0.2">
      <c r="C863" s="263"/>
    </row>
    <row r="864" spans="1:3" x14ac:dyDescent="0.2">
      <c r="C864" s="263"/>
    </row>
    <row r="865" spans="1:3" x14ac:dyDescent="0.2">
      <c r="C865" s="263"/>
    </row>
    <row r="867" spans="1:3" x14ac:dyDescent="0.2">
      <c r="A867" s="261"/>
    </row>
    <row r="868" spans="1:3" x14ac:dyDescent="0.2">
      <c r="C868" s="263"/>
    </row>
    <row r="869" spans="1:3" x14ac:dyDescent="0.2">
      <c r="C869" s="263"/>
    </row>
    <row r="870" spans="1:3" x14ac:dyDescent="0.2">
      <c r="C870" s="263"/>
    </row>
    <row r="871" spans="1:3" x14ac:dyDescent="0.2">
      <c r="C871" s="263"/>
    </row>
    <row r="872" spans="1:3" x14ac:dyDescent="0.2">
      <c r="A872" s="261"/>
    </row>
    <row r="873" spans="1:3" x14ac:dyDescent="0.2">
      <c r="C873" s="263"/>
    </row>
    <row r="874" spans="1:3" x14ac:dyDescent="0.2">
      <c r="C874" s="263"/>
    </row>
    <row r="875" spans="1:3" x14ac:dyDescent="0.2">
      <c r="C875" s="263"/>
    </row>
    <row r="876" spans="1:3" x14ac:dyDescent="0.2">
      <c r="A876" s="262"/>
    </row>
    <row r="877" spans="1:3" x14ac:dyDescent="0.2">
      <c r="A877" s="261"/>
    </row>
    <row r="878" spans="1:3" x14ac:dyDescent="0.2">
      <c r="C878" s="263"/>
    </row>
    <row r="879" spans="1:3" x14ac:dyDescent="0.2">
      <c r="C879" s="263"/>
    </row>
    <row r="880" spans="1:3" x14ac:dyDescent="0.2">
      <c r="C880" s="263"/>
    </row>
    <row r="882" spans="1:3" x14ac:dyDescent="0.2">
      <c r="A882" s="261"/>
    </row>
    <row r="883" spans="1:3" x14ac:dyDescent="0.2">
      <c r="C883" s="263"/>
    </row>
    <row r="884" spans="1:3" x14ac:dyDescent="0.2">
      <c r="C884" s="263"/>
    </row>
    <row r="885" spans="1:3" x14ac:dyDescent="0.2">
      <c r="C885" s="263"/>
    </row>
    <row r="886" spans="1:3" x14ac:dyDescent="0.2">
      <c r="C886" s="263"/>
    </row>
    <row r="887" spans="1:3" x14ac:dyDescent="0.2">
      <c r="A887" s="261"/>
    </row>
    <row r="888" spans="1:3" x14ac:dyDescent="0.2">
      <c r="C888" s="263"/>
    </row>
    <row r="889" spans="1:3" x14ac:dyDescent="0.2">
      <c r="C889" s="263"/>
    </row>
    <row r="890" spans="1:3" x14ac:dyDescent="0.2">
      <c r="A890" s="261"/>
    </row>
    <row r="891" spans="1:3" x14ac:dyDescent="0.2">
      <c r="C891" s="263"/>
    </row>
    <row r="892" spans="1:3" x14ac:dyDescent="0.2">
      <c r="C892" s="263"/>
    </row>
    <row r="893" spans="1:3" x14ac:dyDescent="0.2">
      <c r="C893" s="263"/>
    </row>
    <row r="894" spans="1:3" x14ac:dyDescent="0.2">
      <c r="C894" s="263"/>
    </row>
    <row r="895" spans="1:3" x14ac:dyDescent="0.2">
      <c r="C895" s="263"/>
    </row>
    <row r="896" spans="1:3" x14ac:dyDescent="0.2">
      <c r="C896" s="263"/>
    </row>
    <row r="897" spans="1:3" x14ac:dyDescent="0.2">
      <c r="A897" s="261"/>
      <c r="C897" s="263"/>
    </row>
    <row r="898" spans="1:3" x14ac:dyDescent="0.2">
      <c r="C898" s="263"/>
    </row>
    <row r="899" spans="1:3" x14ac:dyDescent="0.2">
      <c r="C899" s="263"/>
    </row>
    <row r="900" spans="1:3" x14ac:dyDescent="0.2">
      <c r="C900" s="263"/>
    </row>
    <row r="901" spans="1:3" x14ac:dyDescent="0.2">
      <c r="A901" s="262"/>
    </row>
    <row r="902" spans="1:3" x14ac:dyDescent="0.2">
      <c r="A902" s="261"/>
    </row>
    <row r="903" spans="1:3" x14ac:dyDescent="0.2">
      <c r="C903" s="263"/>
    </row>
    <row r="904" spans="1:3" x14ac:dyDescent="0.2">
      <c r="C904" s="263"/>
    </row>
    <row r="905" spans="1:3" x14ac:dyDescent="0.2">
      <c r="C905" s="263"/>
    </row>
    <row r="907" spans="1:3" x14ac:dyDescent="0.2">
      <c r="A907" s="261"/>
    </row>
    <row r="908" spans="1:3" x14ac:dyDescent="0.2">
      <c r="C908" s="263"/>
    </row>
    <row r="909" spans="1:3" x14ac:dyDescent="0.2">
      <c r="C909" s="263"/>
    </row>
    <row r="910" spans="1:3" x14ac:dyDescent="0.2">
      <c r="C910" s="263"/>
    </row>
    <row r="911" spans="1:3" x14ac:dyDescent="0.2">
      <c r="A911" s="262"/>
    </row>
    <row r="912" spans="1:3" x14ac:dyDescent="0.2">
      <c r="A912" s="261"/>
    </row>
    <row r="913" spans="1:3" x14ac:dyDescent="0.2">
      <c r="C913" s="263"/>
    </row>
    <row r="914" spans="1:3" x14ac:dyDescent="0.2">
      <c r="C914" s="263"/>
    </row>
    <row r="915" spans="1:3" x14ac:dyDescent="0.2">
      <c r="C915" s="263"/>
    </row>
    <row r="917" spans="1:3" x14ac:dyDescent="0.2">
      <c r="A917" s="261"/>
    </row>
    <row r="918" spans="1:3" x14ac:dyDescent="0.2">
      <c r="A918" s="261"/>
    </row>
    <row r="919" spans="1:3" x14ac:dyDescent="0.2">
      <c r="C919" s="263"/>
    </row>
    <row r="920" spans="1:3" x14ac:dyDescent="0.2">
      <c r="C920" s="263"/>
    </row>
    <row r="921" spans="1:3" x14ac:dyDescent="0.2">
      <c r="C921" s="263"/>
    </row>
    <row r="923" spans="1:3" x14ac:dyDescent="0.2">
      <c r="A923" s="261"/>
    </row>
    <row r="924" spans="1:3" x14ac:dyDescent="0.2">
      <c r="C924" s="263"/>
    </row>
    <row r="925" spans="1:3" x14ac:dyDescent="0.2">
      <c r="C925" s="263"/>
    </row>
    <row r="926" spans="1:3" x14ac:dyDescent="0.2">
      <c r="C926" s="263"/>
    </row>
    <row r="927" spans="1:3" x14ac:dyDescent="0.2">
      <c r="C927" s="263"/>
    </row>
    <row r="928" spans="1:3" x14ac:dyDescent="0.2">
      <c r="A928" s="261"/>
    </row>
    <row r="929" spans="1:3" x14ac:dyDescent="0.2">
      <c r="C929" s="263"/>
    </row>
    <row r="930" spans="1:3" x14ac:dyDescent="0.2">
      <c r="C930" s="263"/>
    </row>
    <row r="931" spans="1:3" x14ac:dyDescent="0.2">
      <c r="C931" s="263"/>
    </row>
    <row r="932" spans="1:3" x14ac:dyDescent="0.2">
      <c r="A932" s="262"/>
    </row>
    <row r="933" spans="1:3" x14ac:dyDescent="0.2">
      <c r="A933" s="261"/>
    </row>
    <row r="934" spans="1:3" x14ac:dyDescent="0.2">
      <c r="C934" s="263"/>
    </row>
    <row r="935" spans="1:3" x14ac:dyDescent="0.2">
      <c r="C935" s="263"/>
    </row>
    <row r="936" spans="1:3" x14ac:dyDescent="0.2">
      <c r="C936" s="263"/>
    </row>
    <row r="938" spans="1:3" x14ac:dyDescent="0.2">
      <c r="A938" s="261"/>
    </row>
    <row r="939" spans="1:3" x14ac:dyDescent="0.2">
      <c r="C939" s="263"/>
    </row>
    <row r="940" spans="1:3" x14ac:dyDescent="0.2">
      <c r="C940" s="263"/>
    </row>
    <row r="941" spans="1:3" x14ac:dyDescent="0.2">
      <c r="C941" s="263"/>
    </row>
    <row r="942" spans="1:3" x14ac:dyDescent="0.2">
      <c r="C942" s="263"/>
    </row>
    <row r="943" spans="1:3" x14ac:dyDescent="0.2">
      <c r="A943" s="261"/>
    </row>
    <row r="944" spans="1:3" x14ac:dyDescent="0.2">
      <c r="C944" s="263"/>
    </row>
    <row r="945" spans="1:3" x14ac:dyDescent="0.2">
      <c r="C945" s="263"/>
    </row>
    <row r="946" spans="1:3" x14ac:dyDescent="0.2">
      <c r="A946" s="261"/>
    </row>
    <row r="947" spans="1:3" x14ac:dyDescent="0.2">
      <c r="C947" s="263"/>
    </row>
    <row r="948" spans="1:3" x14ac:dyDescent="0.2">
      <c r="C948" s="263"/>
    </row>
    <row r="949" spans="1:3" x14ac:dyDescent="0.2">
      <c r="C949" s="263"/>
    </row>
    <row r="950" spans="1:3" x14ac:dyDescent="0.2">
      <c r="C950" s="263"/>
    </row>
    <row r="952" spans="1:3" x14ac:dyDescent="0.2">
      <c r="A952" s="261"/>
    </row>
    <row r="953" spans="1:3" x14ac:dyDescent="0.2">
      <c r="C953" s="263"/>
    </row>
    <row r="954" spans="1:3" x14ac:dyDescent="0.2">
      <c r="C954" s="263"/>
    </row>
    <row r="955" spans="1:3" x14ac:dyDescent="0.2">
      <c r="C955" s="263"/>
    </row>
    <row r="956" spans="1:3" x14ac:dyDescent="0.2">
      <c r="A956" s="262"/>
    </row>
    <row r="957" spans="1:3" x14ac:dyDescent="0.2">
      <c r="A957" s="261"/>
    </row>
    <row r="958" spans="1:3" x14ac:dyDescent="0.2">
      <c r="C958" s="263"/>
    </row>
    <row r="959" spans="1:3" x14ac:dyDescent="0.2">
      <c r="C959" s="263"/>
    </row>
    <row r="960" spans="1:3" x14ac:dyDescent="0.2">
      <c r="C960" s="263"/>
    </row>
    <row r="962" spans="1:3" x14ac:dyDescent="0.2">
      <c r="A962" s="261"/>
    </row>
    <row r="963" spans="1:3" x14ac:dyDescent="0.2">
      <c r="C963" s="263"/>
    </row>
    <row r="964" spans="1:3" x14ac:dyDescent="0.2">
      <c r="C964" s="263"/>
    </row>
    <row r="965" spans="1:3" x14ac:dyDescent="0.2">
      <c r="C965" s="263"/>
    </row>
    <row r="967" spans="1:3" x14ac:dyDescent="0.2">
      <c r="A967" s="261"/>
    </row>
    <row r="968" spans="1:3" x14ac:dyDescent="0.2">
      <c r="C968" s="263"/>
    </row>
    <row r="969" spans="1:3" x14ac:dyDescent="0.2">
      <c r="C969" s="263"/>
    </row>
    <row r="970" spans="1:3" x14ac:dyDescent="0.2">
      <c r="C970" s="263"/>
    </row>
    <row r="971" spans="1:3" x14ac:dyDescent="0.2">
      <c r="C971" s="263"/>
    </row>
    <row r="972" spans="1:3" x14ac:dyDescent="0.2">
      <c r="A972" s="261"/>
    </row>
    <row r="973" spans="1:3" x14ac:dyDescent="0.2">
      <c r="C973" s="263"/>
    </row>
    <row r="974" spans="1:3" x14ac:dyDescent="0.2">
      <c r="A974" s="261"/>
    </row>
    <row r="975" spans="1:3" x14ac:dyDescent="0.2">
      <c r="C975" s="263"/>
    </row>
    <row r="976" spans="1:3" x14ac:dyDescent="0.2">
      <c r="C976" s="263"/>
    </row>
    <row r="977" spans="1:3" x14ac:dyDescent="0.2">
      <c r="C977" s="263"/>
    </row>
    <row r="979" spans="1:3" x14ac:dyDescent="0.2">
      <c r="A979" s="261"/>
    </row>
    <row r="980" spans="1:3" x14ac:dyDescent="0.2">
      <c r="C980" s="263"/>
    </row>
    <row r="981" spans="1:3" x14ac:dyDescent="0.2">
      <c r="C981" s="263"/>
    </row>
    <row r="982" spans="1:3" x14ac:dyDescent="0.2">
      <c r="C982" s="263"/>
    </row>
    <row r="983" spans="1:3" x14ac:dyDescent="0.2">
      <c r="C983" s="263"/>
    </row>
    <row r="984" spans="1:3" x14ac:dyDescent="0.2">
      <c r="A984" s="261"/>
    </row>
    <row r="985" spans="1:3" x14ac:dyDescent="0.2">
      <c r="C985" s="263"/>
    </row>
    <row r="986" spans="1:3" x14ac:dyDescent="0.2">
      <c r="C986" s="263"/>
    </row>
    <row r="987" spans="1:3" x14ac:dyDescent="0.2">
      <c r="C987" s="263"/>
    </row>
    <row r="988" spans="1:3" x14ac:dyDescent="0.2">
      <c r="A988" s="262"/>
    </row>
    <row r="989" spans="1:3" x14ac:dyDescent="0.2">
      <c r="A989" s="261"/>
    </row>
    <row r="990" spans="1:3" x14ac:dyDescent="0.2">
      <c r="C990" s="263"/>
    </row>
    <row r="991" spans="1:3" x14ac:dyDescent="0.2">
      <c r="C991" s="263"/>
    </row>
    <row r="992" spans="1:3" x14ac:dyDescent="0.2">
      <c r="C992" s="263"/>
    </row>
    <row r="994" spans="1:3" x14ac:dyDescent="0.2">
      <c r="A994" s="261"/>
    </row>
    <row r="995" spans="1:3" x14ac:dyDescent="0.2">
      <c r="C995" s="263"/>
    </row>
    <row r="996" spans="1:3" x14ac:dyDescent="0.2">
      <c r="C996" s="263"/>
    </row>
    <row r="997" spans="1:3" x14ac:dyDescent="0.2">
      <c r="C997" s="263"/>
    </row>
    <row r="998" spans="1:3" x14ac:dyDescent="0.2">
      <c r="C998" s="263"/>
    </row>
    <row r="999" spans="1:3" x14ac:dyDescent="0.2">
      <c r="A999" s="261"/>
    </row>
    <row r="1000" spans="1:3" x14ac:dyDescent="0.2">
      <c r="C1000" s="263"/>
    </row>
    <row r="1001" spans="1:3" x14ac:dyDescent="0.2">
      <c r="C1001" s="263"/>
    </row>
    <row r="1002" spans="1:3" x14ac:dyDescent="0.2">
      <c r="A1002" s="261"/>
    </row>
    <row r="1003" spans="1:3" x14ac:dyDescent="0.2">
      <c r="C1003" s="263"/>
    </row>
    <row r="1004" spans="1:3" x14ac:dyDescent="0.2">
      <c r="C1004" s="263"/>
    </row>
    <row r="1005" spans="1:3" x14ac:dyDescent="0.2">
      <c r="C1005" s="263"/>
    </row>
    <row r="1006" spans="1:3" x14ac:dyDescent="0.2">
      <c r="C1006" s="263"/>
    </row>
    <row r="1007" spans="1:3" x14ac:dyDescent="0.2">
      <c r="C1007" s="263"/>
    </row>
    <row r="1008" spans="1:3" x14ac:dyDescent="0.2">
      <c r="C1008" s="263"/>
    </row>
    <row r="1009" spans="1:3" x14ac:dyDescent="0.2">
      <c r="A1009" s="261"/>
      <c r="C1009" s="263"/>
    </row>
    <row r="1010" spans="1:3" x14ac:dyDescent="0.2">
      <c r="C1010" s="263"/>
    </row>
    <row r="1011" spans="1:3" x14ac:dyDescent="0.2">
      <c r="C1011" s="263"/>
    </row>
    <row r="1012" spans="1:3" x14ac:dyDescent="0.2">
      <c r="C1012" s="263"/>
    </row>
    <row r="1013" spans="1:3" x14ac:dyDescent="0.2">
      <c r="A1013" s="262"/>
    </row>
    <row r="1014" spans="1:3" x14ac:dyDescent="0.2">
      <c r="A1014" s="261"/>
    </row>
    <row r="1015" spans="1:3" x14ac:dyDescent="0.2">
      <c r="C1015" s="263"/>
    </row>
    <row r="1016" spans="1:3" x14ac:dyDescent="0.2">
      <c r="C1016" s="263"/>
    </row>
    <row r="1017" spans="1:3" x14ac:dyDescent="0.2">
      <c r="C1017" s="263"/>
    </row>
    <row r="1019" spans="1:3" x14ac:dyDescent="0.2">
      <c r="A1019" s="261"/>
    </row>
    <row r="1020" spans="1:3" x14ac:dyDescent="0.2">
      <c r="C1020" s="263"/>
    </row>
    <row r="1021" spans="1:3" x14ac:dyDescent="0.2">
      <c r="C1021" s="263"/>
    </row>
    <row r="1022" spans="1:3" x14ac:dyDescent="0.2">
      <c r="C1022" s="263"/>
    </row>
    <row r="1023" spans="1:3" x14ac:dyDescent="0.2">
      <c r="A1023" s="262"/>
    </row>
    <row r="1024" spans="1:3" x14ac:dyDescent="0.2">
      <c r="A1024" s="261"/>
    </row>
    <row r="1025" spans="1:3" x14ac:dyDescent="0.2">
      <c r="C1025" s="263"/>
    </row>
    <row r="1026" spans="1:3" x14ac:dyDescent="0.2">
      <c r="C1026" s="263"/>
    </row>
    <row r="1027" spans="1:3" x14ac:dyDescent="0.2">
      <c r="C1027" s="263"/>
    </row>
    <row r="1029" spans="1:3" x14ac:dyDescent="0.2">
      <c r="A1029" s="261"/>
    </row>
    <row r="1030" spans="1:3" x14ac:dyDescent="0.2">
      <c r="A1030" s="261"/>
    </row>
    <row r="1031" spans="1:3" x14ac:dyDescent="0.2">
      <c r="C1031" s="263"/>
    </row>
    <row r="1032" spans="1:3" x14ac:dyDescent="0.2">
      <c r="C1032" s="263"/>
    </row>
    <row r="1033" spans="1:3" x14ac:dyDescent="0.2">
      <c r="C1033" s="263"/>
    </row>
    <row r="1035" spans="1:3" x14ac:dyDescent="0.2">
      <c r="A1035" s="261"/>
    </row>
    <row r="1036" spans="1:3" x14ac:dyDescent="0.2">
      <c r="C1036" s="263"/>
    </row>
    <row r="1037" spans="1:3" x14ac:dyDescent="0.2">
      <c r="C1037" s="263"/>
    </row>
    <row r="1038" spans="1:3" x14ac:dyDescent="0.2">
      <c r="C1038" s="263"/>
    </row>
    <row r="1039" spans="1:3" x14ac:dyDescent="0.2">
      <c r="C1039" s="263"/>
    </row>
    <row r="1040" spans="1:3" x14ac:dyDescent="0.2">
      <c r="A1040" s="261"/>
    </row>
    <row r="1041" spans="1:3" x14ac:dyDescent="0.2">
      <c r="C1041" s="263"/>
    </row>
    <row r="1042" spans="1:3" x14ac:dyDescent="0.2">
      <c r="C1042" s="263"/>
    </row>
    <row r="1043" spans="1:3" x14ac:dyDescent="0.2">
      <c r="C1043" s="263"/>
    </row>
    <row r="1044" spans="1:3" x14ac:dyDescent="0.2">
      <c r="A1044" s="262"/>
    </row>
    <row r="1045" spans="1:3" x14ac:dyDescent="0.2">
      <c r="A1045" s="261"/>
    </row>
    <row r="1046" spans="1:3" x14ac:dyDescent="0.2">
      <c r="C1046" s="263"/>
    </row>
    <row r="1047" spans="1:3" x14ac:dyDescent="0.2">
      <c r="C1047" s="263"/>
    </row>
    <row r="1048" spans="1:3" x14ac:dyDescent="0.2">
      <c r="C1048" s="263"/>
    </row>
    <row r="1050" spans="1:3" x14ac:dyDescent="0.2">
      <c r="A1050" s="261"/>
    </row>
    <row r="1051" spans="1:3" x14ac:dyDescent="0.2">
      <c r="C1051" s="263"/>
    </row>
    <row r="1052" spans="1:3" x14ac:dyDescent="0.2">
      <c r="C1052" s="263"/>
    </row>
    <row r="1053" spans="1:3" x14ac:dyDescent="0.2">
      <c r="C1053" s="263"/>
    </row>
    <row r="1054" spans="1:3" x14ac:dyDescent="0.2">
      <c r="C1054" s="263"/>
    </row>
    <row r="1055" spans="1:3" x14ac:dyDescent="0.2">
      <c r="A1055" s="261"/>
    </row>
    <row r="1056" spans="1:3" x14ac:dyDescent="0.2">
      <c r="C1056" s="263"/>
    </row>
    <row r="1057" spans="1:3" x14ac:dyDescent="0.2">
      <c r="C1057" s="263"/>
    </row>
    <row r="1058" spans="1:3" x14ac:dyDescent="0.2">
      <c r="A1058" s="261"/>
    </row>
    <row r="1059" spans="1:3" x14ac:dyDescent="0.2">
      <c r="C1059" s="263"/>
    </row>
    <row r="1060" spans="1:3" x14ac:dyDescent="0.2">
      <c r="C1060" s="263"/>
    </row>
    <row r="1061" spans="1:3" x14ac:dyDescent="0.2">
      <c r="C1061" s="263"/>
    </row>
  </sheetData>
  <mergeCells count="110">
    <mergeCell ref="B5:E5"/>
    <mergeCell ref="L5:O5"/>
    <mergeCell ref="V5:Y5"/>
    <mergeCell ref="B170:E170"/>
    <mergeCell ref="L170:O170"/>
    <mergeCell ref="V170:Y170"/>
    <mergeCell ref="B45:E45"/>
    <mergeCell ref="L45:O45"/>
    <mergeCell ref="V45:Y45"/>
    <mergeCell ref="B15:E15"/>
    <mergeCell ref="G5:J5"/>
    <mergeCell ref="Q5:T5"/>
    <mergeCell ref="G25:J25"/>
    <mergeCell ref="Q25:T25"/>
    <mergeCell ref="G45:J45"/>
    <mergeCell ref="Q45:T45"/>
    <mergeCell ref="B195:E195"/>
    <mergeCell ref="L195:O195"/>
    <mergeCell ref="V195:Y195"/>
    <mergeCell ref="L15:O15"/>
    <mergeCell ref="V15:Y15"/>
    <mergeCell ref="B25:E25"/>
    <mergeCell ref="L25:O25"/>
    <mergeCell ref="V25:Y25"/>
    <mergeCell ref="B70:E70"/>
    <mergeCell ref="L70:O70"/>
    <mergeCell ref="V70:Y70"/>
    <mergeCell ref="B160:E160"/>
    <mergeCell ref="L160:O160"/>
    <mergeCell ref="V160:Y160"/>
    <mergeCell ref="G15:J15"/>
    <mergeCell ref="Q15:T15"/>
    <mergeCell ref="G195:J195"/>
    <mergeCell ref="Q195:T195"/>
    <mergeCell ref="G70:J70"/>
    <mergeCell ref="Q70:T70"/>
    <mergeCell ref="G160:J160"/>
    <mergeCell ref="Q160:T160"/>
    <mergeCell ref="G170:J170"/>
    <mergeCell ref="Q170:T170"/>
    <mergeCell ref="G375:J375"/>
    <mergeCell ref="Q375:T375"/>
    <mergeCell ref="G385:J385"/>
    <mergeCell ref="Q385:T385"/>
    <mergeCell ref="G430:J430"/>
    <mergeCell ref="Q430:T430"/>
    <mergeCell ref="V280:Y280"/>
    <mergeCell ref="B300:E300"/>
    <mergeCell ref="B220:E220"/>
    <mergeCell ref="L220:O220"/>
    <mergeCell ref="V220:Y220"/>
    <mergeCell ref="B245:E245"/>
    <mergeCell ref="L245:O245"/>
    <mergeCell ref="V245:Y245"/>
    <mergeCell ref="B280:E280"/>
    <mergeCell ref="L280:O280"/>
    <mergeCell ref="G280:J280"/>
    <mergeCell ref="Q280:T280"/>
    <mergeCell ref="G220:J220"/>
    <mergeCell ref="Q220:T220"/>
    <mergeCell ref="G245:J245"/>
    <mergeCell ref="Q245:T245"/>
    <mergeCell ref="B545:E545"/>
    <mergeCell ref="B350:E350"/>
    <mergeCell ref="L350:O350"/>
    <mergeCell ref="V350:Y350"/>
    <mergeCell ref="L300:O300"/>
    <mergeCell ref="V300:Y300"/>
    <mergeCell ref="B325:E325"/>
    <mergeCell ref="L325:O325"/>
    <mergeCell ref="V325:Y325"/>
    <mergeCell ref="G300:J300"/>
    <mergeCell ref="Q300:T300"/>
    <mergeCell ref="G325:J325"/>
    <mergeCell ref="Q325:T325"/>
    <mergeCell ref="G350:J350"/>
    <mergeCell ref="Q350:T350"/>
    <mergeCell ref="V385:Y385"/>
    <mergeCell ref="B375:E375"/>
    <mergeCell ref="L375:O375"/>
    <mergeCell ref="V375:Y375"/>
    <mergeCell ref="B430:E430"/>
    <mergeCell ref="L430:O430"/>
    <mergeCell ref="V430:Y430"/>
    <mergeCell ref="B385:E385"/>
    <mergeCell ref="L385:O385"/>
    <mergeCell ref="L545:O545"/>
    <mergeCell ref="V545:Y545"/>
    <mergeCell ref="B470:E470"/>
    <mergeCell ref="L470:O470"/>
    <mergeCell ref="V470:Y470"/>
    <mergeCell ref="B515:E515"/>
    <mergeCell ref="L515:O515"/>
    <mergeCell ref="V515:Y515"/>
    <mergeCell ref="B480:E480"/>
    <mergeCell ref="L480:O480"/>
    <mergeCell ref="V480:Y480"/>
    <mergeCell ref="B490:E490"/>
    <mergeCell ref="L490:O490"/>
    <mergeCell ref="V490:Y490"/>
    <mergeCell ref="G470:J470"/>
    <mergeCell ref="G515:J515"/>
    <mergeCell ref="Q515:T515"/>
    <mergeCell ref="Q490:T490"/>
    <mergeCell ref="G545:J545"/>
    <mergeCell ref="Q545:T545"/>
    <mergeCell ref="Q470:T470"/>
    <mergeCell ref="G480:J480"/>
    <mergeCell ref="Q480:T480"/>
    <mergeCell ref="G490:J490"/>
  </mergeCells>
  <pageMargins left="0.7" right="0.7" top="0.75" bottom="0.75" header="0.3" footer="0.3"/>
  <pageSetup paperSize="9" scale="66" fitToWidth="0" fitToHeight="0" orientation="landscape" r:id="rId1"/>
  <rowBreaks count="14" manualBreakCount="14">
    <brk id="44" max="24" man="1"/>
    <brk id="69" max="24" man="1"/>
    <brk id="117" max="24" man="1"/>
    <brk id="156" max="24" man="1"/>
    <brk id="194" max="24" man="1"/>
    <brk id="241" max="24" man="1"/>
    <brk id="279" max="24" man="1"/>
    <brk id="324" max="24" man="1"/>
    <brk id="374" max="24" man="1"/>
    <brk id="426" max="24" man="1"/>
    <brk id="469" max="24" man="1"/>
    <brk id="514" max="24" man="1"/>
    <brk id="566" max="24" man="1"/>
    <brk id="671" max="24" man="1"/>
  </rowBreaks>
  <colBreaks count="1" manualBreakCount="1">
    <brk id="25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0" bestFit="1" customWidth="1"/>
    <col min="2" max="9" width="9.140625" style="80"/>
    <col min="10" max="10" width="17.5703125" style="80" customWidth="1"/>
    <col min="11" max="11" width="8.28515625" style="80" customWidth="1"/>
    <col min="12" max="12" width="28.140625" customWidth="1"/>
    <col min="13" max="14" width="10.140625" customWidth="1"/>
  </cols>
  <sheetData>
    <row r="1" spans="1:16" ht="15.75" x14ac:dyDescent="0.25">
      <c r="A1" s="79" t="str">
        <f>CONCATENATE("Industry Figure 1  Growth in Employment by Industry Group (SIC 2007), ",M6," and ",N6,", ",Info!B5)</f>
        <v>Industry Figure 1  Growth in Employment by Industry Group (SIC 2007), 2015-2020 and 2020-2035, East Midlands</v>
      </c>
    </row>
    <row r="2" spans="1:16" x14ac:dyDescent="0.2">
      <c r="A2" s="181" t="s">
        <v>534</v>
      </c>
    </row>
    <row r="3" spans="1:16" x14ac:dyDescent="0.2">
      <c r="L3" s="45" t="s">
        <v>449</v>
      </c>
    </row>
    <row r="5" spans="1:16" x14ac:dyDescent="0.2">
      <c r="L5" s="29" t="s">
        <v>418</v>
      </c>
    </row>
    <row r="6" spans="1:16" x14ac:dyDescent="0.2">
      <c r="L6" s="13"/>
      <c r="M6" s="15" t="str">
        <f>'Ind T4'!B87</f>
        <v>2015-2020</v>
      </c>
      <c r="N6" s="15" t="str">
        <f>'Ind T4'!C87</f>
        <v>2020-2035</v>
      </c>
      <c r="O6" s="15"/>
      <c r="P6" s="15"/>
    </row>
    <row r="7" spans="1:16" x14ac:dyDescent="0.2">
      <c r="L7" s="1" t="str">
        <f>'Ind T4'!A83</f>
        <v>All industries</v>
      </c>
      <c r="M7">
        <f>'Ind T4'!B122</f>
        <v>1.1157126085032942</v>
      </c>
      <c r="N7">
        <f>'Ind T4'!C122</f>
        <v>0.28925885184050149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0.30894178464342392</v>
      </c>
      <c r="N9">
        <f>'Ind T4'!C120</f>
        <v>0.8263717343517607</v>
      </c>
    </row>
    <row r="10" spans="1:16" x14ac:dyDescent="0.2">
      <c r="L10" s="13" t="str">
        <f>'Ind T4'!A80</f>
        <v>Education</v>
      </c>
      <c r="M10">
        <f>'Ind T4'!B119</f>
        <v>0.52476318849139503</v>
      </c>
      <c r="N10">
        <f>'Ind T4'!C119</f>
        <v>-0.11109491977920882</v>
      </c>
    </row>
    <row r="11" spans="1:16" x14ac:dyDescent="0.2">
      <c r="L11" s="13" t="str">
        <f>'Ind T4'!A79</f>
        <v>Public admin. and defence</v>
      </c>
      <c r="M11">
        <f>'Ind T4'!B118</f>
        <v>1.1767458888519711</v>
      </c>
      <c r="N11">
        <f>'Ind T4'!C118</f>
        <v>0.97214374101770584</v>
      </c>
    </row>
    <row r="12" spans="1:16" x14ac:dyDescent="0.2">
      <c r="L12" s="1" t="str">
        <f>CONCATENATE("[",'Ind T4'!A78,"]")</f>
        <v>[Non-marketed services]</v>
      </c>
      <c r="M12">
        <f>'Ind T4'!B117</f>
        <v>0.50881840595056183</v>
      </c>
      <c r="N12">
        <f>'Ind T4'!C117</f>
        <v>0.51590881526228927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82">
        <f>'Ind T4'!B115</f>
        <v>4.5067425362002034</v>
      </c>
      <c r="N14" s="82">
        <f>'Ind T4'!C115</f>
        <v>-0.47367271170984937</v>
      </c>
    </row>
    <row r="15" spans="1:16" x14ac:dyDescent="0.2">
      <c r="L15" s="13" t="str">
        <f>'Ind T4'!A75</f>
        <v>Arts and entertainment</v>
      </c>
      <c r="M15" s="82">
        <f>'Ind T4'!B114</f>
        <v>-0.70008057555128733</v>
      </c>
      <c r="N15" s="82">
        <f>'Ind T4'!C114</f>
        <v>-0.37611675117814602</v>
      </c>
    </row>
    <row r="16" spans="1:16" x14ac:dyDescent="0.2">
      <c r="L16" s="13" t="str">
        <f>'Ind T4'!A74</f>
        <v>Support services</v>
      </c>
      <c r="M16" s="82">
        <f>'Ind T4'!B113</f>
        <v>-2.6996722702106402</v>
      </c>
      <c r="N16" s="82">
        <f>'Ind T4'!C113</f>
        <v>0.81749024184467611</v>
      </c>
    </row>
    <row r="17" spans="12:14" x14ac:dyDescent="0.2">
      <c r="L17" s="13" t="str">
        <f>'Ind T4'!A73</f>
        <v>Professional services</v>
      </c>
      <c r="M17" s="82">
        <f>'Ind T4'!B112</f>
        <v>5.6934614539879025</v>
      </c>
      <c r="N17" s="82">
        <f>'Ind T4'!C112</f>
        <v>0.57338975232432698</v>
      </c>
    </row>
    <row r="18" spans="12:14" x14ac:dyDescent="0.2">
      <c r="L18" s="13" t="str">
        <f>'Ind T4'!A72</f>
        <v>Real estate</v>
      </c>
      <c r="M18" s="82">
        <f>'Ind T4'!B111</f>
        <v>7.377720917097097</v>
      </c>
      <c r="N18" s="82">
        <f>'Ind T4'!C111</f>
        <v>0.2574766139615825</v>
      </c>
    </row>
    <row r="19" spans="12:14" x14ac:dyDescent="0.2">
      <c r="L19" t="str">
        <f>'Ind T4'!A71</f>
        <v>Finance and insurance</v>
      </c>
      <c r="M19">
        <f>'Ind T4'!B110</f>
        <v>1.3949871919499035</v>
      </c>
      <c r="N19">
        <f>'Ind T4'!C110</f>
        <v>-0.50453932293708093</v>
      </c>
    </row>
    <row r="20" spans="12:14" x14ac:dyDescent="0.2">
      <c r="L20" t="str">
        <f>'Ind T4'!A70</f>
        <v>Information technology</v>
      </c>
      <c r="M20">
        <f>'Ind T4'!B109</f>
        <v>0.75394662076677665</v>
      </c>
      <c r="N20">
        <f>'Ind T4'!C109</f>
        <v>0.95065227916140138</v>
      </c>
    </row>
    <row r="21" spans="12:14" x14ac:dyDescent="0.2">
      <c r="L21" t="str">
        <f>'Ind T4'!A69</f>
        <v>Media</v>
      </c>
      <c r="M21">
        <f>'Ind T4'!B108</f>
        <v>0.96480894327848343</v>
      </c>
      <c r="N21">
        <f>'Ind T4'!C108</f>
        <v>-7.7202200693959888E-3</v>
      </c>
    </row>
    <row r="22" spans="12:14" x14ac:dyDescent="0.2">
      <c r="L22" s="1" t="str">
        <f>CONCATENATE("[",'Ind T4'!A68,"]")</f>
        <v>[Business and other services]</v>
      </c>
      <c r="M22">
        <f>'Ind T4'!B107</f>
        <v>1.5519396564085186</v>
      </c>
      <c r="N22">
        <f>'Ind T4'!C107</f>
        <v>0.40220956458576484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1.6202931638874096</v>
      </c>
      <c r="N24">
        <f>'Ind T4'!C105</f>
        <v>0.40781034387984416</v>
      </c>
    </row>
    <row r="25" spans="12:14" x14ac:dyDescent="0.2">
      <c r="L25" s="13" t="str">
        <f>'Ind T4'!A65</f>
        <v>Transport and storage</v>
      </c>
      <c r="M25">
        <f>'Ind T4'!B104</f>
        <v>6.6080037528324809</v>
      </c>
      <c r="N25">
        <f>'Ind T4'!C104</f>
        <v>0.30129395725082553</v>
      </c>
    </row>
    <row r="26" spans="12:14" x14ac:dyDescent="0.2">
      <c r="L26" s="13" t="str">
        <f>'Ind T4'!A64</f>
        <v>Wholesale and retail trade</v>
      </c>
      <c r="M26">
        <f>'Ind T4'!B103</f>
        <v>0.11474527843577942</v>
      </c>
      <c r="N26">
        <f>'Ind T4'!C103</f>
        <v>0.27774238685975838</v>
      </c>
    </row>
    <row r="27" spans="12:14" x14ac:dyDescent="0.2">
      <c r="L27" s="1" t="str">
        <f>CONCATENATE("[",'Ind T4'!A63,"]")</f>
        <v>[Trade, accomod. and transport]</v>
      </c>
      <c r="M27">
        <f>'Ind T4'!B102</f>
        <v>1.8096111539413373</v>
      </c>
      <c r="N27">
        <f>'Ind T4'!C102</f>
        <v>0.31143495933443344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0.24175926860092734</v>
      </c>
      <c r="N29">
        <f>'Ind T4'!C100</f>
        <v>0.44718781921486705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0.72583665477417014</v>
      </c>
      <c r="N31">
        <f>'Ind T4'!C98</f>
        <v>-0.99312209377682148</v>
      </c>
    </row>
    <row r="32" spans="12:14" x14ac:dyDescent="0.2">
      <c r="L32" s="13" t="str">
        <f>'Ind T4'!A58</f>
        <v>Engineering</v>
      </c>
      <c r="M32">
        <f>'Ind T4'!B97</f>
        <v>-5.0933316776867628</v>
      </c>
      <c r="N32">
        <f>'Ind T4'!C97</f>
        <v>-1.3248626357906912</v>
      </c>
    </row>
    <row r="33" spans="12:14" x14ac:dyDescent="0.2">
      <c r="L33" s="13" t="str">
        <f>'Ind T4'!A57</f>
        <v>Food drink and tobacco</v>
      </c>
      <c r="M33">
        <f>'Ind T4'!B96</f>
        <v>-0.12237122343132789</v>
      </c>
      <c r="N33">
        <f>'Ind T4'!C96</f>
        <v>1.2050439707365301</v>
      </c>
    </row>
    <row r="34" spans="12:14" x14ac:dyDescent="0.2">
      <c r="L34" s="1" t="str">
        <f>CONCATENATE("[",'Ind T4'!A56,"]")</f>
        <v>[Manufacturing]</v>
      </c>
      <c r="M34">
        <f>'Ind T4'!B95</f>
        <v>-0.15175520892835026</v>
      </c>
      <c r="N34">
        <f>'Ind T4'!C95</f>
        <v>-0.51452860889750207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0.61341928385543198</v>
      </c>
      <c r="N36">
        <f>'Ind T4'!C93</f>
        <v>0.58784219438701157</v>
      </c>
    </row>
    <row r="37" spans="12:14" x14ac:dyDescent="0.2">
      <c r="L37" s="13" t="str">
        <f>'Ind T4'!A53</f>
        <v>Electricity and gas</v>
      </c>
      <c r="M37">
        <f>'Ind T4'!B92</f>
        <v>-3.741159138526573</v>
      </c>
      <c r="N37">
        <f>'Ind T4'!C92</f>
        <v>1.421565676347214E-2</v>
      </c>
    </row>
    <row r="38" spans="12:14" x14ac:dyDescent="0.2">
      <c r="L38" s="13" t="str">
        <f>'Ind T4'!A52</f>
        <v>Mining and quarrying</v>
      </c>
      <c r="M38">
        <f>'Ind T4'!B91</f>
        <v>-6.1709074877681065</v>
      </c>
      <c r="N38">
        <f>'Ind T4'!C91</f>
        <v>-3.1747729608764819</v>
      </c>
    </row>
    <row r="39" spans="12:14" x14ac:dyDescent="0.2">
      <c r="L39" s="44" t="str">
        <f>'Ind T4'!A51</f>
        <v>Agriculture</v>
      </c>
      <c r="M39">
        <f>'Ind T4'!B90</f>
        <v>7.992810632766445</v>
      </c>
      <c r="N39">
        <f>'Ind T4'!C90</f>
        <v>-0.29476338291910542</v>
      </c>
    </row>
    <row r="40" spans="12:14" x14ac:dyDescent="0.2">
      <c r="L40" s="1" t="str">
        <f>CONCATENATE("[",'Ind T4'!A50,"]")</f>
        <v>[Primary sector and utilities]</v>
      </c>
      <c r="M40">
        <f>'Ind T4'!B89</f>
        <v>2.6495547554463039</v>
      </c>
      <c r="N40">
        <f>'Ind T4'!C89</f>
        <v>-0.18427175294098985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L6 L8 L13 O18:P18 L23 L28 O25:P25 L30 O23:P23 O13:P13 O8:P8 O6:P6">
    <cfRule type="cellIs" dxfId="14" priority="2" stopIfTrue="1" operator="equal">
      <formula>0</formula>
    </cfRule>
  </conditionalFormatting>
  <conditionalFormatting sqref="M6:N6 M8:N8 M13:N13 M23:N23 M28:N28 M30:N30">
    <cfRule type="cellIs" dxfId="13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0" customWidth="1"/>
    <col min="2" max="10" width="9.140625" style="80"/>
    <col min="11" max="11" width="23.28515625" style="80" customWidth="1"/>
    <col min="12" max="12" width="25.5703125" customWidth="1"/>
    <col min="13" max="13" width="7" bestFit="1" customWidth="1"/>
    <col min="14" max="16" width="7.42578125" bestFit="1" customWidth="1"/>
    <col min="17" max="24" width="7.7109375" bestFit="1" customWidth="1"/>
    <col min="25" max="26" width="7.42578125" bestFit="1" customWidth="1"/>
    <col min="27" max="37" width="7.7109375" bestFit="1" customWidth="1"/>
    <col min="38" max="38" width="7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79" t="str">
        <f>CONCATENATE("Industry Figure 2  Employment by Industry (SIC 2007), ",$M$2,"-",$O$2,", ",Info!B5)</f>
        <v>Industry Figure 2  Employment by Industry (SIC 2007), 2010-2035, East Midlands</v>
      </c>
      <c r="L1" s="45"/>
    </row>
    <row r="2" spans="1:96" x14ac:dyDescent="0.2">
      <c r="A2" s="181" t="s">
        <v>534</v>
      </c>
      <c r="L2" s="15" t="s">
        <v>28</v>
      </c>
      <c r="M2" s="47">
        <f>M4</f>
        <v>2010</v>
      </c>
      <c r="N2" s="46" t="s">
        <v>27</v>
      </c>
      <c r="O2" s="47">
        <f>MAX(Q4:BQ4)</f>
        <v>2035</v>
      </c>
    </row>
    <row r="3" spans="1:96" x14ac:dyDescent="0.2">
      <c r="L3" s="15"/>
      <c r="M3" s="15"/>
      <c r="N3" s="46"/>
      <c r="O3" s="15"/>
    </row>
    <row r="4" spans="1:96" x14ac:dyDescent="0.2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>
        <f t="shared" ref="AM4" si="0">BP4</f>
        <v>0</v>
      </c>
      <c r="AN4" s="10"/>
      <c r="AO4" s="10"/>
      <c r="AP4" s="10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10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</row>
    <row r="5" spans="1:96" x14ac:dyDescent="0.2">
      <c r="L5" s="1" t="str">
        <f>'Ind T4'!A7</f>
        <v>Primary sector and utilities</v>
      </c>
      <c r="M5" s="86">
        <f>SUM(M6:M9)</f>
        <v>55.076000000075958</v>
      </c>
      <c r="N5" s="86">
        <f t="shared" ref="N5:AL5" si="1">SUM(N6:N9)</f>
        <v>65.565999999544601</v>
      </c>
      <c r="O5" s="86">
        <f t="shared" si="1"/>
        <v>73.962999999777978</v>
      </c>
      <c r="P5" s="86">
        <f t="shared" si="1"/>
        <v>63.791999999781076</v>
      </c>
      <c r="Q5" s="86">
        <f t="shared" si="1"/>
        <v>48.689999999620618</v>
      </c>
      <c r="R5" s="86">
        <f t="shared" si="1"/>
        <v>64.02199999976564</v>
      </c>
      <c r="S5" s="86">
        <f t="shared" si="1"/>
        <v>62.72899999977686</v>
      </c>
      <c r="T5" s="86">
        <f t="shared" si="1"/>
        <v>75.207000000121027</v>
      </c>
      <c r="U5" s="86">
        <f t="shared" si="1"/>
        <v>68.008000000254341</v>
      </c>
      <c r="V5" s="86">
        <f t="shared" si="1"/>
        <v>64.061000000047173</v>
      </c>
      <c r="W5" s="86">
        <f t="shared" si="1"/>
        <v>72.964999999731816</v>
      </c>
      <c r="X5" s="86">
        <f t="shared" si="1"/>
        <v>72.36199999970006</v>
      </c>
      <c r="Y5" s="86">
        <f t="shared" si="1"/>
        <v>71.945999999917532</v>
      </c>
      <c r="Z5" s="86">
        <f t="shared" si="1"/>
        <v>71.823999999856738</v>
      </c>
      <c r="AA5" s="86">
        <f t="shared" si="1"/>
        <v>72.071999999683825</v>
      </c>
      <c r="AB5" s="86">
        <f t="shared" si="1"/>
        <v>72.076999999945642</v>
      </c>
      <c r="AC5" s="86">
        <f t="shared" si="1"/>
        <v>72.040999999810879</v>
      </c>
      <c r="AD5" s="86">
        <f t="shared" si="1"/>
        <v>71.949000000004546</v>
      </c>
      <c r="AE5" s="86">
        <f t="shared" si="1"/>
        <v>71.812999999949596</v>
      </c>
      <c r="AF5" s="86">
        <f t="shared" si="1"/>
        <v>71.677000000019291</v>
      </c>
      <c r="AG5" s="86">
        <f t="shared" si="1"/>
        <v>71.567999999997397</v>
      </c>
      <c r="AH5" s="86">
        <f t="shared" si="1"/>
        <v>71.446000000147123</v>
      </c>
      <c r="AI5" s="86">
        <f t="shared" si="1"/>
        <v>71.317000000132438</v>
      </c>
      <c r="AJ5" s="86">
        <f t="shared" si="1"/>
        <v>71.202000000169235</v>
      </c>
      <c r="AK5" s="86">
        <f t="shared" si="1"/>
        <v>71.075999999864436</v>
      </c>
      <c r="AL5" s="86">
        <f t="shared" si="1"/>
        <v>70.973999999645002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2" t="str">
        <f>'Ind T4'!A8</f>
        <v>Agriculture</v>
      </c>
      <c r="M6" s="11">
        <v>24.337000000027519</v>
      </c>
      <c r="N6" s="11">
        <v>40.31599999964417</v>
      </c>
      <c r="O6" s="11">
        <v>42.136999999900041</v>
      </c>
      <c r="P6" s="11">
        <v>32.189999999927302</v>
      </c>
      <c r="Q6" s="11">
        <v>22.002999999769301</v>
      </c>
      <c r="R6" s="11">
        <v>27.710999999905233</v>
      </c>
      <c r="S6" s="11">
        <v>28.663999999927473</v>
      </c>
      <c r="T6" s="11">
        <v>36.458000000057474</v>
      </c>
      <c r="U6" s="11">
        <v>29.904000000188383</v>
      </c>
      <c r="V6" s="11">
        <v>28.427000000194997</v>
      </c>
      <c r="W6" s="11">
        <v>40.702999999819355</v>
      </c>
      <c r="X6" s="11">
        <v>40.64099999981562</v>
      </c>
      <c r="Y6" s="11">
        <v>40.599999999849807</v>
      </c>
      <c r="Z6" s="11">
        <v>40.54899999980254</v>
      </c>
      <c r="AA6" s="11">
        <v>40.425999999690127</v>
      </c>
      <c r="AB6" s="11">
        <v>40.257999999791139</v>
      </c>
      <c r="AC6" s="11">
        <v>40.124999999712948</v>
      </c>
      <c r="AD6" s="11">
        <v>39.985999999929589</v>
      </c>
      <c r="AE6" s="11">
        <v>39.839999999867963</v>
      </c>
      <c r="AF6" s="11">
        <v>39.693999999951878</v>
      </c>
      <c r="AG6" s="11">
        <v>39.572999999905889</v>
      </c>
      <c r="AH6" s="11">
        <v>39.449000000071301</v>
      </c>
      <c r="AI6" s="11">
        <v>39.324000000036037</v>
      </c>
      <c r="AJ6" s="11">
        <v>39.198000000057419</v>
      </c>
      <c r="AK6" s="171">
        <v>39.069999999772783</v>
      </c>
      <c r="AL6" s="11">
        <v>38.939999999747165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2" t="str">
        <f>'Ind T4'!A9</f>
        <v>Mining and quarrying</v>
      </c>
      <c r="M7" s="11">
        <v>5.2470000000248618</v>
      </c>
      <c r="N7" s="11">
        <v>5.8149999999841313</v>
      </c>
      <c r="O7" s="11">
        <v>5.7569999999878396</v>
      </c>
      <c r="P7" s="11">
        <v>3.9179999999864337</v>
      </c>
      <c r="Q7" s="11">
        <v>3.1099999999738408</v>
      </c>
      <c r="R7" s="11">
        <v>5.5839999999539556</v>
      </c>
      <c r="S7" s="11">
        <v>4.6899999999942557</v>
      </c>
      <c r="T7" s="11">
        <v>4.502000000021888</v>
      </c>
      <c r="U7" s="11">
        <v>4.5600000000217218</v>
      </c>
      <c r="V7" s="11">
        <v>4.039999999997776</v>
      </c>
      <c r="W7" s="11">
        <v>4.0610000000043804</v>
      </c>
      <c r="X7" s="11">
        <v>3.8680000000010191</v>
      </c>
      <c r="Y7" s="11">
        <v>3.794000000014965</v>
      </c>
      <c r="Z7" s="11">
        <v>3.6230000000125386</v>
      </c>
      <c r="AA7" s="11">
        <v>3.4510000000100183</v>
      </c>
      <c r="AB7" s="11">
        <v>3.3150000000162803</v>
      </c>
      <c r="AC7" s="11">
        <v>3.2090000000118151</v>
      </c>
      <c r="AD7" s="11">
        <v>3.1040000000100703</v>
      </c>
      <c r="AE7" s="11">
        <v>3.0090000000087289</v>
      </c>
      <c r="AF7" s="11">
        <v>2.9230000000035408</v>
      </c>
      <c r="AG7" s="11">
        <v>2.8480000000065151</v>
      </c>
      <c r="AH7" s="11">
        <v>2.7670000000207566</v>
      </c>
      <c r="AI7" s="11">
        <v>2.6920000000188047</v>
      </c>
      <c r="AJ7" s="11">
        <v>2.6230000000166096</v>
      </c>
      <c r="AK7" s="171">
        <v>2.5600000000115055</v>
      </c>
      <c r="AL7" s="11">
        <v>2.5030000000094232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2" t="str">
        <f>'Ind T4'!A10</f>
        <v>Electricity and gas</v>
      </c>
      <c r="M8" s="11">
        <v>11.468999999962378</v>
      </c>
      <c r="N8" s="11">
        <v>6.7690000000077406</v>
      </c>
      <c r="O8" s="11">
        <v>13.699999999904959</v>
      </c>
      <c r="P8" s="11">
        <v>12.781999999910022</v>
      </c>
      <c r="Q8" s="11">
        <v>8.5610000000245137</v>
      </c>
      <c r="R8" s="11">
        <v>17.00700000003021</v>
      </c>
      <c r="S8" s="11">
        <v>15.981999999870112</v>
      </c>
      <c r="T8" s="11">
        <v>18.750999999959021</v>
      </c>
      <c r="U8" s="11">
        <v>16.959999999952284</v>
      </c>
      <c r="V8" s="11">
        <v>16.459999999861971</v>
      </c>
      <c r="W8" s="11">
        <v>14.054999999894086</v>
      </c>
      <c r="X8" s="11">
        <v>14.041999999889118</v>
      </c>
      <c r="Y8" s="11">
        <v>13.847999999989163</v>
      </c>
      <c r="Z8" s="11">
        <v>13.805999999984234</v>
      </c>
      <c r="AA8" s="11">
        <v>13.819999999916238</v>
      </c>
      <c r="AB8" s="11">
        <v>13.825000000009407</v>
      </c>
      <c r="AC8" s="11">
        <v>13.82499999996881</v>
      </c>
      <c r="AD8" s="11">
        <v>13.835999999941649</v>
      </c>
      <c r="AE8" s="11">
        <v>13.848999999974213</v>
      </c>
      <c r="AF8" s="11">
        <v>13.866999999973418</v>
      </c>
      <c r="AG8" s="11">
        <v>13.895999999972231</v>
      </c>
      <c r="AH8" s="11">
        <v>13.929999999905338</v>
      </c>
      <c r="AI8" s="11">
        <v>13.964999999925961</v>
      </c>
      <c r="AJ8" s="11">
        <v>14.002999999945542</v>
      </c>
      <c r="AK8" s="171">
        <v>14.042999999950498</v>
      </c>
      <c r="AL8" s="11">
        <v>14.084999999828621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2" t="str">
        <f>'Ind T4'!A11</f>
        <v>Water and sewerage</v>
      </c>
      <c r="M9" s="11">
        <v>14.023000000061195</v>
      </c>
      <c r="N9" s="11">
        <v>12.665999999908552</v>
      </c>
      <c r="O9" s="11">
        <v>12.368999999985133</v>
      </c>
      <c r="P9" s="11">
        <v>14.901999999957319</v>
      </c>
      <c r="Q9" s="11">
        <v>15.015999999852957</v>
      </c>
      <c r="R9" s="11">
        <v>13.719999999876247</v>
      </c>
      <c r="S9" s="11">
        <v>13.392999999985022</v>
      </c>
      <c r="T9" s="11">
        <v>15.49600000008264</v>
      </c>
      <c r="U9" s="11">
        <v>16.584000000091947</v>
      </c>
      <c r="V9" s="11">
        <v>15.13399999999243</v>
      </c>
      <c r="W9" s="11">
        <v>14.146000000013986</v>
      </c>
      <c r="X9" s="11">
        <v>13.810999999994316</v>
      </c>
      <c r="Y9" s="11">
        <v>13.704000000063592</v>
      </c>
      <c r="Z9" s="11">
        <v>13.846000000057423</v>
      </c>
      <c r="AA9" s="11">
        <v>14.375000000067441</v>
      </c>
      <c r="AB9" s="11">
        <v>14.679000000128806</v>
      </c>
      <c r="AC9" s="11">
        <v>14.88200000011731</v>
      </c>
      <c r="AD9" s="11">
        <v>15.023000000123245</v>
      </c>
      <c r="AE9" s="11">
        <v>15.115000000098702</v>
      </c>
      <c r="AF9" s="11">
        <v>15.193000000090459</v>
      </c>
      <c r="AG9" s="11">
        <v>15.251000000112755</v>
      </c>
      <c r="AH9" s="11">
        <v>15.300000000149724</v>
      </c>
      <c r="AI9" s="11">
        <v>15.336000000151632</v>
      </c>
      <c r="AJ9" s="11">
        <v>15.378000000149667</v>
      </c>
      <c r="AK9" s="171">
        <v>15.403000000129655</v>
      </c>
      <c r="AL9" s="11">
        <v>15.446000000059801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1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86">
        <f t="shared" ref="M11:P11" si="2">SUM(M12:M14)</f>
        <v>271.2760000003646</v>
      </c>
      <c r="N11" s="86">
        <f t="shared" si="2"/>
        <v>269.09399999739151</v>
      </c>
      <c r="O11" s="86">
        <f t="shared" si="2"/>
        <v>276.11899999960985</v>
      </c>
      <c r="P11" s="86">
        <f t="shared" si="2"/>
        <v>270.75999999910027</v>
      </c>
      <c r="Q11" s="86">
        <f>SUM(Q12:Q14)</f>
        <v>261.6599999972492</v>
      </c>
      <c r="R11" s="86">
        <f t="shared" ref="R11" si="3">SUM(R12:R14)</f>
        <v>280.51099999879989</v>
      </c>
      <c r="S11" s="86">
        <f t="shared" ref="S11" si="4">SUM(S12:S14)</f>
        <v>282.2819999999046</v>
      </c>
      <c r="T11" s="86">
        <f t="shared" ref="T11" si="5">SUM(T12:T14)</f>
        <v>291.80600000142476</v>
      </c>
      <c r="U11" s="86">
        <f t="shared" ref="U11" si="6">SUM(U12:U14)</f>
        <v>297.05200000129378</v>
      </c>
      <c r="V11" s="86">
        <f t="shared" ref="V11" si="7">SUM(V12:V14)</f>
        <v>285.66899999946497</v>
      </c>
      <c r="W11" s="86">
        <f t="shared" ref="W11" si="8">SUM(W12:W14)</f>
        <v>278.38900000048045</v>
      </c>
      <c r="X11" s="86">
        <f t="shared" ref="X11" si="9">SUM(X12:X14)</f>
        <v>277.80399999969018</v>
      </c>
      <c r="Y11" s="86">
        <f t="shared" ref="Y11" si="10">SUM(Y12:Y14)</f>
        <v>275.85200000134353</v>
      </c>
      <c r="Z11" s="86">
        <f t="shared" ref="Z11" si="11">SUM(Z12:Z14)</f>
        <v>273.60600000124072</v>
      </c>
      <c r="AA11" s="86">
        <f t="shared" ref="AA11" si="12">SUM(AA12:AA14)</f>
        <v>271.92900000068818</v>
      </c>
      <c r="AB11" s="86">
        <f t="shared" ref="AB11" si="13">SUM(AB12:AB14)</f>
        <v>270.23900000215792</v>
      </c>
      <c r="AC11" s="86">
        <f t="shared" ref="AC11" si="14">SUM(AC12:AC14)</f>
        <v>268.78100000173566</v>
      </c>
      <c r="AD11" s="86">
        <f>SUM(AD12:AD14)</f>
        <v>267.24400000181527</v>
      </c>
      <c r="AE11" s="86">
        <f t="shared" ref="AE11" si="15">SUM(AE12:AE14)</f>
        <v>265.79000000167508</v>
      </c>
      <c r="AF11" s="86">
        <f t="shared" ref="AF11" si="16">SUM(AF12:AF14)</f>
        <v>264.3780000017004</v>
      </c>
      <c r="AG11" s="86">
        <f t="shared" ref="AG11:AL11" si="17">SUM(AG12:AG14)</f>
        <v>263.1860000019127</v>
      </c>
      <c r="AH11" s="86">
        <f t="shared" si="17"/>
        <v>261.96000000282913</v>
      </c>
      <c r="AI11" s="86">
        <f t="shared" si="17"/>
        <v>260.78500000287636</v>
      </c>
      <c r="AJ11" s="86">
        <f t="shared" si="17"/>
        <v>259.66400000286853</v>
      </c>
      <c r="AK11" s="86">
        <f t="shared" si="17"/>
        <v>258.60200000251393</v>
      </c>
      <c r="AL11" s="86">
        <f t="shared" si="17"/>
        <v>257.66000000058011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2" t="str">
        <f>'Ind T4'!A14</f>
        <v>Food drink and tobacco</v>
      </c>
      <c r="M12" s="11">
        <v>56.335000000020777</v>
      </c>
      <c r="N12" s="11">
        <v>52.755999999199517</v>
      </c>
      <c r="O12" s="11">
        <v>54.798000000041036</v>
      </c>
      <c r="P12" s="11">
        <v>59.121999999879506</v>
      </c>
      <c r="Q12" s="11">
        <v>55.266999999155544</v>
      </c>
      <c r="R12" s="11">
        <v>57.5069999997772</v>
      </c>
      <c r="S12" s="11">
        <v>62.001000000139769</v>
      </c>
      <c r="T12" s="11">
        <v>59.504000000422778</v>
      </c>
      <c r="U12" s="11">
        <v>64.52800000037827</v>
      </c>
      <c r="V12" s="11">
        <v>58.852999999795728</v>
      </c>
      <c r="W12" s="11">
        <v>57.156000000340526</v>
      </c>
      <c r="X12" s="11">
        <v>58.393000000098979</v>
      </c>
      <c r="Y12" s="11">
        <v>59.808000000534804</v>
      </c>
      <c r="Z12" s="11">
        <v>60.779000000532179</v>
      </c>
      <c r="AA12" s="11">
        <v>61.588000000233073</v>
      </c>
      <c r="AB12" s="11">
        <v>62.283000000784199</v>
      </c>
      <c r="AC12" s="11">
        <v>62.888000000630676</v>
      </c>
      <c r="AD12" s="11">
        <v>63.487000000588516</v>
      </c>
      <c r="AE12" s="11">
        <v>64.092000000633391</v>
      </c>
      <c r="AF12" s="11">
        <v>64.682000000656416</v>
      </c>
      <c r="AG12" s="11">
        <v>65.323000000673616</v>
      </c>
      <c r="AH12" s="11">
        <v>65.965000001058584</v>
      </c>
      <c r="AI12" s="11">
        <v>66.596000001085955</v>
      </c>
      <c r="AJ12" s="11">
        <v>67.214000001086305</v>
      </c>
      <c r="AK12" s="171">
        <v>67.816000001019503</v>
      </c>
      <c r="AL12" s="11">
        <v>68.406000000164298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2" t="str">
        <f>'Ind T4'!A15</f>
        <v>Engineering</v>
      </c>
      <c r="M13" s="11">
        <v>29.052999999970179</v>
      </c>
      <c r="N13" s="11">
        <v>33.750999999834967</v>
      </c>
      <c r="O13" s="11">
        <v>36.893999999866253</v>
      </c>
      <c r="P13" s="11">
        <v>36.217999999850527</v>
      </c>
      <c r="Q13" s="11">
        <v>33.008999999834039</v>
      </c>
      <c r="R13" s="11">
        <v>37.410999999920257</v>
      </c>
      <c r="S13" s="11">
        <v>31.670999999874269</v>
      </c>
      <c r="T13" s="11">
        <v>32.43800000004866</v>
      </c>
      <c r="U13" s="11">
        <v>39.890000000062187</v>
      </c>
      <c r="V13" s="11">
        <v>30.664999999911629</v>
      </c>
      <c r="W13" s="11">
        <v>28.80599999994547</v>
      </c>
      <c r="X13" s="11">
        <v>29.413999999910253</v>
      </c>
      <c r="Y13" s="11">
        <v>28.96300000006547</v>
      </c>
      <c r="Z13" s="11">
        <v>28.819000000055976</v>
      </c>
      <c r="AA13" s="11">
        <v>28.528000000018853</v>
      </c>
      <c r="AB13" s="11">
        <v>28.23300000015599</v>
      </c>
      <c r="AC13" s="11">
        <v>27.734000000125029</v>
      </c>
      <c r="AD13" s="11">
        <v>27.241000000136555</v>
      </c>
      <c r="AE13" s="11">
        <v>26.750000000118074</v>
      </c>
      <c r="AF13" s="11">
        <v>26.270000000124014</v>
      </c>
      <c r="AG13" s="11">
        <v>25.824000000151749</v>
      </c>
      <c r="AH13" s="11">
        <v>25.370000000187137</v>
      </c>
      <c r="AI13" s="11">
        <v>24.918000000197921</v>
      </c>
      <c r="AJ13" s="11">
        <v>24.467000000200279</v>
      </c>
      <c r="AK13" s="171">
        <v>24.024000000173398</v>
      </c>
      <c r="AL13" s="11">
        <v>23.583000000040801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2" t="str">
        <f>'Ind T4'!A16</f>
        <v>Rest of manufacturing</v>
      </c>
      <c r="M14" s="11">
        <v>185.88800000037364</v>
      </c>
      <c r="N14" s="11">
        <v>182.58699999835704</v>
      </c>
      <c r="O14" s="11">
        <v>184.42699999970253</v>
      </c>
      <c r="P14" s="11">
        <v>175.41999999937025</v>
      </c>
      <c r="Q14" s="11">
        <v>173.38399999825964</v>
      </c>
      <c r="R14" s="11">
        <v>185.59299999910246</v>
      </c>
      <c r="S14" s="11">
        <v>188.60999999989056</v>
      </c>
      <c r="T14" s="11">
        <v>199.86400000095333</v>
      </c>
      <c r="U14" s="11">
        <v>192.63400000085332</v>
      </c>
      <c r="V14" s="11">
        <v>196.15099999975763</v>
      </c>
      <c r="W14" s="11">
        <v>192.42700000019445</v>
      </c>
      <c r="X14" s="11">
        <v>189.99699999968098</v>
      </c>
      <c r="Y14" s="11">
        <v>187.08100000074322</v>
      </c>
      <c r="Z14" s="11">
        <v>184.00800000065254</v>
      </c>
      <c r="AA14" s="11">
        <v>181.81300000043623</v>
      </c>
      <c r="AB14" s="11">
        <v>179.72300000121771</v>
      </c>
      <c r="AC14" s="11">
        <v>178.15900000097997</v>
      </c>
      <c r="AD14" s="11">
        <v>176.51600000109022</v>
      </c>
      <c r="AE14" s="11">
        <v>174.94800000092363</v>
      </c>
      <c r="AF14" s="11">
        <v>173.42600000091997</v>
      </c>
      <c r="AG14" s="11">
        <v>172.03900000108732</v>
      </c>
      <c r="AH14" s="11">
        <v>170.6250000015834</v>
      </c>
      <c r="AI14" s="11">
        <v>169.27100000159245</v>
      </c>
      <c r="AJ14" s="11">
        <v>167.98300000158198</v>
      </c>
      <c r="AK14" s="171">
        <v>166.76200000132101</v>
      </c>
      <c r="AL14" s="11">
        <v>165.67100000037502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1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86">
        <v>143.76500000078263</v>
      </c>
      <c r="N16" s="86">
        <v>146.91099999819184</v>
      </c>
      <c r="O16" s="86">
        <v>152.75999999961212</v>
      </c>
      <c r="P16" s="86">
        <v>133.29999999910362</v>
      </c>
      <c r="Q16" s="86">
        <v>142.59999999702188</v>
      </c>
      <c r="R16" s="86">
        <v>146.13199999695033</v>
      </c>
      <c r="S16" s="86">
        <v>161.7569999985142</v>
      </c>
      <c r="T16" s="86">
        <v>152.69200000085459</v>
      </c>
      <c r="U16" s="86">
        <v>156.96200000110989</v>
      </c>
      <c r="V16" s="86">
        <v>153.65000000114503</v>
      </c>
      <c r="W16" s="86">
        <v>147.90699999913386</v>
      </c>
      <c r="X16" s="86">
        <v>145.7429999980983</v>
      </c>
      <c r="Y16" s="86">
        <v>146.63899999686788</v>
      </c>
      <c r="Z16" s="86">
        <v>148.65199999671694</v>
      </c>
      <c r="AA16" s="86">
        <v>150.34999999642466</v>
      </c>
      <c r="AB16" s="86">
        <v>151.27099999665484</v>
      </c>
      <c r="AC16" s="86">
        <v>152.03899999661905</v>
      </c>
      <c r="AD16" s="86">
        <v>152.49199999676867</v>
      </c>
      <c r="AE16" s="86">
        <v>153.0979999958042</v>
      </c>
      <c r="AF16" s="86">
        <v>153.62499999675777</v>
      </c>
      <c r="AG16" s="86">
        <v>154.31699999602284</v>
      </c>
      <c r="AH16" s="86">
        <v>155.03899999837168</v>
      </c>
      <c r="AI16" s="86">
        <v>155.79199999766649</v>
      </c>
      <c r="AJ16" s="86">
        <v>156.56199999792611</v>
      </c>
      <c r="AK16" s="355">
        <v>157.34899999712721</v>
      </c>
      <c r="AL16" s="86">
        <v>158.14499999768623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1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86">
        <f t="shared" ref="M18:P18" si="18">SUM(M19:M21)</f>
        <v>588.00599999656936</v>
      </c>
      <c r="N18" s="86">
        <f t="shared" si="18"/>
        <v>603.64099998761913</v>
      </c>
      <c r="O18" s="86">
        <f t="shared" si="18"/>
        <v>613.44299999814552</v>
      </c>
      <c r="P18" s="86">
        <f t="shared" si="18"/>
        <v>596.16999999760333</v>
      </c>
      <c r="Q18" s="86">
        <f>SUM(Q19:Q21)</f>
        <v>585.81899999672282</v>
      </c>
      <c r="R18" s="86">
        <f t="shared" ref="R18" si="19">SUM(R19:R21)</f>
        <v>613.97400000690345</v>
      </c>
      <c r="S18" s="86">
        <f t="shared" ref="S18" si="20">SUM(S19:S21)</f>
        <v>654.1550000078073</v>
      </c>
      <c r="T18" s="86">
        <f t="shared" ref="T18" si="21">SUM(T19:T21)</f>
        <v>660.26700001088398</v>
      </c>
      <c r="U18" s="86">
        <f t="shared" ref="U18" si="22">SUM(U19:U21)</f>
        <v>636.77400000821558</v>
      </c>
      <c r="V18" s="86">
        <f t="shared" ref="V18" si="23">SUM(V19:V21)</f>
        <v>672.1640000003456</v>
      </c>
      <c r="W18" s="86">
        <f t="shared" ref="W18" si="24">SUM(W19:W21)</f>
        <v>671.57400001072676</v>
      </c>
      <c r="X18" s="86">
        <f t="shared" ref="X18" si="25">SUM(X19:X21)</f>
        <v>671.3640000008204</v>
      </c>
      <c r="Y18" s="86">
        <f t="shared" ref="Y18" si="26">SUM(Y19:Y21)</f>
        <v>673.66300001345746</v>
      </c>
      <c r="Z18" s="86">
        <f t="shared" ref="Z18" si="27">SUM(Z19:Z21)</f>
        <v>675.63900001533966</v>
      </c>
      <c r="AA18" s="86">
        <f t="shared" ref="AA18" si="28">SUM(AA19:AA21)</f>
        <v>679.72900000808977</v>
      </c>
      <c r="AB18" s="86">
        <f t="shared" ref="AB18" si="29">SUM(AB19:AB21)</f>
        <v>683.03300001333264</v>
      </c>
      <c r="AC18" s="86">
        <f t="shared" ref="AC18" si="30">SUM(AC19:AC21)</f>
        <v>685.54000000945121</v>
      </c>
      <c r="AD18" s="86">
        <f>SUM(AD19:AD21)</f>
        <v>687.76500000852548</v>
      </c>
      <c r="AE18" s="86">
        <f t="shared" ref="AE18" si="31">SUM(AE19:AE21)</f>
        <v>689.84200001192244</v>
      </c>
      <c r="AF18" s="86">
        <f t="shared" ref="AF18" si="32">SUM(AF19:AF21)</f>
        <v>691.83300001142561</v>
      </c>
      <c r="AG18" s="86">
        <f t="shared" ref="AG18:AL18" si="33">SUM(AG19:AG21)</f>
        <v>693.90700000956008</v>
      </c>
      <c r="AH18" s="86">
        <f t="shared" si="33"/>
        <v>695.90900001597436</v>
      </c>
      <c r="AI18" s="86">
        <f t="shared" si="33"/>
        <v>697.84300001544091</v>
      </c>
      <c r="AJ18" s="86">
        <f t="shared" si="33"/>
        <v>699.8700000150161</v>
      </c>
      <c r="AK18" s="86">
        <f t="shared" si="33"/>
        <v>701.79400001535555</v>
      </c>
      <c r="AL18" s="86">
        <f t="shared" si="33"/>
        <v>703.64000000016847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2" t="str">
        <f>'Ind T4'!A21</f>
        <v>Wholesale and retail trade</v>
      </c>
      <c r="M19" s="11">
        <v>353.53199999736051</v>
      </c>
      <c r="N19" s="11">
        <v>366.04399999213553</v>
      </c>
      <c r="O19" s="11">
        <v>376.74599999838114</v>
      </c>
      <c r="P19" s="11">
        <v>344.34099999796774</v>
      </c>
      <c r="Q19" s="11">
        <v>355.81299999922993</v>
      </c>
      <c r="R19" s="11">
        <v>363.624000005651</v>
      </c>
      <c r="S19" s="11">
        <v>384.35600000505718</v>
      </c>
      <c r="T19" s="11">
        <v>377.83800000719071</v>
      </c>
      <c r="U19" s="11">
        <v>356.03300000542612</v>
      </c>
      <c r="V19" s="11">
        <v>387.14900000081963</v>
      </c>
      <c r="W19" s="11">
        <v>365.71500000646409</v>
      </c>
      <c r="X19" s="11">
        <v>368.94499999937847</v>
      </c>
      <c r="Y19" s="11">
        <v>370.27000000772983</v>
      </c>
      <c r="Z19" s="11">
        <v>370.55600000902496</v>
      </c>
      <c r="AA19" s="11">
        <v>371.51700000443975</v>
      </c>
      <c r="AB19" s="11">
        <v>372.71100000772367</v>
      </c>
      <c r="AC19" s="11">
        <v>373.59200000520269</v>
      </c>
      <c r="AD19" s="11">
        <v>374.38500000453791</v>
      </c>
      <c r="AE19" s="11">
        <v>375.13800000652549</v>
      </c>
      <c r="AF19" s="11">
        <v>375.8790000064335</v>
      </c>
      <c r="AG19" s="11">
        <v>376.70200000501018</v>
      </c>
      <c r="AH19" s="11">
        <v>377.56000000870779</v>
      </c>
      <c r="AI19" s="11">
        <v>378.40500000830122</v>
      </c>
      <c r="AJ19" s="11">
        <v>379.38500000814986</v>
      </c>
      <c r="AK19" s="171">
        <v>380.32900000836503</v>
      </c>
      <c r="AL19" s="11">
        <v>381.25099999911185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2" t="str">
        <f>'Ind T4'!A22</f>
        <v>Transport and storage</v>
      </c>
      <c r="M20" s="11">
        <v>115.55199999977846</v>
      </c>
      <c r="N20" s="11">
        <v>117.62599999775425</v>
      </c>
      <c r="O20" s="11">
        <v>113.98499999967488</v>
      </c>
      <c r="P20" s="11">
        <v>120.12299999972939</v>
      </c>
      <c r="Q20" s="11">
        <v>107.63099999803873</v>
      </c>
      <c r="R20" s="11">
        <v>117.80199999919714</v>
      </c>
      <c r="S20" s="11">
        <v>120.30600000091079</v>
      </c>
      <c r="T20" s="11">
        <v>129.15300000068936</v>
      </c>
      <c r="U20" s="11">
        <v>130.2190000007071</v>
      </c>
      <c r="V20" s="11">
        <v>139.11599999913906</v>
      </c>
      <c r="W20" s="11">
        <v>162.21900000183697</v>
      </c>
      <c r="X20" s="11">
        <v>167.98600000157307</v>
      </c>
      <c r="Y20" s="11">
        <v>166.6140000029902</v>
      </c>
      <c r="Z20" s="11">
        <v>166.65000000299469</v>
      </c>
      <c r="AA20" s="11">
        <v>167.29100000222743</v>
      </c>
      <c r="AB20" s="11">
        <v>167.66100000316038</v>
      </c>
      <c r="AC20" s="11">
        <v>167.90400000278893</v>
      </c>
      <c r="AD20" s="11">
        <v>168.12100000264616</v>
      </c>
      <c r="AE20" s="11">
        <v>168.32200000306131</v>
      </c>
      <c r="AF20" s="11">
        <v>168.51800000263873</v>
      </c>
      <c r="AG20" s="11">
        <v>168.75600000284612</v>
      </c>
      <c r="AH20" s="11">
        <v>168.95300000409222</v>
      </c>
      <c r="AI20" s="11">
        <v>169.148000004137</v>
      </c>
      <c r="AJ20" s="11">
        <v>169.34200000385653</v>
      </c>
      <c r="AK20" s="171">
        <v>169.52300000365921</v>
      </c>
      <c r="AL20" s="11">
        <v>169.70700000184658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2" t="str">
        <f>'Ind T4'!A23</f>
        <v>Accommodation and food</v>
      </c>
      <c r="M21" s="11">
        <v>118.92199999943041</v>
      </c>
      <c r="N21" s="11">
        <v>119.97099999772934</v>
      </c>
      <c r="O21" s="11">
        <v>122.71200000008946</v>
      </c>
      <c r="P21" s="11">
        <v>131.70599999990623</v>
      </c>
      <c r="Q21" s="11">
        <v>122.37499999945413</v>
      </c>
      <c r="R21" s="11">
        <v>132.54800000205535</v>
      </c>
      <c r="S21" s="11">
        <v>149.49300000183928</v>
      </c>
      <c r="T21" s="11">
        <v>153.27600000300393</v>
      </c>
      <c r="U21" s="11">
        <v>150.52200000208228</v>
      </c>
      <c r="V21" s="11">
        <v>145.89900000038691</v>
      </c>
      <c r="W21" s="11">
        <v>143.64000000242572</v>
      </c>
      <c r="X21" s="11">
        <v>134.43299999986874</v>
      </c>
      <c r="Y21" s="11">
        <v>136.77900000273749</v>
      </c>
      <c r="Z21" s="11">
        <v>138.43300000331993</v>
      </c>
      <c r="AA21" s="11">
        <v>140.92100000142261</v>
      </c>
      <c r="AB21" s="11">
        <v>142.6610000024487</v>
      </c>
      <c r="AC21" s="11">
        <v>144.04400000145955</v>
      </c>
      <c r="AD21" s="11">
        <v>145.25900000134138</v>
      </c>
      <c r="AE21" s="11">
        <v>146.38200000233564</v>
      </c>
      <c r="AF21" s="11">
        <v>147.43600000235341</v>
      </c>
      <c r="AG21" s="11">
        <v>148.44900000170381</v>
      </c>
      <c r="AH21" s="11">
        <v>149.39600000317429</v>
      </c>
      <c r="AI21" s="11">
        <v>150.29000000300269</v>
      </c>
      <c r="AJ21" s="11">
        <v>151.14300000300975</v>
      </c>
      <c r="AK21" s="171">
        <v>151.94200000333126</v>
      </c>
      <c r="AL21" s="11">
        <v>152.68199999921001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1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86">
        <f>SUM(M24:M31)</f>
        <v>543.08999999802484</v>
      </c>
      <c r="N23" s="86">
        <f t="shared" ref="N23:AL23" si="34">SUM(N24:N31)</f>
        <v>554.95600000147124</v>
      </c>
      <c r="O23" s="86">
        <f t="shared" si="34"/>
        <v>535.5269999977736</v>
      </c>
      <c r="P23" s="86">
        <f t="shared" si="34"/>
        <v>566.48199999723795</v>
      </c>
      <c r="Q23" s="86">
        <f t="shared" si="34"/>
        <v>635.97200000251644</v>
      </c>
      <c r="R23" s="86">
        <f t="shared" si="34"/>
        <v>616.18000000168581</v>
      </c>
      <c r="S23" s="86">
        <f t="shared" si="34"/>
        <v>610.43599999654521</v>
      </c>
      <c r="T23" s="86">
        <f t="shared" si="34"/>
        <v>597.85899999700825</v>
      </c>
      <c r="U23" s="86">
        <f t="shared" si="34"/>
        <v>605.15199999832953</v>
      </c>
      <c r="V23" s="86">
        <f t="shared" si="34"/>
        <v>654.36299999889559</v>
      </c>
      <c r="W23" s="86">
        <f t="shared" si="34"/>
        <v>665.50099999406689</v>
      </c>
      <c r="X23" s="86">
        <f t="shared" si="34"/>
        <v>669.39299999448133</v>
      </c>
      <c r="Y23" s="86">
        <f t="shared" si="34"/>
        <v>669.11099999980149</v>
      </c>
      <c r="Z23" s="86">
        <f t="shared" si="34"/>
        <v>671.82099999976549</v>
      </c>
      <c r="AA23" s="86">
        <f t="shared" si="34"/>
        <v>675.22000000203684</v>
      </c>
      <c r="AB23" s="86">
        <f t="shared" si="34"/>
        <v>677.85500000502566</v>
      </c>
      <c r="AC23" s="86">
        <f t="shared" si="34"/>
        <v>680.70900000517452</v>
      </c>
      <c r="AD23" s="86">
        <f t="shared" si="34"/>
        <v>683.51000000776958</v>
      </c>
      <c r="AE23" s="86">
        <f t="shared" si="34"/>
        <v>686.30400000658915</v>
      </c>
      <c r="AF23" s="86">
        <f t="shared" si="34"/>
        <v>689.15400000754494</v>
      </c>
      <c r="AG23" s="86">
        <f t="shared" si="34"/>
        <v>692.18900000882445</v>
      </c>
      <c r="AH23" s="86">
        <f t="shared" si="34"/>
        <v>695.1340000035417</v>
      </c>
      <c r="AI23" s="86">
        <f t="shared" si="34"/>
        <v>698.0870000051973</v>
      </c>
      <c r="AJ23" s="86">
        <f t="shared" si="34"/>
        <v>701.02800000608113</v>
      </c>
      <c r="AK23" s="86">
        <f t="shared" si="34"/>
        <v>703.92300000523653</v>
      </c>
      <c r="AL23" s="86">
        <f t="shared" si="34"/>
        <v>706.80199999996353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2" t="str">
        <f>'Ind T4'!A26</f>
        <v>Media</v>
      </c>
      <c r="M24" s="11">
        <v>10.172999999971033</v>
      </c>
      <c r="N24" s="11">
        <v>9.5560000000668825</v>
      </c>
      <c r="O24" s="11">
        <v>10.010999999964808</v>
      </c>
      <c r="P24" s="11">
        <v>11.710999999981579</v>
      </c>
      <c r="Q24" s="11">
        <v>12.662000000101559</v>
      </c>
      <c r="R24" s="11">
        <v>8.2350000000653409</v>
      </c>
      <c r="S24" s="11">
        <v>10.046999999981258</v>
      </c>
      <c r="T24" s="11">
        <v>11.980999999940959</v>
      </c>
      <c r="U24" s="11">
        <v>5.8189999999988862</v>
      </c>
      <c r="V24" s="11">
        <v>11.626000000056054</v>
      </c>
      <c r="W24" s="11">
        <v>8.6399999999464896</v>
      </c>
      <c r="X24" s="11">
        <v>8.5449999999424797</v>
      </c>
      <c r="Y24" s="11">
        <v>8.5160000000251284</v>
      </c>
      <c r="Z24" s="11">
        <v>8.4860000000288576</v>
      </c>
      <c r="AA24" s="11">
        <v>8.4680000000496065</v>
      </c>
      <c r="AB24" s="11">
        <v>8.4940000000726599</v>
      </c>
      <c r="AC24" s="11">
        <v>8.5080000000667582</v>
      </c>
      <c r="AD24" s="11">
        <v>8.5240000001071845</v>
      </c>
      <c r="AE24" s="11">
        <v>8.5410000001090012</v>
      </c>
      <c r="AF24" s="11">
        <v>8.5540000001126906</v>
      </c>
      <c r="AG24" s="11">
        <v>8.5670000001240521</v>
      </c>
      <c r="AH24" s="11">
        <v>8.5800000000741115</v>
      </c>
      <c r="AI24" s="11">
        <v>8.5920000000922574</v>
      </c>
      <c r="AJ24" s="11">
        <v>8.6050000001001195</v>
      </c>
      <c r="AK24" s="171">
        <v>8.6160000000751484</v>
      </c>
      <c r="AL24" s="11">
        <v>8.6300000000032373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2" t="str">
        <f>'Ind T4'!A27</f>
        <v>Information technology</v>
      </c>
      <c r="M25" s="11">
        <v>47.353999999747401</v>
      </c>
      <c r="N25" s="11">
        <v>43.616000000542485</v>
      </c>
      <c r="O25" s="11">
        <v>34.686999999598221</v>
      </c>
      <c r="P25" s="11">
        <v>48.039999999598216</v>
      </c>
      <c r="Q25" s="11">
        <v>48.046000000745693</v>
      </c>
      <c r="R25" s="11">
        <v>44.996000000155043</v>
      </c>
      <c r="S25" s="11">
        <v>44.95699999935735</v>
      </c>
      <c r="T25" s="11">
        <v>58.918999999293689</v>
      </c>
      <c r="U25" s="11">
        <v>58.711999999308432</v>
      </c>
      <c r="V25" s="11">
        <v>51.616999999546536</v>
      </c>
      <c r="W25" s="11">
        <v>46.717999999053148</v>
      </c>
      <c r="X25" s="11">
        <v>47.946999999211563</v>
      </c>
      <c r="Y25" s="11">
        <v>48.30899999952058</v>
      </c>
      <c r="Z25" s="11">
        <v>49.13299999948201</v>
      </c>
      <c r="AA25" s="11">
        <v>49.751999999611272</v>
      </c>
      <c r="AB25" s="11">
        <v>50.24699999977507</v>
      </c>
      <c r="AC25" s="11">
        <v>50.700999999767895</v>
      </c>
      <c r="AD25" s="11">
        <v>51.086999999842348</v>
      </c>
      <c r="AE25" s="11">
        <v>51.444999999788536</v>
      </c>
      <c r="AF25" s="11">
        <v>51.802999999878679</v>
      </c>
      <c r="AG25" s="11">
        <v>52.179999999992447</v>
      </c>
      <c r="AH25" s="11">
        <v>52.545999999122969</v>
      </c>
      <c r="AI25" s="11">
        <v>52.899999999297926</v>
      </c>
      <c r="AJ25" s="11">
        <v>53.23899999944306</v>
      </c>
      <c r="AK25" s="171">
        <v>53.552999999530861</v>
      </c>
      <c r="AL25" s="11">
        <v>53.841999999295119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2" t="str">
        <f>'Ind T4'!A28</f>
        <v>Finance and insurance</v>
      </c>
      <c r="M26" s="11">
        <v>35.021999999789337</v>
      </c>
      <c r="N26" s="11">
        <v>43.501000000129977</v>
      </c>
      <c r="O26" s="11">
        <v>38.388999999658452</v>
      </c>
      <c r="P26" s="11">
        <v>32.452999999725456</v>
      </c>
      <c r="Q26" s="11">
        <v>38.498000000206062</v>
      </c>
      <c r="R26" s="11">
        <v>41.772000000069056</v>
      </c>
      <c r="S26" s="11">
        <v>34.999999999630916</v>
      </c>
      <c r="T26" s="11">
        <v>39.656999999728562</v>
      </c>
      <c r="U26" s="11">
        <v>38.160999999701779</v>
      </c>
      <c r="V26" s="11">
        <v>39.803999999771619</v>
      </c>
      <c r="W26" s="11">
        <v>44.767999999405667</v>
      </c>
      <c r="X26" s="11">
        <v>45.459999999405539</v>
      </c>
      <c r="Y26" s="11">
        <v>45.17499999988511</v>
      </c>
      <c r="Z26" s="11">
        <v>44.835999999866665</v>
      </c>
      <c r="AA26" s="11">
        <v>44.431000000087359</v>
      </c>
      <c r="AB26" s="11">
        <v>44.137000000458109</v>
      </c>
      <c r="AC26" s="11">
        <v>43.886000000514713</v>
      </c>
      <c r="AD26" s="11">
        <v>43.635000000656781</v>
      </c>
      <c r="AE26" s="11">
        <v>43.378000000488001</v>
      </c>
      <c r="AF26" s="11">
        <v>43.123000000633397</v>
      </c>
      <c r="AG26" s="11">
        <v>42.870000000758964</v>
      </c>
      <c r="AH26" s="11">
        <v>42.59300000020226</v>
      </c>
      <c r="AI26" s="11">
        <v>42.317000000353858</v>
      </c>
      <c r="AJ26" s="11">
        <v>42.045000000450194</v>
      </c>
      <c r="AK26" s="171">
        <v>41.768000000487213</v>
      </c>
      <c r="AL26" s="11">
        <v>41.496999999939959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2" t="str">
        <f>'Ind T4'!A29</f>
        <v>Real estate</v>
      </c>
      <c r="M27" s="11">
        <v>30.03399999987024</v>
      </c>
      <c r="N27" s="11">
        <v>24.469000000037003</v>
      </c>
      <c r="O27" s="11">
        <v>24.548999999873907</v>
      </c>
      <c r="P27" s="11">
        <v>25.58899999984348</v>
      </c>
      <c r="Q27" s="11">
        <v>27.809000000045067</v>
      </c>
      <c r="R27" s="11">
        <v>27.166000000009245</v>
      </c>
      <c r="S27" s="11">
        <v>27.614999999819656</v>
      </c>
      <c r="T27" s="11">
        <v>26.713999999921349</v>
      </c>
      <c r="U27" s="11">
        <v>30.010999999893624</v>
      </c>
      <c r="V27" s="11">
        <v>36.995999999929118</v>
      </c>
      <c r="W27" s="11">
        <v>38.778999999762249</v>
      </c>
      <c r="X27" s="11">
        <v>38.113999999787559</v>
      </c>
      <c r="Y27" s="11">
        <v>37.387000000031904</v>
      </c>
      <c r="Z27" s="11">
        <v>36.902000000031997</v>
      </c>
      <c r="AA27" s="11">
        <v>36.690000000023879</v>
      </c>
      <c r="AB27" s="11">
        <v>36.874000000281022</v>
      </c>
      <c r="AC27" s="11">
        <v>37.151000000258534</v>
      </c>
      <c r="AD27" s="11">
        <v>37.47400000029571</v>
      </c>
      <c r="AE27" s="11">
        <v>37.817000000296858</v>
      </c>
      <c r="AF27" s="11">
        <v>38.171000000343788</v>
      </c>
      <c r="AG27" s="11">
        <v>38.530000000395333</v>
      </c>
      <c r="AH27" s="11">
        <v>38.89100000020251</v>
      </c>
      <c r="AI27" s="11">
        <v>39.252000000286465</v>
      </c>
      <c r="AJ27" s="11">
        <v>39.60800000032544</v>
      </c>
      <c r="AK27" s="171">
        <v>39.959000000330093</v>
      </c>
      <c r="AL27" s="11">
        <v>40.303999999940245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2" t="str">
        <f>'Ind T4'!A30</f>
        <v>Professional services</v>
      </c>
      <c r="M28" s="11">
        <v>129.2549999992778</v>
      </c>
      <c r="N28" s="11">
        <v>123.53500000211595</v>
      </c>
      <c r="O28" s="11">
        <v>123.4859999985197</v>
      </c>
      <c r="P28" s="11">
        <v>141.18699999854445</v>
      </c>
      <c r="Q28" s="11">
        <v>167.40400000288147</v>
      </c>
      <c r="R28" s="11">
        <v>155.69900000005237</v>
      </c>
      <c r="S28" s="11">
        <v>165.05699999752485</v>
      </c>
      <c r="T28" s="11">
        <v>154.47799999774566</v>
      </c>
      <c r="U28" s="11">
        <v>149.31699999818207</v>
      </c>
      <c r="V28" s="11">
        <v>188.2799999992435</v>
      </c>
      <c r="W28" s="11">
        <v>205.36499999595713</v>
      </c>
      <c r="X28" s="11">
        <v>207.77299999662606</v>
      </c>
      <c r="Y28" s="11">
        <v>208.43299999849509</v>
      </c>
      <c r="Z28" s="11">
        <v>209.75699999838616</v>
      </c>
      <c r="AA28" s="11">
        <v>211.17900000092482</v>
      </c>
      <c r="AB28" s="11">
        <v>212.28900000194432</v>
      </c>
      <c r="AC28" s="11">
        <v>213.29500000266009</v>
      </c>
      <c r="AD28" s="11">
        <v>214.35500000359036</v>
      </c>
      <c r="AE28" s="11">
        <v>215.45100000228248</v>
      </c>
      <c r="AF28" s="11">
        <v>216.59900000308232</v>
      </c>
      <c r="AG28" s="11">
        <v>217.81500000401743</v>
      </c>
      <c r="AH28" s="11">
        <v>219.00600000030482</v>
      </c>
      <c r="AI28" s="11">
        <v>220.19800000117982</v>
      </c>
      <c r="AJ28" s="11">
        <v>221.39100000173431</v>
      </c>
      <c r="AK28" s="171">
        <v>222.57300000215332</v>
      </c>
      <c r="AL28" s="11">
        <v>223.75500000025235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2" t="str">
        <f>'Ind T4'!A31</f>
        <v>Support services</v>
      </c>
      <c r="M29" s="11">
        <v>177.10699999982637</v>
      </c>
      <c r="N29" s="11">
        <v>187.20399999863136</v>
      </c>
      <c r="O29" s="11">
        <v>186.75100000050057</v>
      </c>
      <c r="P29" s="11">
        <v>186.43800000008684</v>
      </c>
      <c r="Q29" s="11">
        <v>207.9999999985298</v>
      </c>
      <c r="R29" s="11">
        <v>224.21700000051536</v>
      </c>
      <c r="S29" s="11">
        <v>201.33200000056806</v>
      </c>
      <c r="T29" s="11">
        <v>189.36700000086461</v>
      </c>
      <c r="U29" s="11">
        <v>190.34100000089651</v>
      </c>
      <c r="V29" s="11">
        <v>194.1669999998698</v>
      </c>
      <c r="W29" s="11">
        <v>195.54200000063364</v>
      </c>
      <c r="X29" s="11">
        <v>198.89900000027248</v>
      </c>
      <c r="Y29" s="11">
        <v>202.75000000117072</v>
      </c>
      <c r="Z29" s="11">
        <v>205.13000000120795</v>
      </c>
      <c r="AA29" s="11">
        <v>206.69700000044259</v>
      </c>
      <c r="AB29" s="11">
        <v>207.87400000127505</v>
      </c>
      <c r="AC29" s="11">
        <v>209.22400000090474</v>
      </c>
      <c r="AD29" s="11">
        <v>210.54700000108161</v>
      </c>
      <c r="AE29" s="11">
        <v>211.85200000134972</v>
      </c>
      <c r="AF29" s="11">
        <v>213.15800000126106</v>
      </c>
      <c r="AG29" s="11">
        <v>214.50300000123195</v>
      </c>
      <c r="AH29" s="11">
        <v>215.79100000164209</v>
      </c>
      <c r="AI29" s="11">
        <v>217.07900000173231</v>
      </c>
      <c r="AJ29" s="11">
        <v>218.36300000165838</v>
      </c>
      <c r="AK29" s="171">
        <v>219.653000001208</v>
      </c>
      <c r="AL29" s="11">
        <v>220.94200000003082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2" t="str">
        <f>'Ind T4'!A32</f>
        <v>Arts and entertainment</v>
      </c>
      <c r="M30" s="11">
        <v>52.233999999903844</v>
      </c>
      <c r="N30" s="11">
        <v>61.594000000150125</v>
      </c>
      <c r="O30" s="11">
        <v>54.470000000031199</v>
      </c>
      <c r="P30" s="11">
        <v>50.97999999984949</v>
      </c>
      <c r="Q30" s="11">
        <v>54.070000000185068</v>
      </c>
      <c r="R30" s="11">
        <v>58.840000000436149</v>
      </c>
      <c r="S30" s="11">
        <v>54.048000000002553</v>
      </c>
      <c r="T30" s="11">
        <v>58.699999999887282</v>
      </c>
      <c r="U30" s="11">
        <v>62.481000000080179</v>
      </c>
      <c r="V30" s="11">
        <v>63.907000000180211</v>
      </c>
      <c r="W30" s="11">
        <v>56.808999999831137</v>
      </c>
      <c r="X30" s="11">
        <v>55.976999999777441</v>
      </c>
      <c r="Y30" s="11">
        <v>53.219000000374223</v>
      </c>
      <c r="Z30" s="11">
        <v>52.353000000414525</v>
      </c>
      <c r="AA30" s="11">
        <v>52.793000000651475</v>
      </c>
      <c r="AB30" s="11">
        <v>52.877000000806248</v>
      </c>
      <c r="AC30" s="11">
        <v>53.057000000813119</v>
      </c>
      <c r="AD30" s="11">
        <v>53.166000001086225</v>
      </c>
      <c r="AE30" s="11">
        <v>53.24500000107038</v>
      </c>
      <c r="AF30" s="11">
        <v>53.296000001067796</v>
      </c>
      <c r="AG30" s="11">
        <v>53.361000001190668</v>
      </c>
      <c r="AH30" s="11">
        <v>53.434000000923582</v>
      </c>
      <c r="AI30" s="11">
        <v>53.509000001052669</v>
      </c>
      <c r="AJ30" s="11">
        <v>53.579000001070902</v>
      </c>
      <c r="AK30" s="171">
        <v>53.637000000944667</v>
      </c>
      <c r="AL30" s="11">
        <v>53.687000000441721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2" t="str">
        <f>'Ind T4'!A33</f>
        <v>Other services</v>
      </c>
      <c r="M31" s="11">
        <v>61.910999999638783</v>
      </c>
      <c r="N31" s="11">
        <v>61.480999999797568</v>
      </c>
      <c r="O31" s="11">
        <v>63.183999999626785</v>
      </c>
      <c r="P31" s="11">
        <v>70.083999999608366</v>
      </c>
      <c r="Q31" s="11">
        <v>79.482999999821786</v>
      </c>
      <c r="R31" s="11">
        <v>55.255000000383255</v>
      </c>
      <c r="S31" s="11">
        <v>72.379999999660683</v>
      </c>
      <c r="T31" s="11">
        <v>58.042999999626126</v>
      </c>
      <c r="U31" s="11">
        <v>70.310000000268133</v>
      </c>
      <c r="V31" s="11">
        <v>67.966000000298777</v>
      </c>
      <c r="W31" s="11">
        <v>68.879999999477434</v>
      </c>
      <c r="X31" s="11">
        <v>66.677999999458166</v>
      </c>
      <c r="Y31" s="11">
        <v>65.322000000298758</v>
      </c>
      <c r="Z31" s="11">
        <v>65.224000000347189</v>
      </c>
      <c r="AA31" s="11">
        <v>65.210000000245913</v>
      </c>
      <c r="AB31" s="11">
        <v>65.063000000413254</v>
      </c>
      <c r="AC31" s="11">
        <v>64.887000000188692</v>
      </c>
      <c r="AD31" s="11">
        <v>64.722000001109379</v>
      </c>
      <c r="AE31" s="11">
        <v>64.575000001204231</v>
      </c>
      <c r="AF31" s="11">
        <v>64.450000001165193</v>
      </c>
      <c r="AG31" s="11">
        <v>64.363000001113647</v>
      </c>
      <c r="AH31" s="11">
        <v>64.293000001069331</v>
      </c>
      <c r="AI31" s="11">
        <v>64.240000001202077</v>
      </c>
      <c r="AJ31" s="11">
        <v>64.198000001298723</v>
      </c>
      <c r="AK31" s="171">
        <v>64.164000000507102</v>
      </c>
      <c r="AL31" s="11">
        <v>64.145000000060094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1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86">
        <f>SUM(M34:M36)</f>
        <v>540.00600000357463</v>
      </c>
      <c r="N33" s="86">
        <f t="shared" ref="N33:P33" si="35">SUM(N34:N36)</f>
        <v>544.89200001361269</v>
      </c>
      <c r="O33" s="86">
        <f t="shared" si="35"/>
        <v>549.63600000301517</v>
      </c>
      <c r="P33" s="86">
        <f t="shared" si="35"/>
        <v>544.91600000432823</v>
      </c>
      <c r="Q33" s="86">
        <f>SUM(Q34:Q36)</f>
        <v>561.8680000061031</v>
      </c>
      <c r="R33" s="86">
        <f t="shared" ref="R33" si="36">SUM(R34:R36)</f>
        <v>553.67199999512275</v>
      </c>
      <c r="S33" s="86">
        <f t="shared" ref="S33" si="37">SUM(S34:S36)</f>
        <v>561.51299999584239</v>
      </c>
      <c r="T33" s="86">
        <f t="shared" ref="T33" si="38">SUM(T34:T36)</f>
        <v>576.9499999893452</v>
      </c>
      <c r="U33" s="86">
        <f t="shared" ref="U33" si="39">SUM(U34:U36)</f>
        <v>573.37799999093272</v>
      </c>
      <c r="V33" s="86">
        <f t="shared" ref="V33" si="40">SUM(V34:V36)</f>
        <v>575.47699999890733</v>
      </c>
      <c r="W33" s="86">
        <f t="shared" ref="W33" si="41">SUM(W34:W36)</f>
        <v>567.9019999941986</v>
      </c>
      <c r="X33" s="86">
        <f t="shared" ref="X33" si="42">SUM(X34:X36)</f>
        <v>571.88500000404872</v>
      </c>
      <c r="Y33" s="86">
        <f t="shared" ref="Y33" si="43">SUM(Y34:Y36)</f>
        <v>575.23899998981733</v>
      </c>
      <c r="Z33" s="86">
        <f t="shared" ref="Z33" si="44">SUM(Z34:Z36)</f>
        <v>579.26799998828426</v>
      </c>
      <c r="AA33" s="86">
        <f t="shared" ref="AA33" si="45">SUM(AA34:AA36)</f>
        <v>584.59099999410307</v>
      </c>
      <c r="AB33" s="86">
        <f t="shared" ref="AB33" si="46">SUM(AB34:AB36)</f>
        <v>588.3249999875834</v>
      </c>
      <c r="AC33" s="86">
        <f t="shared" ref="AC33" si="47">SUM(AC34:AC36)</f>
        <v>591.08099999136607</v>
      </c>
      <c r="AD33" s="86">
        <f t="shared" ref="AD33" si="48">SUM(AD34:AD36)</f>
        <v>593.6759999896866</v>
      </c>
      <c r="AE33" s="86">
        <f t="shared" ref="AE33" si="49">SUM(AE34:AE36)</f>
        <v>596.20199998799808</v>
      </c>
      <c r="AF33" s="86">
        <f t="shared" ref="AF33" si="50">SUM(AF34:AF36)</f>
        <v>598.72499998727994</v>
      </c>
      <c r="AG33" s="86">
        <f t="shared" ref="AG33:AL33" si="51">SUM(AG34:AG36)</f>
        <v>601.35599998862597</v>
      </c>
      <c r="AH33" s="86">
        <f t="shared" si="51"/>
        <v>603.89099998339282</v>
      </c>
      <c r="AI33" s="86">
        <f t="shared" si="51"/>
        <v>606.34399998341883</v>
      </c>
      <c r="AJ33" s="86">
        <f t="shared" si="51"/>
        <v>608.76899998299473</v>
      </c>
      <c r="AK33" s="86">
        <f t="shared" si="51"/>
        <v>611.15199998451908</v>
      </c>
      <c r="AL33" s="86">
        <f t="shared" si="51"/>
        <v>613.47300000122641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2" t="str">
        <f>'Ind T4'!A36</f>
        <v>Public admin. and defence</v>
      </c>
      <c r="M34" s="11">
        <v>100.28200000004674</v>
      </c>
      <c r="N34" s="11">
        <v>94.144000000920698</v>
      </c>
      <c r="O34" s="11">
        <v>86.273999999450865</v>
      </c>
      <c r="P34" s="11">
        <v>81.863999999543751</v>
      </c>
      <c r="Q34" s="11">
        <v>81.862000000445306</v>
      </c>
      <c r="R34" s="11">
        <v>75.665999999336734</v>
      </c>
      <c r="S34" s="11">
        <v>76.082999999227368</v>
      </c>
      <c r="T34" s="11">
        <v>76.342999999185452</v>
      </c>
      <c r="U34" s="11">
        <v>76.460999999350847</v>
      </c>
      <c r="V34" s="11">
        <v>77.918999999931529</v>
      </c>
      <c r="W34" s="11">
        <v>80.2239999989512</v>
      </c>
      <c r="X34" s="11">
        <v>81.226999999186759</v>
      </c>
      <c r="Y34" s="11">
        <v>82.85399999944535</v>
      </c>
      <c r="Z34" s="11">
        <v>84.093999999375711</v>
      </c>
      <c r="AA34" s="11">
        <v>85.661000000078587</v>
      </c>
      <c r="AB34" s="11">
        <v>86.404000000294957</v>
      </c>
      <c r="AC34" s="11">
        <v>87.032000000508944</v>
      </c>
      <c r="AD34" s="11">
        <v>87.672000000742571</v>
      </c>
      <c r="AE34" s="11">
        <v>88.313000000306189</v>
      </c>
      <c r="AF34" s="11">
        <v>88.959000000516724</v>
      </c>
      <c r="AG34" s="11">
        <v>89.610000000738552</v>
      </c>
      <c r="AH34" s="11">
        <v>90.246999999891784</v>
      </c>
      <c r="AI34" s="11">
        <v>90.878000000066592</v>
      </c>
      <c r="AJ34" s="11">
        <v>91.509000000191378</v>
      </c>
      <c r="AK34" s="171">
        <v>92.135000000249192</v>
      </c>
      <c r="AL34" s="11">
        <v>92.753000000063949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2" t="str">
        <f>'Ind T4'!A37</f>
        <v>Education</v>
      </c>
      <c r="M35" s="11">
        <v>182.07600000115315</v>
      </c>
      <c r="N35" s="11">
        <v>187.31100000771235</v>
      </c>
      <c r="O35" s="11">
        <v>197.23300000212342</v>
      </c>
      <c r="P35" s="11">
        <v>199.5720000030006</v>
      </c>
      <c r="Q35" s="11">
        <v>204.81500000438621</v>
      </c>
      <c r="R35" s="11">
        <v>204.37499999959886</v>
      </c>
      <c r="S35" s="11">
        <v>199.33099999832669</v>
      </c>
      <c r="T35" s="11">
        <v>199.00899999353848</v>
      </c>
      <c r="U35" s="11">
        <v>201.34099999540561</v>
      </c>
      <c r="V35" s="11">
        <v>210.96600000147009</v>
      </c>
      <c r="W35" s="11">
        <v>209.79399999727281</v>
      </c>
      <c r="X35" s="11">
        <v>207.40300000372829</v>
      </c>
      <c r="Y35" s="11">
        <v>205.29099999344106</v>
      </c>
      <c r="Z35" s="11">
        <v>204.70099999269615</v>
      </c>
      <c r="AA35" s="11">
        <v>204.5569999965245</v>
      </c>
      <c r="AB35" s="11">
        <v>204.86899999060074</v>
      </c>
      <c r="AC35" s="11">
        <v>204.92699999304298</v>
      </c>
      <c r="AD35" s="11">
        <v>204.99099999332179</v>
      </c>
      <c r="AE35" s="11">
        <v>205.06399999286288</v>
      </c>
      <c r="AF35" s="11">
        <v>205.17299999232571</v>
      </c>
      <c r="AG35" s="11">
        <v>205.42599999284249</v>
      </c>
      <c r="AH35" s="11">
        <v>205.65999999027028</v>
      </c>
      <c r="AI35" s="11">
        <v>205.85999999020714</v>
      </c>
      <c r="AJ35" s="11">
        <v>206.04499999008786</v>
      </c>
      <c r="AK35" s="171">
        <v>206.20399998995106</v>
      </c>
      <c r="AL35" s="11">
        <v>206.32500000142213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2" t="str">
        <f>'Ind T4'!A38</f>
        <v>Health and social work</v>
      </c>
      <c r="M36" s="11">
        <v>257.64800000237477</v>
      </c>
      <c r="N36" s="11">
        <v>263.43700000497955</v>
      </c>
      <c r="O36" s="11">
        <v>266.12900000144089</v>
      </c>
      <c r="P36" s="11">
        <v>263.48000000178394</v>
      </c>
      <c r="Q36" s="11">
        <v>275.19100000127162</v>
      </c>
      <c r="R36" s="11">
        <v>273.63099999618714</v>
      </c>
      <c r="S36" s="11">
        <v>286.09899999828832</v>
      </c>
      <c r="T36" s="11">
        <v>301.5979999966213</v>
      </c>
      <c r="U36" s="11">
        <v>295.57599999617634</v>
      </c>
      <c r="V36" s="11">
        <v>286.59199999750564</v>
      </c>
      <c r="W36" s="11">
        <v>277.88399999797457</v>
      </c>
      <c r="X36" s="11">
        <v>283.25500000113368</v>
      </c>
      <c r="Y36" s="11">
        <v>287.0939999969309</v>
      </c>
      <c r="Z36" s="11">
        <v>290.47299999621237</v>
      </c>
      <c r="AA36" s="11">
        <v>294.37299999749996</v>
      </c>
      <c r="AB36" s="11">
        <v>297.05199999668764</v>
      </c>
      <c r="AC36" s="11">
        <v>299.1219999978141</v>
      </c>
      <c r="AD36" s="11">
        <v>301.01299999562224</v>
      </c>
      <c r="AE36" s="11">
        <v>302.82499999482894</v>
      </c>
      <c r="AF36" s="11">
        <v>304.59299999443743</v>
      </c>
      <c r="AG36" s="11">
        <v>306.3199999950449</v>
      </c>
      <c r="AH36" s="11">
        <v>307.98399999323078</v>
      </c>
      <c r="AI36" s="11">
        <v>309.60599999314502</v>
      </c>
      <c r="AJ36" s="11">
        <v>311.21499999271555</v>
      </c>
      <c r="AK36" s="171">
        <v>312.81299999431883</v>
      </c>
      <c r="AL36" s="11">
        <v>314.39499999974026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4"/>
      <c r="AH37" s="11"/>
      <c r="AI37" s="11"/>
      <c r="AJ37" s="11"/>
      <c r="AK37" s="171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86">
        <f>SUM(M5,M11,M16,M18,M23,M33)</f>
        <v>2141.2189999993921</v>
      </c>
      <c r="N38" s="86">
        <f t="shared" ref="N38:P38" si="52">SUM(N5,N11,N16,N18,N23,N33)</f>
        <v>2185.0599999978313</v>
      </c>
      <c r="O38" s="86">
        <f t="shared" si="52"/>
        <v>2201.4479999979339</v>
      </c>
      <c r="P38" s="86">
        <f t="shared" si="52"/>
        <v>2175.4199999971543</v>
      </c>
      <c r="Q38" s="86">
        <f>SUM(Q5,Q11,Q16,Q18,Q23,Q33)</f>
        <v>2236.6089999992341</v>
      </c>
      <c r="R38" s="86">
        <f t="shared" ref="R38:AL38" si="53">SUM(R5,R11,R16,R18,R23,R33)</f>
        <v>2274.4909999992278</v>
      </c>
      <c r="S38" s="86">
        <f t="shared" si="53"/>
        <v>2332.8719999983905</v>
      </c>
      <c r="T38" s="86">
        <f t="shared" si="53"/>
        <v>2354.7809999996375</v>
      </c>
      <c r="U38" s="86">
        <f t="shared" si="53"/>
        <v>2337.326000000136</v>
      </c>
      <c r="V38" s="86">
        <f t="shared" si="53"/>
        <v>2405.3839999988058</v>
      </c>
      <c r="W38" s="86">
        <f t="shared" si="53"/>
        <v>2404.2379999983386</v>
      </c>
      <c r="X38" s="86">
        <f t="shared" si="53"/>
        <v>2408.550999996839</v>
      </c>
      <c r="Y38" s="86">
        <f t="shared" si="53"/>
        <v>2412.4500000012054</v>
      </c>
      <c r="Z38" s="86">
        <f t="shared" si="53"/>
        <v>2420.8100000012037</v>
      </c>
      <c r="AA38" s="86">
        <f t="shared" si="53"/>
        <v>2433.8910000010264</v>
      </c>
      <c r="AB38" s="86">
        <f t="shared" si="53"/>
        <v>2442.8000000047005</v>
      </c>
      <c r="AC38" s="86">
        <f t="shared" si="53"/>
        <v>2450.1910000041571</v>
      </c>
      <c r="AD38" s="86">
        <f>SUM(AD5,AD11,AD16,AD18,AD23,AD33)</f>
        <v>2456.6360000045702</v>
      </c>
      <c r="AE38" s="86">
        <f t="shared" si="53"/>
        <v>2463.0490000039385</v>
      </c>
      <c r="AF38" s="86">
        <f t="shared" si="53"/>
        <v>2469.3920000047278</v>
      </c>
      <c r="AG38" s="86">
        <f t="shared" si="53"/>
        <v>2476.5230000049432</v>
      </c>
      <c r="AH38" s="86">
        <f t="shared" si="53"/>
        <v>2483.3790000042568</v>
      </c>
      <c r="AI38" s="86">
        <f t="shared" si="53"/>
        <v>2490.1680000047327</v>
      </c>
      <c r="AJ38" s="86">
        <f t="shared" si="53"/>
        <v>2497.0950000050561</v>
      </c>
      <c r="AK38" s="86">
        <f t="shared" si="53"/>
        <v>2503.8960000046168</v>
      </c>
      <c r="AL38" s="86">
        <f t="shared" si="53"/>
        <v>2510.6939999992701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79" t="str">
        <f>CONCATENATE("Industry Figure 2.1  Change in Employment in ",$L$5,", ",$M$2,"-",$O$2,", ",Info!B5)</f>
        <v>Industry Figure 2.1  Change in Employment in Primary sector and utilities, 2010-2035, East Midlands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79" t="str">
        <f>CONCATENATE("Industry Figure 2.2  Change in Employment in ",$L$11,", ",$M$2,"-",$O$2,", ",Info!B5)</f>
        <v>Industry Figure 2.2  Change in Employment in Manufacturing, 2010-2035, East Midlands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79" t="str">
        <f>CONCATENATE("Industry Figure 2.3  Change in Employment in ",$L$16,", ",$M$2,"-",$O$2,", ",Info!B5)</f>
        <v>Industry Figure 2.3  Change in Employment in Construction, 2010-2035, East Midlands</v>
      </c>
    </row>
    <row r="137" spans="1:1" ht="15.75" x14ac:dyDescent="0.25">
      <c r="A137" s="79" t="str">
        <f>CONCATENATE("Industry Figure 2.4  Change in Employment in ",$L$18,", ",$M$2,"-",$O$2,", ",Info!B5)</f>
        <v>Industry Figure 2.4  Change in Employment in Trade, accomod. and transport, 2010-2035, East Midlands</v>
      </c>
    </row>
    <row r="167" spans="1:1" ht="15.75" x14ac:dyDescent="0.25">
      <c r="A167" s="79" t="str">
        <f>CONCATENATE("Industry Figure 2.5  Change in Employment in ",$L$23,", ",$M$2,"- ",$O$2,", ",Info!B5)</f>
        <v>Industry Figure 2.5  Change in Employment in Business and other services, 2010- 2035, East Midlands</v>
      </c>
    </row>
    <row r="197" spans="1:1" ht="15.75" x14ac:dyDescent="0.25">
      <c r="A197" s="79" t="str">
        <f>CONCATENATE("Industry Figure 2.6  Change in Employment in ",$L$33,", ",$M$2,"-",$O$2,", ",Info!B5)</f>
        <v>Industry Figure 2.6  Change in Employment in Non-marketed services, 2010-2035, East Midlands</v>
      </c>
    </row>
    <row r="227" spans="1:15" ht="15.75" x14ac:dyDescent="0.25">
      <c r="A227" s="79" t="str">
        <f>CONCATENATE("Industry Figure 2.7  Employment trends by broad sector (SIC 2007), shares in %, ",$M$230,"-",$O$230,", ",Info!B5)</f>
        <v>Industry Figure 2.7  Employment trends by broad sector (SIC 2007), shares in %, 2015-2035, East Midlands</v>
      </c>
      <c r="L227" s="45" t="s">
        <v>440</v>
      </c>
    </row>
    <row r="228" spans="1:15" x14ac:dyDescent="0.2">
      <c r="L228" s="29" t="s">
        <v>421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39">
        <f>'Ind T1'!B25</f>
        <v>24.342677108650275</v>
      </c>
      <c r="N231" s="39">
        <f>'Ind T1'!D25</f>
        <v>23.620872808540213</v>
      </c>
      <c r="O231" s="39">
        <f>'Ind T1'!F25</f>
        <v>24.434399413126602</v>
      </c>
    </row>
    <row r="232" spans="1:15" x14ac:dyDescent="0.2">
      <c r="L232" t="str">
        <f>L23</f>
        <v>Business and other services</v>
      </c>
      <c r="M232" s="39">
        <f>'Ind T1'!B24</f>
        <v>27.090896380855977</v>
      </c>
      <c r="N232" s="39">
        <f>'Ind T1'!D24</f>
        <v>27.680329484623691</v>
      </c>
      <c r="O232" s="39">
        <f>'Ind T1'!F24</f>
        <v>28.151658465753655</v>
      </c>
    </row>
    <row r="233" spans="1:15" x14ac:dyDescent="0.2">
      <c r="L233" t="str">
        <f>L18</f>
        <v>Trade, accomod. and transport</v>
      </c>
      <c r="M233" s="39">
        <f>'Ind T1'!B23</f>
        <v>26.993907648221597</v>
      </c>
      <c r="N233" s="39">
        <f>'Ind T1'!D23</f>
        <v>27.93292511020918</v>
      </c>
      <c r="O233" s="39">
        <f>'Ind T1'!F23</f>
        <v>28.02571719215377</v>
      </c>
    </row>
    <row r="234" spans="1:15" x14ac:dyDescent="0.2">
      <c r="L234" t="str">
        <f>L16</f>
        <v>Construction</v>
      </c>
      <c r="M234" s="39">
        <f>'Ind T1'!B22</f>
        <v>6.424822080940304</v>
      </c>
      <c r="N234" s="39">
        <f>'Ind T1'!D22</f>
        <v>6.1519283864258059</v>
      </c>
      <c r="O234" s="39">
        <f>'Ind T1'!F22</f>
        <v>6.2988560134262572</v>
      </c>
    </row>
    <row r="235" spans="1:15" x14ac:dyDescent="0.2">
      <c r="L235" t="str">
        <f>L11</f>
        <v>Manufacturing</v>
      </c>
      <c r="M235" s="39">
        <f>'Ind T1'!B21</f>
        <v>12.332913166018031</v>
      </c>
      <c r="N235" s="39">
        <f>'Ind T1'!D21</f>
        <v>11.579094914924095</v>
      </c>
      <c r="O235" s="39">
        <f>'Ind T1'!F21</f>
        <v>10.262501125212992</v>
      </c>
    </row>
    <row r="236" spans="1:15" x14ac:dyDescent="0.2">
      <c r="L236" t="str">
        <f>L5</f>
        <v>Primary sector and utilities</v>
      </c>
      <c r="M236" s="39">
        <f>'Ind T1'!B20</f>
        <v>2.814783615313817</v>
      </c>
      <c r="N236" s="39">
        <f>'Ind T1'!D20</f>
        <v>3.0348492952770165</v>
      </c>
      <c r="O236" s="39">
        <f>'Ind T1'!F20</f>
        <v>2.8268677903267245</v>
      </c>
    </row>
    <row r="257" spans="1:16" ht="15.75" x14ac:dyDescent="0.25">
      <c r="A257" s="79" t="str">
        <f>CONCATENATE("Industry Figure 2.8  Employment trends by broad sector (SIC 2007), change in thousands, ",$M$230,"-",$O$230,", ",Info!B5)</f>
        <v>Industry Figure 2.8  Employment trends by broad sector (SIC 2007), change in thousands, 2015-2035, East Midlands</v>
      </c>
      <c r="L257" s="45" t="s">
        <v>441</v>
      </c>
    </row>
    <row r="258" spans="1:16" x14ac:dyDescent="0.2">
      <c r="L258" s="29" t="s">
        <v>420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54">L231</f>
        <v>Non-marketed services</v>
      </c>
      <c r="N261" s="11">
        <f>'Ind T1'!D12-'Ind T1'!B12</f>
        <v>14.229999999075858</v>
      </c>
      <c r="O261" s="11">
        <f>'Ind T1'!F50</f>
        <v>45.571000007027806</v>
      </c>
      <c r="P261" s="11"/>
    </row>
    <row r="262" spans="1:16" x14ac:dyDescent="0.2">
      <c r="L262" t="str">
        <f t="shared" si="54"/>
        <v>Business and other services</v>
      </c>
      <c r="N262" s="11">
        <f>'Ind T1'!D11-'Ind T1'!B11</f>
        <v>49.320999992381303</v>
      </c>
      <c r="O262" s="11">
        <f>'Ind T1'!F49</f>
        <v>41.301000005896412</v>
      </c>
      <c r="P262" s="11"/>
    </row>
    <row r="263" spans="1:16" x14ac:dyDescent="0.2">
      <c r="L263" t="str">
        <f t="shared" si="54"/>
        <v>Trade, accomod. and transport</v>
      </c>
      <c r="N263" s="11">
        <f>'Ind T1'!D10-'Ind T1'!B10</f>
        <v>57.600000003823425</v>
      </c>
      <c r="O263" s="11">
        <f>'Ind T1'!F48</f>
        <v>32.065999989441593</v>
      </c>
      <c r="P263" s="11"/>
    </row>
    <row r="264" spans="1:16" x14ac:dyDescent="0.2">
      <c r="L264" t="str">
        <f t="shared" si="54"/>
        <v>Construction</v>
      </c>
      <c r="N264" s="11">
        <f>'Ind T1'!D9-'Ind T1'!B9</f>
        <v>1.7750000021835319</v>
      </c>
      <c r="O264" s="11">
        <f>'Ind T1'!F47</f>
        <v>10.237999998552368</v>
      </c>
      <c r="P264" s="11"/>
    </row>
    <row r="265" spans="1:16" x14ac:dyDescent="0.2">
      <c r="L265" t="str">
        <f t="shared" si="54"/>
        <v>Manufacturing</v>
      </c>
      <c r="N265" s="11">
        <f>'Ind T1'!D8-'Ind T1'!B8</f>
        <v>-2.1219999983195521</v>
      </c>
      <c r="O265" s="11">
        <f>'Ind T1'!F46</f>
        <v>-20.728999999900282</v>
      </c>
      <c r="P265" s="11"/>
    </row>
    <row r="266" spans="1:16" x14ac:dyDescent="0.2">
      <c r="L266" t="str">
        <f t="shared" si="54"/>
        <v>Primary sector and utilities</v>
      </c>
      <c r="N266" s="11">
        <f>'Ind T1'!D7-'Ind T1'!B7</f>
        <v>8.9429999999661618</v>
      </c>
      <c r="O266" s="11">
        <f>'Ind T1'!F45</f>
        <v>-1.9910000000868138</v>
      </c>
    </row>
    <row r="268" spans="1:16" x14ac:dyDescent="0.2">
      <c r="L268" t="str">
        <f>L38</f>
        <v>All industries</v>
      </c>
      <c r="N268" s="11">
        <f>'Ind T1'!D14-'Ind T1'!B14</f>
        <v>129.74699999911081</v>
      </c>
      <c r="O268" s="11">
        <f>SUM(O261:O266)</f>
        <v>106.45600000093108</v>
      </c>
    </row>
  </sheetData>
  <phoneticPr fontId="4" type="noConversion"/>
  <conditionalFormatting sqref="L4:AM4 L22:AM22 L17:AM17">
    <cfRule type="cellIs" dxfId="12" priority="3" stopIfTrue="1" operator="equal">
      <formula>0</formula>
    </cfRule>
  </conditionalFormatting>
  <conditionalFormatting sqref="AQ4:BP4">
    <cfRule type="cellIs" dxfId="11" priority="2" stopIfTrue="1" operator="equal">
      <formula>0</formula>
    </cfRule>
  </conditionalFormatting>
  <conditionalFormatting sqref="BS4:CR4">
    <cfRule type="cellIs" dxfId="10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/>
  <dimension ref="A1:R1295"/>
  <sheetViews>
    <sheetView showGridLines="0" zoomScale="85" zoomScaleNormal="85" workbookViewId="0"/>
  </sheetViews>
  <sheetFormatPr defaultRowHeight="12.75" x14ac:dyDescent="0.2"/>
  <cols>
    <col min="1" max="1" width="38.42578125" customWidth="1"/>
    <col min="2" max="12" width="7.2851562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8" t="str">
        <f>CONCATENATE("Industry and Occupation Table 1  Occuptation composition (SOC2020) by gender, ",B$6,"-",J$6,", ",Info!B5)</f>
        <v>Industry and Occupation Table 1  Occuptation composition (SOC2020) by gender, 2015-2035, East Midlands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535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2">
        <v>2015</v>
      </c>
      <c r="C6" s="373"/>
      <c r="D6" s="373"/>
      <c r="E6" s="246"/>
      <c r="F6" s="372">
        <v>2020</v>
      </c>
      <c r="G6" s="372"/>
      <c r="H6" s="372"/>
      <c r="I6" s="246"/>
      <c r="J6" s="372">
        <v>2035</v>
      </c>
      <c r="K6" s="372"/>
      <c r="L6" s="372"/>
      <c r="M6" s="236"/>
      <c r="N6" s="236"/>
    </row>
    <row r="7" spans="1:14" x14ac:dyDescent="0.2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64.467229342321275</v>
      </c>
      <c r="C9" s="249">
        <f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148.49971717447161</v>
      </c>
      <c r="D9" s="249">
        <f>SUM(B9:C9)</f>
        <v>212.96694651679289</v>
      </c>
      <c r="E9" s="238"/>
      <c r="F9" s="249">
        <f>SUM(F26,F43,F60,F77,F94,F111,F128,F145,F162,F179,F196,F213,F230,F247,F264,F281,F298,F315,F332,F349,F366,F383,F400,F417,F434,F451,F468,F485,F502,F519,F536,F553,F570,F587,F604,F621,F638,F655,F672,F689,F706,F723,F740,F757,F774,F791,F808,F825,F842,F859,F876,F893,F910,F927,F944,F961,F978,F995,F1012,F1029,F1046,F1063,F1080,F1097,F1114,F1131,F1148,F1165,F1182,F1199,F1216,F1233,F1250,F1267,F1284)</f>
        <v>84.63483319057471</v>
      </c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176.96410471628653</v>
      </c>
      <c r="H9" s="249">
        <f>SUM(F9:G9)</f>
        <v>261.59893790686124</v>
      </c>
      <c r="I9" s="238"/>
      <c r="J9" s="249">
        <f>SUM(J26,J43,J60,J77,J94,J111,J128,J145,J162,J179,J196,J213,J230,J247,J264,J281,J298,J315,J332,J349,J366,J383,J400,J417,J434,J451,J468,J485,J502,J519,J536,J553,J570,J587,J604,J621,J638,J655,J672,J689,J706,J723,J740,J757,J774,J791,J808,J825,J842,J859,J876,J893,J910,J927,J944,J961,J978,J995,J1012,J1029,J1046,J1063,J1080,J1097,J1114,J1131,J1148,J1165,J1182,J1199,J1216,J1233,J1250,J1267,J1284)</f>
        <v>103.11219322742554</v>
      </c>
      <c r="K9" s="249">
        <f>SUM(K26,K43,K60,K77,K94,K111,K128,K145,K162,K179,K196,K213,K230,K247,K264,K281,K298,K315,K332,K349,K366,K383,K400,K417,K434,K451,K468,K485,K502,K519,K536,K553,K570,K587,K604,K621,K638,K655,K672,K689,K706,K723,K740,K757,K774,K791,K808,K825,K842,K859,K876,K893,K910,K927,K944,K961,K978,K995,K1012,K1029,K1046,K1063,K1080,K1097,K1114,K1131,K1148,K1165,K1182,K1199,K1216,K1233,K1250,K1267,K1284)</f>
        <v>193.23439713976077</v>
      </c>
      <c r="L9" s="249">
        <f>SUM(J9:K9)</f>
        <v>296.34659036718631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0" si="0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178.34043438395284</v>
      </c>
      <c r="C10" s="249">
        <f t="shared" si="0"/>
        <v>223.18106552077782</v>
      </c>
      <c r="D10" s="249">
        <f t="shared" ref="D10:D17" si="1">SUM(B10:C10)</f>
        <v>401.52149990473066</v>
      </c>
      <c r="E10" s="238"/>
      <c r="F10" s="249">
        <f t="shared" ref="F10:G10" si="2">SUM(F27,F44,F61,F78,F95,F112,F129,F146,F163,F180,F197,F214,F231,F248,F265,F282,F299,F316,F333,F350,F367,F384,F401,F418,F435,F452,F469,F486,F503,F520,F537,F554,F571,F588,F605,F622,F639,F656,F673,F690,F707,F724,F741,F758,F775,F792,F809,F826,F843,F860,F877,F894,F911,F928,F945,F962,F979,F996,F1013,F1030,F1047,F1064,F1081,F1098,F1115,F1132,F1149,F1166,F1183,F1200,F1217,F1234,F1251,F1268,F1285)</f>
        <v>231.13020073464151</v>
      </c>
      <c r="G10" s="249">
        <f t="shared" si="2"/>
        <v>264.36594447629636</v>
      </c>
      <c r="H10" s="249">
        <f t="shared" ref="H10:H17" si="3">SUM(F10:G10)</f>
        <v>495.49614521093787</v>
      </c>
      <c r="I10" s="238"/>
      <c r="J10" s="249">
        <f t="shared" ref="J10:K10" si="4">SUM(J27,J44,J61,J78,J95,J112,J129,J146,J163,J180,J197,J214,J231,J248,J265,J282,J299,J316,J333,J350,J367,J384,J401,J418,J435,J452,J469,J486,J503,J520,J537,J554,J571,J588,J605,J622,J639,J656,J673,J690,J707,J724,J741,J758,J775,J792,J809,J826,J843,J860,J877,J894,J911,J928,J945,J962,J979,J996,J1013,J1030,J1047,J1064,J1081,J1098,J1115,J1132,J1149,J1166,J1183,J1200,J1217,J1234,J1251,J1268,J1285)</f>
        <v>279.58543997252883</v>
      </c>
      <c r="K10" s="249">
        <f t="shared" si="4"/>
        <v>302.29681108868715</v>
      </c>
      <c r="L10" s="249">
        <f t="shared" ref="L10:L17" si="5">SUM(J10:K10)</f>
        <v>581.88225106121604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ref="B11:C11" si="6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110.26294852116723</v>
      </c>
      <c r="C11" s="249">
        <f t="shared" si="6"/>
        <v>144.22369105014852</v>
      </c>
      <c r="D11" s="249">
        <f t="shared" si="1"/>
        <v>254.48663957131575</v>
      </c>
      <c r="E11" s="238"/>
      <c r="F11" s="249">
        <f t="shared" ref="F11:G11" si="7">SUM(F28,F45,F62,F79,F96,F113,F130,F147,F164,F181,F198,F215,F232,F249,F266,F283,F300,F317,F334,F351,F368,F385,F402,F419,F436,F453,F470,F487,F504,F521,F538,F555,F572,F589,F606,F623,F640,F657,F674,F691,F708,F725,F742,F759,F776,F793,F810,F827,F844,F861,F878,F895,F912,F929,F946,F963,F980,F997,F1014,F1031,F1048,F1065,F1082,F1099,F1116,F1133,F1150,F1167,F1184,F1201,F1218,F1235,F1252,F1269,F1286)</f>
        <v>132.70348062435406</v>
      </c>
      <c r="G11" s="249">
        <f t="shared" si="7"/>
        <v>160.65779830977837</v>
      </c>
      <c r="H11" s="249">
        <f t="shared" si="3"/>
        <v>293.36127893413243</v>
      </c>
      <c r="I11" s="238"/>
      <c r="J11" s="249">
        <f t="shared" ref="J11:K11" si="8">SUM(J28,J45,J62,J79,J96,J113,J130,J147,J164,J181,J198,J215,J232,J249,J266,J283,J300,J317,J334,J351,J368,J385,J402,J419,J436,J453,J470,J487,J504,J521,J538,J555,J572,J589,J606,J623,J640,J657,J674,J691,J708,J725,J742,J759,J776,J793,J810,J827,J844,J861,J878,J895,J912,J929,J946,J963,J980,J997,J1014,J1031,J1048,J1065,J1082,J1099,J1116,J1133,J1150,J1167,J1184,J1201,J1218,J1235,J1252,J1269,J1286)</f>
        <v>151.18205033042324</v>
      </c>
      <c r="K11" s="249">
        <f t="shared" si="8"/>
        <v>152.63367437968466</v>
      </c>
      <c r="L11" s="249">
        <f t="shared" si="5"/>
        <v>303.81572471010793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ref="B12:C12" si="9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193.002846707781</v>
      </c>
      <c r="C12" s="249">
        <f t="shared" si="9"/>
        <v>49.70110259866798</v>
      </c>
      <c r="D12" s="249">
        <f t="shared" si="1"/>
        <v>242.70394930644898</v>
      </c>
      <c r="E12" s="238"/>
      <c r="F12" s="249">
        <f t="shared" ref="F12:G12" si="10">SUM(F29,F46,F63,F80,F97,F114,F131,F148,F165,F182,F199,F216,F233,F250,F267,F284,F301,F318,F335,F352,F369,F386,F403,F420,F437,F454,F471,F488,F505,F522,F539,F556,F573,F590,F607,F624,F641,F658,F675,F692,F709,F726,F743,F760,F777,F794,F811,F828,F845,F862,F879,F896,F913,F930,F947,F964,F981,F998,F1015,F1032,F1049,F1066,F1083,F1100,F1117,F1134,F1151,F1168,F1185,F1202,F1219,F1236,F1253,F1270,F1287)</f>
        <v>195.16309947849513</v>
      </c>
      <c r="G12" s="249">
        <f t="shared" si="10"/>
        <v>56.790661447985599</v>
      </c>
      <c r="H12" s="249">
        <f t="shared" si="3"/>
        <v>251.95376092648073</v>
      </c>
      <c r="I12" s="238"/>
      <c r="J12" s="249">
        <f t="shared" ref="J12:K12" si="11">SUM(J29,J46,J63,J80,J97,J114,J131,J148,J165,J182,J199,J216,J233,J250,J267,J284,J301,J318,J335,J352,J369,J386,J403,J420,J437,J454,J471,J488,J505,J522,J539,J556,J573,J590,J607,J624,J641,J658,J675,J692,J709,J726,J743,J760,J777,J794,J811,J828,J845,J862,J879,J896,J913,J930,J947,J964,J981,J998,J1015,J1032,J1049,J1066,J1083,J1100,J1117,J1134,J1151,J1168,J1185,J1202,J1219,J1236,J1253,J1270,J1287)</f>
        <v>158.88832361049163</v>
      </c>
      <c r="K12" s="249">
        <f t="shared" si="11"/>
        <v>57.866113684841224</v>
      </c>
      <c r="L12" s="249">
        <f t="shared" si="5"/>
        <v>216.75443729533285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ref="B13:C13" si="12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25.841431392251227</v>
      </c>
      <c r="C13" s="249">
        <f t="shared" si="12"/>
        <v>207.16872804314892</v>
      </c>
      <c r="D13" s="249">
        <f t="shared" si="1"/>
        <v>233.01015943540014</v>
      </c>
      <c r="E13" s="238"/>
      <c r="F13" s="249">
        <f t="shared" ref="F13:G13" si="13">SUM(F30,F47,F64,F81,F98,F115,F132,F149,F166,F183,F200,F217,F234,F251,F268,F285,F302,F319,F336,F353,F370,F387,F404,F421,F438,F455,F472,F489,F506,F523,F540,F557,F574,F591,F608,F625,F642,F659,F676,F693,F710,F727,F744,F761,F778,F795,F812,F829,F846,F863,F880,F897,F914,F931,F948,F965,F982,F999,F1016,F1033,F1050,F1067,F1084,F1101,F1118,F1135,F1152,F1169,F1186,F1203,F1220,F1237,F1254,F1271,F1288)</f>
        <v>27.87754805609773</v>
      </c>
      <c r="G13" s="249">
        <f t="shared" si="13"/>
        <v>180.92760697262153</v>
      </c>
      <c r="H13" s="249">
        <f t="shared" si="3"/>
        <v>208.80515502871927</v>
      </c>
      <c r="I13" s="238"/>
      <c r="J13" s="249">
        <f t="shared" ref="J13:K13" si="14">SUM(J30,J47,J64,J81,J98,J115,J132,J149,J166,J183,J200,J217,J234,J251,J268,J285,J302,J319,J336,J353,J370,J387,J404,J421,J438,J455,J472,J489,J506,J523,J540,J557,J574,J591,J608,J625,J642,J659,J676,J693,J710,J727,J744,J761,J778,J795,J812,J829,J846,J863,J880,J897,J914,J931,J948,J965,J982,J999,J1016,J1033,J1050,J1067,J1084,J1101,J1118,J1135,J1152,J1169,J1186,J1203,J1220,J1237,J1254,J1271,J1288)</f>
        <v>30.866966028142908</v>
      </c>
      <c r="K13" s="249">
        <f t="shared" si="14"/>
        <v>158.85779915270203</v>
      </c>
      <c r="L13" s="249">
        <f t="shared" si="5"/>
        <v>189.72476518084494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ref="B14:C14" si="15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202.80674300818339</v>
      </c>
      <c r="C14" s="249">
        <f t="shared" si="15"/>
        <v>46.094810335088567</v>
      </c>
      <c r="D14" s="249">
        <f t="shared" si="1"/>
        <v>248.90155334327196</v>
      </c>
      <c r="E14" s="238"/>
      <c r="F14" s="249">
        <f t="shared" ref="F14:G14" si="16">SUM(F31,F48,F65,F82,F99,F116,F133,F150,F167,F184,F201,F218,F235,F252,F269,F286,F303,F320,F337,F354,F371,F388,F405,F422,F439,F456,F473,F490,F507,F524,F541,F558,F575,F592,F609,F626,F643,F660,F677,F694,F711,F728,F745,F762,F779,F796,F813,F830,F847,F864,F881,F898,F915,F932,F949,F966,F983,F1000,F1017,F1034,F1051,F1068,F1085,F1102,F1119,F1136,F1153,F1170,F1187,F1204,F1221,F1238,F1255,F1272,F1289)</f>
        <v>207.63225775415421</v>
      </c>
      <c r="G14" s="249">
        <f t="shared" si="16"/>
        <v>49.068876716483004</v>
      </c>
      <c r="H14" s="249">
        <f t="shared" si="3"/>
        <v>256.70113447063721</v>
      </c>
      <c r="I14" s="238"/>
      <c r="J14" s="249">
        <f t="shared" ref="J14:K14" si="17">SUM(J31,J48,J65,J82,J99,J116,J133,J150,J167,J184,J201,J218,J235,J252,J269,J286,J303,J320,J337,J354,J371,J388,J405,J422,J439,J456,J473,J490,J507,J524,J541,J558,J575,J592,J609,J626,J643,J660,J677,J694,J711,J728,J745,J762,J779,J796,J813,J830,J847,J864,J881,J898,J915,J932,J949,J966,J983,J1000,J1017,J1034,J1051,J1068,J1085,J1102,J1119,J1136,J1153,J1170,J1187,J1204,J1221,J1238,J1255,J1272,J1289)</f>
        <v>228.64247550259932</v>
      </c>
      <c r="K14" s="249">
        <f t="shared" si="17"/>
        <v>63.365290829355871</v>
      </c>
      <c r="L14" s="249">
        <f t="shared" si="5"/>
        <v>292.00776633195517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ref="B15:C15" si="18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134.64008378559012</v>
      </c>
      <c r="C15" s="249">
        <f t="shared" si="18"/>
        <v>74.938246020932638</v>
      </c>
      <c r="D15" s="249">
        <f t="shared" si="1"/>
        <v>209.57832980652276</v>
      </c>
      <c r="E15" s="238"/>
      <c r="F15" s="249">
        <f t="shared" ref="F15:G15" si="19">SUM(F32,F49,F66,F83,F100,F117,F134,F151,F168,F185,F202,F219,F236,F253,F270,F287,F304,F321,F338,F355,F372,F389,F406,F423,F440,F457,F474,F491,F508,F525,F542,F559,F576,F593,F610,F627,F644,F661,F678,F695,F712,F729,F746,F763,F780,F797,F814,F831,F848,F865,F882,F899,F916,F933,F950,F967,F984,F1001,F1018,F1035,F1052,F1069,F1086,F1103,F1120,F1137,F1154,F1171,F1188,F1205,F1222,F1239,F1256,F1273,F1290)</f>
        <v>124.30597973703627</v>
      </c>
      <c r="G15" s="249">
        <f t="shared" si="19"/>
        <v>73.876125908480901</v>
      </c>
      <c r="H15" s="249">
        <f t="shared" si="3"/>
        <v>198.18210564551717</v>
      </c>
      <c r="I15" s="238"/>
      <c r="J15" s="249">
        <f t="shared" ref="J15:K15" si="20">SUM(J32,J49,J66,J83,J100,J117,J134,J151,J168,J185,J202,J219,J236,J253,J270,J287,J304,J321,J338,J355,J372,J389,J406,J423,J440,J457,J474,J491,J508,J525,J542,J559,J576,J593,J610,J627,J644,J661,J678,J695,J712,J729,J746,J763,J780,J797,J814,J831,J848,J865,J882,J899,J916,J933,J950,J967,J984,J1001,J1018,J1035,J1052,J1069,J1086,J1103,J1120,J1137,J1154,J1171,J1188,J1205,J1222,J1239,J1256,J1273,J1290)</f>
        <v>121.60906483000632</v>
      </c>
      <c r="K15" s="249">
        <f t="shared" si="20"/>
        <v>75.421976013337854</v>
      </c>
      <c r="L15" s="249">
        <f t="shared" si="5"/>
        <v>197.03104084334416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ref="B16:C16" si="21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28.155124791039327</v>
      </c>
      <c r="C16" s="249">
        <f t="shared" si="21"/>
        <v>161.1323146976527</v>
      </c>
      <c r="D16" s="249">
        <f t="shared" si="1"/>
        <v>189.28743948869203</v>
      </c>
      <c r="E16" s="238"/>
      <c r="F16" s="249">
        <f t="shared" ref="F16:G16" si="22">SUM(F33,F50,F67,F84,F101,F118,F135,F152,F169,F186,F203,F220,F237,F254,F271,F288,F305,F322,F339,F356,F373,F390,F407,F424,F441,F458,F475,F492,F509,F526,F543,F560,F577,F594,F611,F628,F645,F662,F679,F696,F713,F730,F747,F764,F781,F798,F815,F832,F849,F866,F883,F900,F917,F934,F951,F968,F985,F1002,F1019,F1036,F1053,F1070,F1087,F1104,F1121,F1138,F1155,F1172,F1189,F1206,F1223,F1240,F1257,F1274,F1291)</f>
        <v>25.825222543588037</v>
      </c>
      <c r="G16" s="249">
        <f t="shared" si="22"/>
        <v>162.32247876267746</v>
      </c>
      <c r="H16" s="249">
        <f t="shared" si="3"/>
        <v>188.1477013062655</v>
      </c>
      <c r="I16" s="238"/>
      <c r="J16" s="249">
        <f t="shared" ref="J16:K16" si="23">SUM(J33,J50,J67,J84,J101,J118,J135,J152,J169,J186,J203,J220,J237,J254,J271,J288,J305,J322,J339,J356,J373,J390,J407,J424,J441,J458,J475,J492,J509,J526,J543,J560,J577,J594,J611,J628,J645,J662,J679,J696,J713,J730,J747,J764,J781,J798,J815,J832,J849,J866,J883,J900,J917,J934,J951,J968,J985,J1002,J1019,J1036,J1053,J1070,J1087,J1104,J1121,J1138,J1155,J1172,J1189,J1206,J1223,J1240,J1257,J1274,J1291)</f>
        <v>36.353398886716327</v>
      </c>
      <c r="K16" s="249">
        <f t="shared" si="23"/>
        <v>169.83690143914754</v>
      </c>
      <c r="L16" s="249">
        <f t="shared" si="5"/>
        <v>206.19030032586386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ref="B17:C17" si="24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123.45915806709016</v>
      </c>
      <c r="C17" s="249">
        <f t="shared" si="24"/>
        <v>158.57532455896316</v>
      </c>
      <c r="D17" s="249">
        <f t="shared" si="1"/>
        <v>282.03448262605332</v>
      </c>
      <c r="E17" s="238"/>
      <c r="F17" s="249">
        <f t="shared" ref="F17:G17" si="25">SUM(F34,F51,F68,F85,F102,F119,F136,F153,F170,F187,F204,F221,F238,F255,F272,F289,F306,F323,F340,F357,F374,F391,F408,F425,F442,F459,F476,F493,F510,F527,F544,F561,F578,F595,F612,F629,F646,F663,F680,F697,F714,F731,F748,F765,F782,F799,F816,F833,F850,F867,F884,F901,F918,F935,F952,F969,F986,F1003,F1020,F1037,F1054,F1071,F1088,F1105,F1122,F1139,F1156,F1173,F1190,F1207,F1224,F1241,F1258,F1275,F1292)</f>
        <v>112.37337788027935</v>
      </c>
      <c r="G17" s="249">
        <f t="shared" si="25"/>
        <v>137.61840268850708</v>
      </c>
      <c r="H17" s="249">
        <f t="shared" si="3"/>
        <v>249.99178056878642</v>
      </c>
      <c r="I17" s="238"/>
      <c r="J17" s="249">
        <f t="shared" ref="J17:K17" si="26">SUM(J34,J51,J68,J85,J102,J119,J136,J153,J170,J187,J204,J221,J238,J255,J272,J289,J306,J323,J340,J357,J374,J391,J408,J425,J442,J459,J476,J493,J510,J527,J544,J561,J578,J595,J612,J629,J646,J663,J680,J697,J714,J731,J748,J765,J782,J799,J816,J833,J850,J867,J884,J901,J918,J935,J952,J969,J986,J1003,J1020,J1037,J1054,J1071,J1088,J1105,J1122,J1139,J1156,J1173,J1190,J1207,J1224,J1241,J1258,J1275,J1292)</f>
        <v>100.05308761107916</v>
      </c>
      <c r="K17" s="249">
        <f t="shared" si="26"/>
        <v>126.88803627233848</v>
      </c>
      <c r="L17" s="249">
        <f t="shared" si="5"/>
        <v>226.94112388341765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32</v>
      </c>
      <c r="B19" s="247">
        <f>SUM(B9:B17)</f>
        <v>1060.9759999993767</v>
      </c>
      <c r="C19" s="247">
        <f t="shared" ref="C19:L19" si="27">SUM(C9:C17)</f>
        <v>1213.5149999998519</v>
      </c>
      <c r="D19" s="247">
        <f t="shared" si="27"/>
        <v>2274.4909999992287</v>
      </c>
      <c r="E19" s="247"/>
      <c r="F19" s="247">
        <f t="shared" si="27"/>
        <v>1141.645999999221</v>
      </c>
      <c r="G19" s="247">
        <f t="shared" si="27"/>
        <v>1262.591999999117</v>
      </c>
      <c r="H19" s="247">
        <f t="shared" si="27"/>
        <v>2404.2379999983382</v>
      </c>
      <c r="I19" s="247"/>
      <c r="J19" s="247">
        <f t="shared" si="27"/>
        <v>1210.2929999994133</v>
      </c>
      <c r="K19" s="247">
        <f t="shared" si="27"/>
        <v>1300.4009999998555</v>
      </c>
      <c r="L19" s="247">
        <f t="shared" si="27"/>
        <v>2510.6939999992692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35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name!A4</f>
        <v>Agriculture, etc</v>
      </c>
      <c r="B23" s="372">
        <f>B$6</f>
        <v>2015</v>
      </c>
      <c r="C23" s="372"/>
      <c r="D23" s="372"/>
      <c r="E23" s="253"/>
      <c r="F23" s="372">
        <f>F$6</f>
        <v>2020</v>
      </c>
      <c r="G23" s="372"/>
      <c r="H23" s="372"/>
      <c r="I23" s="253"/>
      <c r="J23" s="372">
        <f>J$6</f>
        <v>2035</v>
      </c>
      <c r="K23" s="372"/>
      <c r="L23" s="372"/>
      <c r="M23" s="236"/>
      <c r="N23" s="236"/>
    </row>
    <row r="24" spans="1:14" x14ac:dyDescent="0.2">
      <c r="A24" s="254"/>
      <c r="B24" s="255" t="s">
        <v>352</v>
      </c>
      <c r="C24" s="255" t="s">
        <v>353</v>
      </c>
      <c r="D24" s="255" t="s">
        <v>32</v>
      </c>
      <c r="E24" s="255"/>
      <c r="F24" s="255" t="s">
        <v>352</v>
      </c>
      <c r="G24" s="255" t="s">
        <v>353</v>
      </c>
      <c r="H24" s="255" t="s">
        <v>32</v>
      </c>
      <c r="I24" s="255"/>
      <c r="J24" s="255" t="s">
        <v>352</v>
      </c>
      <c r="K24" s="255" t="s">
        <v>353</v>
      </c>
      <c r="L24" s="255" t="s">
        <v>32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0.58962893595160748</v>
      </c>
      <c r="C26" s="302">
        <v>1.381923463279161</v>
      </c>
      <c r="D26" s="302">
        <f>SUM(B26:C26)</f>
        <v>1.9715523992307684</v>
      </c>
      <c r="E26" s="303"/>
      <c r="F26" s="302">
        <v>0.93805873841625986</v>
      </c>
      <c r="G26" s="302">
        <v>3.0103506593350819</v>
      </c>
      <c r="H26" s="302">
        <f>SUM(F26:G26)</f>
        <v>3.9484093977513419</v>
      </c>
      <c r="I26" s="303"/>
      <c r="J26" s="302">
        <v>1.0358738709432282</v>
      </c>
      <c r="K26" s="302">
        <v>3.9749667725244309</v>
      </c>
      <c r="L26" s="302">
        <f>SUM(J26:K26)</f>
        <v>5.0108406434676596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0.81026502515951981</v>
      </c>
      <c r="C27" s="302">
        <v>0.78287303772174544</v>
      </c>
      <c r="D27" s="302">
        <f t="shared" ref="D27:D34" si="28">SUM(B27:C27)</f>
        <v>1.5931380628812652</v>
      </c>
      <c r="E27" s="303"/>
      <c r="F27" s="302">
        <v>1.5497701634565708</v>
      </c>
      <c r="G27" s="302">
        <v>1.8567543118043468</v>
      </c>
      <c r="H27" s="302">
        <f t="shared" ref="H27:H34" si="29">SUM(F27:G27)</f>
        <v>3.4065244752609178</v>
      </c>
      <c r="I27" s="303"/>
      <c r="J27" s="302">
        <v>1.687067493902962</v>
      </c>
      <c r="K27" s="302">
        <v>2.6079931941772134</v>
      </c>
      <c r="L27" s="302">
        <f t="shared" ref="L27:L34" si="30">SUM(J27:K27)</f>
        <v>4.2950606880801754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0.41936140345350553</v>
      </c>
      <c r="C28" s="302">
        <v>0.58258250494977482</v>
      </c>
      <c r="D28" s="302">
        <f t="shared" si="28"/>
        <v>1.0019439084032804</v>
      </c>
      <c r="E28" s="303"/>
      <c r="F28" s="302">
        <v>0.63839007060399944</v>
      </c>
      <c r="G28" s="302">
        <v>1.1752147509745563</v>
      </c>
      <c r="H28" s="302">
        <f t="shared" si="29"/>
        <v>1.8136048215785556</v>
      </c>
      <c r="I28" s="303"/>
      <c r="J28" s="302">
        <v>0.644198861774404</v>
      </c>
      <c r="K28" s="302">
        <v>1.1040006841370236</v>
      </c>
      <c r="L28" s="302">
        <f t="shared" si="30"/>
        <v>1.7481995459114277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1.5260151374237902</v>
      </c>
      <c r="C29" s="302">
        <v>0.17616123362015401</v>
      </c>
      <c r="D29" s="302">
        <f t="shared" si="28"/>
        <v>1.7021763710439441</v>
      </c>
      <c r="E29" s="303"/>
      <c r="F29" s="302">
        <v>1.28910429478913</v>
      </c>
      <c r="G29" s="302">
        <v>0.29135058491531657</v>
      </c>
      <c r="H29" s="302">
        <f t="shared" si="29"/>
        <v>1.5804548797044466</v>
      </c>
      <c r="I29" s="303"/>
      <c r="J29" s="302">
        <v>0.75017869832617767</v>
      </c>
      <c r="K29" s="302">
        <v>0.22238752524795782</v>
      </c>
      <c r="L29" s="302">
        <f t="shared" si="30"/>
        <v>0.97256622357413547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3.0406742171933763</v>
      </c>
      <c r="C30" s="302">
        <v>11.280806438221578</v>
      </c>
      <c r="D30" s="302">
        <f t="shared" si="28"/>
        <v>14.321480655414955</v>
      </c>
      <c r="E30" s="303"/>
      <c r="F30" s="302">
        <v>4.8944183845340135</v>
      </c>
      <c r="G30" s="302">
        <v>16.25186177370346</v>
      </c>
      <c r="H30" s="302">
        <f t="shared" si="29"/>
        <v>21.146280158237474</v>
      </c>
      <c r="I30" s="303"/>
      <c r="J30" s="302">
        <v>5.024747545557422</v>
      </c>
      <c r="K30" s="302">
        <v>12.962775153632736</v>
      </c>
      <c r="L30" s="302">
        <f t="shared" si="30"/>
        <v>17.987522699190158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0.73139001938193771</v>
      </c>
      <c r="C31" s="302">
        <v>0.3892657848865903</v>
      </c>
      <c r="D31" s="302">
        <f t="shared" si="28"/>
        <v>1.120655804268528</v>
      </c>
      <c r="E31" s="303"/>
      <c r="F31" s="302">
        <v>0.65303870915428586</v>
      </c>
      <c r="G31" s="302">
        <v>0.66265633380493916</v>
      </c>
      <c r="H31" s="302">
        <f t="shared" si="29"/>
        <v>1.3156950429592249</v>
      </c>
      <c r="I31" s="303"/>
      <c r="J31" s="302">
        <v>0.45245572267249534</v>
      </c>
      <c r="K31" s="302">
        <v>0.87314473150717431</v>
      </c>
      <c r="L31" s="302">
        <f t="shared" si="30"/>
        <v>1.3256004541796695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0.22403078108945942</v>
      </c>
      <c r="C32" s="302">
        <v>0.63472077995900156</v>
      </c>
      <c r="D32" s="302">
        <f t="shared" si="28"/>
        <v>0.85875156104846095</v>
      </c>
      <c r="E32" s="303"/>
      <c r="F32" s="302">
        <v>0.2417849075143032</v>
      </c>
      <c r="G32" s="302">
        <v>0.98930537557413367</v>
      </c>
      <c r="H32" s="302">
        <f t="shared" si="29"/>
        <v>1.2310902830884369</v>
      </c>
      <c r="I32" s="303"/>
      <c r="J32" s="302">
        <v>0.24170475197067401</v>
      </c>
      <c r="K32" s="302">
        <v>0.93598973392467621</v>
      </c>
      <c r="L32" s="302">
        <f t="shared" si="30"/>
        <v>1.1776944858953502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0.37505949071777467</v>
      </c>
      <c r="C33" s="302">
        <v>0.85535091867346669</v>
      </c>
      <c r="D33" s="302">
        <f t="shared" si="28"/>
        <v>1.2304104093912414</v>
      </c>
      <c r="E33" s="303"/>
      <c r="F33" s="302">
        <v>0.36985999059639646</v>
      </c>
      <c r="G33" s="302">
        <v>1.3532018851795242</v>
      </c>
      <c r="H33" s="302">
        <f t="shared" si="29"/>
        <v>1.7230618757759206</v>
      </c>
      <c r="I33" s="303"/>
      <c r="J33" s="302">
        <v>0.25816460738255914</v>
      </c>
      <c r="K33" s="302">
        <v>1.6045053618989409</v>
      </c>
      <c r="L33" s="302">
        <f t="shared" si="30"/>
        <v>1.8626699692815001</v>
      </c>
      <c r="M33" s="236"/>
      <c r="N33" s="236"/>
    </row>
    <row r="34" spans="1:18" x14ac:dyDescent="0.2">
      <c r="A34" s="237" t="str">
        <f>name!E$12</f>
        <v>Elementary occupations</v>
      </c>
      <c r="B34" s="302">
        <v>1.2455749896957564</v>
      </c>
      <c r="C34" s="302">
        <v>2.665315838527055</v>
      </c>
      <c r="D34" s="302">
        <f t="shared" si="28"/>
        <v>3.9108908282228114</v>
      </c>
      <c r="E34" s="303"/>
      <c r="F34" s="302">
        <v>0.87057474084165754</v>
      </c>
      <c r="G34" s="302">
        <v>3.6673043246214028</v>
      </c>
      <c r="H34" s="302">
        <f t="shared" si="29"/>
        <v>4.5378790654630601</v>
      </c>
      <c r="I34" s="303"/>
      <c r="J34" s="302">
        <v>0.51560844743383916</v>
      </c>
      <c r="K34" s="302">
        <v>4.0442368427331381</v>
      </c>
      <c r="L34" s="302">
        <f t="shared" si="30"/>
        <v>4.5598452901669777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32</v>
      </c>
      <c r="B36" s="311">
        <f>SUM(B26:B34)</f>
        <v>8.9620000000667268</v>
      </c>
      <c r="C36" s="311">
        <f t="shared" ref="C36:K36" si="31">SUM(C26:C34)</f>
        <v>18.748999999838524</v>
      </c>
      <c r="D36" s="311">
        <f t="shared" si="31"/>
        <v>27.710999999905255</v>
      </c>
      <c r="E36" s="311"/>
      <c r="F36" s="311">
        <f t="shared" si="31"/>
        <v>11.444999999906615</v>
      </c>
      <c r="G36" s="311">
        <f t="shared" si="31"/>
        <v>29.257999999912759</v>
      </c>
      <c r="H36" s="311">
        <f t="shared" si="31"/>
        <v>40.702999999819376</v>
      </c>
      <c r="I36" s="311"/>
      <c r="J36" s="311">
        <f t="shared" si="31"/>
        <v>10.609999999963762</v>
      </c>
      <c r="K36" s="311">
        <f t="shared" si="31"/>
        <v>28.32999999978329</v>
      </c>
      <c r="L36" s="311">
        <f>SUM(L26:L34)</f>
        <v>38.939999999747052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35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name!A5</f>
        <v>Coal, oil &amp; gas; Mining &amp; related</v>
      </c>
      <c r="B40" s="372">
        <f>B$6</f>
        <v>2015</v>
      </c>
      <c r="C40" s="372"/>
      <c r="D40" s="372"/>
      <c r="E40" s="253"/>
      <c r="F40" s="372">
        <f>F23</f>
        <v>2020</v>
      </c>
      <c r="G40" s="372"/>
      <c r="H40" s="372"/>
      <c r="I40" s="253"/>
      <c r="J40" s="372">
        <f>J23</f>
        <v>2035</v>
      </c>
      <c r="K40" s="372"/>
      <c r="L40" s="372"/>
      <c r="M40" s="236"/>
      <c r="N40" s="236"/>
    </row>
    <row r="41" spans="1:18" x14ac:dyDescent="0.2">
      <c r="A41" s="254"/>
      <c r="B41" s="255" t="s">
        <v>352</v>
      </c>
      <c r="C41" s="255" t="s">
        <v>353</v>
      </c>
      <c r="D41" s="255" t="s">
        <v>32</v>
      </c>
      <c r="E41" s="255"/>
      <c r="F41" s="255" t="s">
        <v>352</v>
      </c>
      <c r="G41" s="255" t="s">
        <v>353</v>
      </c>
      <c r="H41" s="255" t="s">
        <v>32</v>
      </c>
      <c r="I41" s="255"/>
      <c r="J41" s="255" t="s">
        <v>352</v>
      </c>
      <c r="K41" s="255" t="s">
        <v>353</v>
      </c>
      <c r="L41" s="255" t="s">
        <v>32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5.808295585410287E-2</v>
      </c>
      <c r="C43" s="302">
        <v>0.36562938869856598</v>
      </c>
      <c r="D43" s="302">
        <f>SUM(B43:C43)</f>
        <v>0.42371234455266887</v>
      </c>
      <c r="E43" s="303"/>
      <c r="F43" s="302">
        <v>5.3596650428616971E-2</v>
      </c>
      <c r="G43" s="302">
        <v>0.32584179674958408</v>
      </c>
      <c r="H43" s="302">
        <f>SUM(F43:G43)</f>
        <v>0.37943844717820108</v>
      </c>
      <c r="I43" s="303"/>
      <c r="J43" s="302">
        <v>3.3247523073923466E-2</v>
      </c>
      <c r="K43" s="302">
        <v>0.23220784044359993</v>
      </c>
      <c r="L43" s="302">
        <f>SUM(J43:K43)</f>
        <v>0.26545536351752341</v>
      </c>
      <c r="M43" s="236"/>
      <c r="N43" s="236"/>
    </row>
    <row r="44" spans="1:18" x14ac:dyDescent="0.2">
      <c r="A44" s="237" t="str">
        <f>name!E$5</f>
        <v>Professional occupations</v>
      </c>
      <c r="B44" s="302">
        <v>0.11620626300490573</v>
      </c>
      <c r="C44" s="302">
        <v>0.48801152775563178</v>
      </c>
      <c r="D44" s="302">
        <f t="shared" ref="D44:D51" si="32">SUM(B44:C44)</f>
        <v>0.6042177907605375</v>
      </c>
      <c r="E44" s="303"/>
      <c r="F44" s="302">
        <v>0.10321735318602597</v>
      </c>
      <c r="G44" s="302">
        <v>0.48642067503104841</v>
      </c>
      <c r="H44" s="302">
        <f t="shared" ref="H44:H51" si="33">SUM(F44:G44)</f>
        <v>0.58963802821707434</v>
      </c>
      <c r="I44" s="303"/>
      <c r="J44" s="302">
        <v>6.3144360183873247E-2</v>
      </c>
      <c r="K44" s="302">
        <v>0.38781908221419453</v>
      </c>
      <c r="L44" s="302">
        <f t="shared" ref="L44:L51" si="34">SUM(J44:K44)</f>
        <v>0.45096344239806779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6.6746943037610543E-2</v>
      </c>
      <c r="C45" s="302">
        <v>0.38329330846574444</v>
      </c>
      <c r="D45" s="302">
        <f t="shared" si="32"/>
        <v>0.45004025150335497</v>
      </c>
      <c r="E45" s="303"/>
      <c r="F45" s="302">
        <v>5.0694892325216713E-2</v>
      </c>
      <c r="G45" s="302">
        <v>0.35640226255824098</v>
      </c>
      <c r="H45" s="302">
        <f t="shared" si="33"/>
        <v>0.40709715488345771</v>
      </c>
      <c r="I45" s="303"/>
      <c r="J45" s="302">
        <v>2.9853665412549277E-2</v>
      </c>
      <c r="K45" s="302">
        <v>0.20995063025493338</v>
      </c>
      <c r="L45" s="302">
        <f t="shared" si="34"/>
        <v>0.23980429566748265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0.26786710688819887</v>
      </c>
      <c r="C46" s="302">
        <v>0.10053892105305608</v>
      </c>
      <c r="D46" s="302">
        <f t="shared" si="32"/>
        <v>0.36840602794125493</v>
      </c>
      <c r="E46" s="303"/>
      <c r="F46" s="302">
        <v>0.18582826428311641</v>
      </c>
      <c r="G46" s="302">
        <v>9.6227067731322433E-2</v>
      </c>
      <c r="H46" s="302">
        <f t="shared" si="33"/>
        <v>0.28205533201443883</v>
      </c>
      <c r="I46" s="303"/>
      <c r="J46" s="302">
        <v>9.037708187622176E-2</v>
      </c>
      <c r="K46" s="302">
        <v>5.5261239357547731E-2</v>
      </c>
      <c r="L46" s="302">
        <f t="shared" si="34"/>
        <v>0.14563832123376949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2.903179765368576E-2</v>
      </c>
      <c r="C47" s="302">
        <v>1.8786456787716017</v>
      </c>
      <c r="D47" s="302">
        <f t="shared" si="32"/>
        <v>1.9076774764252875</v>
      </c>
      <c r="E47" s="303"/>
      <c r="F47" s="302">
        <v>1.3629933322475647E-2</v>
      </c>
      <c r="G47" s="302">
        <v>1.2113485563740218</v>
      </c>
      <c r="H47" s="302">
        <f>SUM(F47:G47)</f>
        <v>1.2249784896964975</v>
      </c>
      <c r="I47" s="303"/>
      <c r="J47" s="302">
        <v>9.9476180333362384E-3</v>
      </c>
      <c r="K47" s="302">
        <v>0.66954890922720067</v>
      </c>
      <c r="L47" s="302">
        <f t="shared" si="34"/>
        <v>0.67949652726053689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9.2898650517020759E-2</v>
      </c>
      <c r="C48" s="302">
        <v>3.5307078348044502E-2</v>
      </c>
      <c r="D48" s="302">
        <f t="shared" si="32"/>
        <v>0.12820572886506526</v>
      </c>
      <c r="E48" s="303"/>
      <c r="F48" s="302">
        <v>4.0614618800131688E-2</v>
      </c>
      <c r="G48" s="302">
        <v>3.9565383149415732E-2</v>
      </c>
      <c r="H48" s="302">
        <f t="shared" si="33"/>
        <v>8.0180001949547414E-2</v>
      </c>
      <c r="I48" s="303"/>
      <c r="J48" s="302">
        <v>3.2841822450181843E-2</v>
      </c>
      <c r="K48" s="302">
        <v>2.7896771663830679E-2</v>
      </c>
      <c r="L48" s="302">
        <f t="shared" si="34"/>
        <v>6.0738594114012522E-2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6.781839869825472E-2</v>
      </c>
      <c r="C49" s="302">
        <v>8.4451393615660439E-2</v>
      </c>
      <c r="D49" s="302">
        <f t="shared" si="32"/>
        <v>0.15226979231391516</v>
      </c>
      <c r="E49" s="303"/>
      <c r="F49" s="302">
        <v>4.3022262092162138E-2</v>
      </c>
      <c r="G49" s="302">
        <v>7.7226432829284777E-2</v>
      </c>
      <c r="H49" s="302">
        <f t="shared" si="33"/>
        <v>0.12024869492144691</v>
      </c>
      <c r="I49" s="303"/>
      <c r="J49" s="302">
        <v>2.8970761022309957E-2</v>
      </c>
      <c r="K49" s="302">
        <v>5.0461231910178893E-2</v>
      </c>
      <c r="L49" s="302">
        <f t="shared" si="34"/>
        <v>7.9431992932488843E-2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5.7211848090670682E-2</v>
      </c>
      <c r="C50" s="302">
        <v>1.1640867187036483</v>
      </c>
      <c r="D50" s="302">
        <f t="shared" si="32"/>
        <v>1.221298566794319</v>
      </c>
      <c r="E50" s="303"/>
      <c r="F50" s="302">
        <v>2.8954020854145748E-2</v>
      </c>
      <c r="G50" s="302">
        <v>0.75446995792795479</v>
      </c>
      <c r="H50" s="302">
        <f t="shared" si="33"/>
        <v>0.78342397878210057</v>
      </c>
      <c r="I50" s="303"/>
      <c r="J50" s="302">
        <v>2.8514647531219142E-2</v>
      </c>
      <c r="K50" s="302">
        <v>0.46253469508657041</v>
      </c>
      <c r="L50" s="302">
        <f t="shared" si="34"/>
        <v>0.49104934261778954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5.8136036249186965E-2</v>
      </c>
      <c r="C51" s="302">
        <v>0.27003598454836902</v>
      </c>
      <c r="D51" s="302">
        <f t="shared" si="32"/>
        <v>0.32817202079755597</v>
      </c>
      <c r="E51" s="303"/>
      <c r="F51" s="302">
        <v>2.3442004706250501E-2</v>
      </c>
      <c r="G51" s="302">
        <v>0.17049786765537014</v>
      </c>
      <c r="H51" s="302">
        <f t="shared" si="33"/>
        <v>0.19393987236162064</v>
      </c>
      <c r="I51" s="303"/>
      <c r="J51" s="302">
        <v>1.1102520412668975E-2</v>
      </c>
      <c r="K51" s="302">
        <v>7.9319599855089171E-2</v>
      </c>
      <c r="L51" s="302">
        <f t="shared" si="34"/>
        <v>9.0422120267758144E-2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32</v>
      </c>
      <c r="B53" s="311">
        <f>SUM(B43:B51)</f>
        <v>0.81399999999363692</v>
      </c>
      <c r="C53" s="311">
        <f t="shared" ref="C53:L53" si="35">SUM(C43:C51)</f>
        <v>4.769999999960322</v>
      </c>
      <c r="D53" s="311">
        <f t="shared" si="35"/>
        <v>5.5839999999539591</v>
      </c>
      <c r="E53" s="311"/>
      <c r="F53" s="311">
        <f t="shared" si="35"/>
        <v>0.54299999999814175</v>
      </c>
      <c r="G53" s="311">
        <f t="shared" si="35"/>
        <v>3.5180000000062432</v>
      </c>
      <c r="H53" s="311">
        <f t="shared" si="35"/>
        <v>4.0610000000043849</v>
      </c>
      <c r="I53" s="311"/>
      <c r="J53" s="311">
        <f t="shared" si="35"/>
        <v>0.32799999999628388</v>
      </c>
      <c r="K53" s="311">
        <f t="shared" si="35"/>
        <v>2.1750000000131453</v>
      </c>
      <c r="L53" s="311">
        <f t="shared" si="35"/>
        <v>2.5030000000094295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35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name!A6</f>
        <v>Food products</v>
      </c>
      <c r="B57" s="372">
        <f>B$6</f>
        <v>2015</v>
      </c>
      <c r="C57" s="372"/>
      <c r="D57" s="372"/>
      <c r="E57" s="253"/>
      <c r="F57" s="372">
        <f>F40</f>
        <v>2020</v>
      </c>
      <c r="G57" s="372"/>
      <c r="H57" s="372"/>
      <c r="I57" s="253"/>
      <c r="J57" s="372">
        <f>J40</f>
        <v>2035</v>
      </c>
      <c r="K57" s="372"/>
      <c r="L57" s="372"/>
      <c r="M57" s="236"/>
      <c r="N57" s="236"/>
    </row>
    <row r="58" spans="1:14" x14ac:dyDescent="0.2">
      <c r="A58" s="254"/>
      <c r="B58" s="255" t="s">
        <v>352</v>
      </c>
      <c r="C58" s="255" t="s">
        <v>353</v>
      </c>
      <c r="D58" s="255" t="s">
        <v>32</v>
      </c>
      <c r="E58" s="255"/>
      <c r="F58" s="255" t="s">
        <v>352</v>
      </c>
      <c r="G58" s="255" t="s">
        <v>353</v>
      </c>
      <c r="H58" s="255" t="s">
        <v>32</v>
      </c>
      <c r="I58" s="255"/>
      <c r="J58" s="255" t="s">
        <v>352</v>
      </c>
      <c r="K58" s="255" t="s">
        <v>353</v>
      </c>
      <c r="L58" s="255" t="s">
        <v>32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1.5487497734664857</v>
      </c>
      <c r="C60" s="302">
        <v>3.0392411319434012</v>
      </c>
      <c r="D60" s="302">
        <f>SUM(B60:C60)</f>
        <v>4.5879909054098871</v>
      </c>
      <c r="E60" s="303"/>
      <c r="F60" s="302">
        <v>1.8188865360947648</v>
      </c>
      <c r="G60" s="302">
        <v>3.7054667124136693</v>
      </c>
      <c r="H60" s="302">
        <f>SUM(F60:G60)</f>
        <v>5.5243532485084339</v>
      </c>
      <c r="I60" s="303"/>
      <c r="J60" s="302">
        <v>2.5986362110162338</v>
      </c>
      <c r="K60" s="302">
        <v>4.3172957366309292</v>
      </c>
      <c r="L60" s="302">
        <f>SUM(J60:K60)</f>
        <v>6.915931947647163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1.9303422116781672</v>
      </c>
      <c r="C61" s="302">
        <v>2.9116479958565211</v>
      </c>
      <c r="D61" s="302">
        <f t="shared" ref="D61:D68" si="36">SUM(B61:C61)</f>
        <v>4.8419902075346881</v>
      </c>
      <c r="E61" s="303"/>
      <c r="F61" s="302">
        <v>2.5436486260794919</v>
      </c>
      <c r="G61" s="302">
        <v>3.7830839901041666</v>
      </c>
      <c r="H61" s="302">
        <f t="shared" ref="H61:H68" si="37">SUM(F61:G61)</f>
        <v>6.3267326161836586</v>
      </c>
      <c r="I61" s="303"/>
      <c r="J61" s="302">
        <v>4.08503522830169</v>
      </c>
      <c r="K61" s="302">
        <v>5.8327901504890622</v>
      </c>
      <c r="L61" s="302">
        <f t="shared" ref="L61:L68" si="38">SUM(J61:K61)</f>
        <v>9.9178253787907522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2.3258429722456624</v>
      </c>
      <c r="C62" s="302">
        <v>4.0736222406559559</v>
      </c>
      <c r="D62" s="302">
        <f t="shared" si="36"/>
        <v>6.3994652129016183</v>
      </c>
      <c r="E62" s="303"/>
      <c r="F62" s="302">
        <v>2.760319979971813</v>
      </c>
      <c r="G62" s="302">
        <v>5.3643832861629557</v>
      </c>
      <c r="H62" s="302">
        <f t="shared" si="37"/>
        <v>8.1247032661347696</v>
      </c>
      <c r="I62" s="303"/>
      <c r="J62" s="302">
        <v>3.792157251359507</v>
      </c>
      <c r="K62" s="302">
        <v>5.7750849659478467</v>
      </c>
      <c r="L62" s="302">
        <f t="shared" si="38"/>
        <v>9.5672422173073528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2.6709580079090367</v>
      </c>
      <c r="C63" s="302">
        <v>0.92494447374938094</v>
      </c>
      <c r="D63" s="302">
        <f t="shared" si="36"/>
        <v>3.5959024816584177</v>
      </c>
      <c r="E63" s="303"/>
      <c r="F63" s="302">
        <v>2.6826415858571253</v>
      </c>
      <c r="G63" s="302">
        <v>1.1275740552876887</v>
      </c>
      <c r="H63" s="302">
        <f t="shared" si="37"/>
        <v>3.810215641144814</v>
      </c>
      <c r="I63" s="303"/>
      <c r="J63" s="302">
        <v>3.1186153704777997</v>
      </c>
      <c r="K63" s="302">
        <v>1.1220730027233996</v>
      </c>
      <c r="L63" s="302">
        <f t="shared" si="38"/>
        <v>4.2406883732011993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1.9374335505791043</v>
      </c>
      <c r="C64" s="302">
        <v>5.8339511090279776</v>
      </c>
      <c r="D64" s="302">
        <f t="shared" si="36"/>
        <v>7.7713846596070821</v>
      </c>
      <c r="E64" s="303"/>
      <c r="F64" s="302">
        <v>1.4281080945797977</v>
      </c>
      <c r="G64" s="302">
        <v>4.8522285489390571</v>
      </c>
      <c r="H64" s="302">
        <f t="shared" si="37"/>
        <v>6.2803366435188543</v>
      </c>
      <c r="I64" s="303"/>
      <c r="J64" s="302">
        <v>1.3534346319301831</v>
      </c>
      <c r="K64" s="302">
        <v>5.1929270808730612</v>
      </c>
      <c r="L64" s="302">
        <f t="shared" si="38"/>
        <v>6.5463617128032441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0.20703539322404543</v>
      </c>
      <c r="C65" s="302">
        <v>0.22157925896444153</v>
      </c>
      <c r="D65" s="302">
        <f t="shared" si="36"/>
        <v>0.42861465218848693</v>
      </c>
      <c r="E65" s="303"/>
      <c r="F65" s="302">
        <v>0.18648697869573441</v>
      </c>
      <c r="G65" s="302">
        <v>0.27527592160781772</v>
      </c>
      <c r="H65" s="302">
        <f t="shared" si="37"/>
        <v>0.46176290030355216</v>
      </c>
      <c r="I65" s="303"/>
      <c r="J65" s="302">
        <v>0.19662511169983815</v>
      </c>
      <c r="K65" s="302">
        <v>0.34537801985969707</v>
      </c>
      <c r="L65" s="302">
        <f t="shared" si="38"/>
        <v>0.54200313155953528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0.54092289022729267</v>
      </c>
      <c r="C66" s="302">
        <v>0.32890588878595645</v>
      </c>
      <c r="D66" s="302">
        <f t="shared" si="36"/>
        <v>0.86982877901324906</v>
      </c>
      <c r="E66" s="303"/>
      <c r="F66" s="302">
        <v>0.52851463853479363</v>
      </c>
      <c r="G66" s="302">
        <v>0.39343220613213048</v>
      </c>
      <c r="H66" s="302">
        <f t="shared" si="37"/>
        <v>0.92194684466692411</v>
      </c>
      <c r="I66" s="303"/>
      <c r="J66" s="302">
        <v>0.65690357757966711</v>
      </c>
      <c r="K66" s="302">
        <v>0.48787969322774288</v>
      </c>
      <c r="L66" s="302">
        <f t="shared" si="38"/>
        <v>1.1447832708074099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4.1216980917808952</v>
      </c>
      <c r="C67" s="302">
        <v>11.570091140327046</v>
      </c>
      <c r="D67" s="302">
        <f t="shared" si="36"/>
        <v>15.69178923210794</v>
      </c>
      <c r="E67" s="303"/>
      <c r="F67" s="302">
        <v>3.3284221792685567</v>
      </c>
      <c r="G67" s="302">
        <v>10.474125347151439</v>
      </c>
      <c r="H67" s="302">
        <f t="shared" si="37"/>
        <v>13.802547526419996</v>
      </c>
      <c r="I67" s="303"/>
      <c r="J67" s="302">
        <v>4.8746604514194249</v>
      </c>
      <c r="K67" s="302">
        <v>13.120741426942793</v>
      </c>
      <c r="L67" s="302">
        <f t="shared" si="38"/>
        <v>17.995401878362216</v>
      </c>
      <c r="M67" s="236"/>
      <c r="N67" s="236"/>
    </row>
    <row r="68" spans="1:14" x14ac:dyDescent="0.2">
      <c r="A68" s="237" t="str">
        <f>name!E$12</f>
        <v>Elementary occupations</v>
      </c>
      <c r="B68" s="302">
        <v>4.7280171090559691</v>
      </c>
      <c r="C68" s="302">
        <v>6.7850167602969416</v>
      </c>
      <c r="D68" s="302">
        <f t="shared" si="36"/>
        <v>11.51303386935291</v>
      </c>
      <c r="E68" s="303"/>
      <c r="F68" s="302">
        <v>3.8769713810143109</v>
      </c>
      <c r="G68" s="302">
        <v>6.8254299324461076</v>
      </c>
      <c r="H68" s="302">
        <f t="shared" si="37"/>
        <v>10.702401313460419</v>
      </c>
      <c r="I68" s="303"/>
      <c r="J68" s="302">
        <v>3.918932166038684</v>
      </c>
      <c r="K68" s="302">
        <v>6.2138299236484258</v>
      </c>
      <c r="L68" s="302">
        <f t="shared" si="38"/>
        <v>10.132762089687109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32</v>
      </c>
      <c r="B70" s="311">
        <f>SUM(B60:B68)</f>
        <v>20.011000000166657</v>
      </c>
      <c r="C70" s="311">
        <f t="shared" ref="C70:L70" si="39">SUM(C60:C68)</f>
        <v>35.688999999607624</v>
      </c>
      <c r="D70" s="311">
        <f t="shared" si="39"/>
        <v>55.699999999774278</v>
      </c>
      <c r="E70" s="311"/>
      <c r="F70" s="311">
        <f t="shared" si="39"/>
        <v>19.154000000096389</v>
      </c>
      <c r="G70" s="311">
        <f t="shared" si="39"/>
        <v>36.801000000245033</v>
      </c>
      <c r="H70" s="311">
        <f t="shared" si="39"/>
        <v>55.955000000341421</v>
      </c>
      <c r="I70" s="311"/>
      <c r="J70" s="311">
        <f t="shared" si="39"/>
        <v>24.594999999823028</v>
      </c>
      <c r="K70" s="311">
        <f t="shared" si="39"/>
        <v>42.408000000342959</v>
      </c>
      <c r="L70" s="311">
        <f t="shared" si="39"/>
        <v>67.003000000165983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35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name!A7</f>
        <v>Beverages and tobacco</v>
      </c>
      <c r="B74" s="372">
        <f>B$6</f>
        <v>2015</v>
      </c>
      <c r="C74" s="372"/>
      <c r="D74" s="372"/>
      <c r="E74" s="253"/>
      <c r="F74" s="372">
        <f>F57</f>
        <v>2020</v>
      </c>
      <c r="G74" s="372"/>
      <c r="H74" s="372"/>
      <c r="I74" s="253"/>
      <c r="J74" s="372">
        <f>J57</f>
        <v>2035</v>
      </c>
      <c r="K74" s="372"/>
      <c r="L74" s="372"/>
      <c r="M74" s="236"/>
      <c r="N74" s="236"/>
    </row>
    <row r="75" spans="1:14" x14ac:dyDescent="0.2">
      <c r="A75" s="254"/>
      <c r="B75" s="255" t="s">
        <v>352</v>
      </c>
      <c r="C75" s="255" t="s">
        <v>353</v>
      </c>
      <c r="D75" s="255" t="s">
        <v>32</v>
      </c>
      <c r="E75" s="255"/>
      <c r="F75" s="255" t="s">
        <v>352</v>
      </c>
      <c r="G75" s="255" t="s">
        <v>353</v>
      </c>
      <c r="H75" s="255" t="s">
        <v>32</v>
      </c>
      <c r="I75" s="255"/>
      <c r="J75" s="255" t="s">
        <v>352</v>
      </c>
      <c r="K75" s="255" t="s">
        <v>353</v>
      </c>
      <c r="L75" s="255" t="s">
        <v>32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3.1864536536096215E-2</v>
      </c>
      <c r="C77" s="302">
        <v>0.17336217053775055</v>
      </c>
      <c r="D77" s="302">
        <f>SUM(B77:C77)</f>
        <v>0.20522670707384677</v>
      </c>
      <c r="E77" s="303"/>
      <c r="F77" s="302">
        <v>1.7400132154908692E-2</v>
      </c>
      <c r="G77" s="302">
        <v>0.14363778466772864</v>
      </c>
      <c r="H77" s="302">
        <f>SUM(F77:G77)</f>
        <v>0.16103791682263732</v>
      </c>
      <c r="I77" s="303"/>
      <c r="J77" s="302">
        <v>1.999611469549354E-2</v>
      </c>
      <c r="K77" s="302">
        <v>0.15072159374564734</v>
      </c>
      <c r="L77" s="302">
        <f>SUM(J77:K77)</f>
        <v>0.17071770844114087</v>
      </c>
      <c r="M77" s="236"/>
      <c r="N77" s="236"/>
    </row>
    <row r="78" spans="1:14" x14ac:dyDescent="0.2">
      <c r="A78" s="237" t="str">
        <f>name!E$5</f>
        <v>Professional occupations</v>
      </c>
      <c r="B78" s="302">
        <v>4.6993662068981465E-2</v>
      </c>
      <c r="C78" s="302">
        <v>0.27518669526060707</v>
      </c>
      <c r="D78" s="302">
        <f t="shared" ref="D78:D85" si="40">SUM(B78:C78)</f>
        <v>0.32218035732958855</v>
      </c>
      <c r="E78" s="303"/>
      <c r="F78" s="302">
        <v>2.7555827612171881E-2</v>
      </c>
      <c r="G78" s="302">
        <v>0.2488677577781816</v>
      </c>
      <c r="H78" s="302">
        <f t="shared" ref="H78:H85" si="41">SUM(F78:G78)</f>
        <v>0.2764235853903535</v>
      </c>
      <c r="I78" s="303"/>
      <c r="J78" s="302">
        <v>3.4535396848277909E-2</v>
      </c>
      <c r="K78" s="302">
        <v>0.35706867319247759</v>
      </c>
      <c r="L78" s="302">
        <f t="shared" ref="L78:L85" si="42">SUM(J78:K78)</f>
        <v>0.39160407004075548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7.4595989772363619E-2</v>
      </c>
      <c r="C79" s="302">
        <v>0.30169928097149923</v>
      </c>
      <c r="D79" s="302">
        <f t="shared" si="40"/>
        <v>0.37629527074386282</v>
      </c>
      <c r="E79" s="303"/>
      <c r="F79" s="302">
        <v>3.524508076586283E-2</v>
      </c>
      <c r="G79" s="302">
        <v>0.26575037527934298</v>
      </c>
      <c r="H79" s="302">
        <f t="shared" si="41"/>
        <v>0.30099545604520583</v>
      </c>
      <c r="I79" s="303"/>
      <c r="J79" s="302">
        <v>3.9962512787518591E-2</v>
      </c>
      <c r="K79" s="302">
        <v>0.29885670781284296</v>
      </c>
      <c r="L79" s="302">
        <f t="shared" si="42"/>
        <v>0.33881922060036157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8.5290551598450434E-2</v>
      </c>
      <c r="C80" s="302">
        <v>6.3675413985666021E-2</v>
      </c>
      <c r="D80" s="302">
        <f t="shared" si="40"/>
        <v>0.14896596558411646</v>
      </c>
      <c r="E80" s="303"/>
      <c r="F80" s="302">
        <v>3.2880269493984191E-2</v>
      </c>
      <c r="G80" s="302">
        <v>4.7604730326738648E-2</v>
      </c>
      <c r="H80" s="302">
        <f t="shared" si="41"/>
        <v>8.0484999820722838E-2</v>
      </c>
      <c r="I80" s="303"/>
      <c r="J80" s="302">
        <v>3.6409197737530846E-2</v>
      </c>
      <c r="K80" s="302">
        <v>6.8109242920814272E-2</v>
      </c>
      <c r="L80" s="302">
        <f t="shared" si="42"/>
        <v>0.10451844065834512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1.1314410376351142E-2</v>
      </c>
      <c r="C81" s="302">
        <v>0.11404303784514197</v>
      </c>
      <c r="D81" s="302">
        <f t="shared" si="40"/>
        <v>0.12535744822149311</v>
      </c>
      <c r="E81" s="303"/>
      <c r="F81" s="302">
        <v>4.2878098659568185E-3</v>
      </c>
      <c r="G81" s="302">
        <v>6.5178676707917632E-2</v>
      </c>
      <c r="H81" s="302">
        <f t="shared" si="41"/>
        <v>6.9466486573874456E-2</v>
      </c>
      <c r="I81" s="303"/>
      <c r="J81" s="302">
        <v>7.2110062364862948E-3</v>
      </c>
      <c r="K81" s="302">
        <v>5.2542066661945351E-2</v>
      </c>
      <c r="L81" s="302">
        <f t="shared" si="42"/>
        <v>5.9753072898431646E-2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4.8269319554896488E-2</v>
      </c>
      <c r="C82" s="302">
        <v>2.9652447962912366E-2</v>
      </c>
      <c r="D82" s="302">
        <f t="shared" si="40"/>
        <v>7.7921767517808854E-2</v>
      </c>
      <c r="E82" s="303"/>
      <c r="F82" s="302">
        <v>1.7021245264071304E-2</v>
      </c>
      <c r="G82" s="302">
        <v>2.3787285197609861E-2</v>
      </c>
      <c r="H82" s="302">
        <f t="shared" si="41"/>
        <v>4.0808530461681161E-2</v>
      </c>
      <c r="I82" s="303"/>
      <c r="J82" s="302">
        <v>1.6488499412626305E-2</v>
      </c>
      <c r="K82" s="302">
        <v>4.0966793261936432E-2</v>
      </c>
      <c r="L82" s="302">
        <f t="shared" si="42"/>
        <v>5.7455292674562737E-2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3.2396223689237863E-2</v>
      </c>
      <c r="C83" s="302">
        <v>3.0686570143112653E-2</v>
      </c>
      <c r="D83" s="302">
        <f t="shared" si="40"/>
        <v>6.308279383235052E-2</v>
      </c>
      <c r="E83" s="303"/>
      <c r="F83" s="302">
        <v>1.2713338525440406E-2</v>
      </c>
      <c r="G83" s="302">
        <v>1.9795832851717911E-2</v>
      </c>
      <c r="H83" s="302">
        <f t="shared" si="41"/>
        <v>3.2509171377158315E-2</v>
      </c>
      <c r="I83" s="303"/>
      <c r="J83" s="302">
        <v>1.286911507357387E-2</v>
      </c>
      <c r="K83" s="302">
        <v>2.2035371790178098E-2</v>
      </c>
      <c r="L83" s="302">
        <f t="shared" si="42"/>
        <v>3.4904486863751971E-2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3.5403950840597657E-2</v>
      </c>
      <c r="C84" s="302">
        <v>0.21409444095742383</v>
      </c>
      <c r="D84" s="302">
        <f t="shared" si="40"/>
        <v>0.2494983917980215</v>
      </c>
      <c r="E84" s="303"/>
      <c r="F84" s="302">
        <v>1.3561060262531229E-2</v>
      </c>
      <c r="G84" s="302">
        <v>0.12372349266342531</v>
      </c>
      <c r="H84" s="302">
        <f t="shared" si="41"/>
        <v>0.13728455292595654</v>
      </c>
      <c r="I84" s="303"/>
      <c r="J84" s="302">
        <v>4.3055995231214214E-2</v>
      </c>
      <c r="K84" s="302">
        <v>0.12570836648278771</v>
      </c>
      <c r="L84" s="302">
        <f t="shared" si="42"/>
        <v>0.16876436171400194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0.10987135556848537</v>
      </c>
      <c r="C85" s="302">
        <v>0.12859994233331012</v>
      </c>
      <c r="D85" s="302">
        <f t="shared" si="40"/>
        <v>0.2384712979017955</v>
      </c>
      <c r="E85" s="303"/>
      <c r="F85" s="302">
        <v>3.0335236056521424E-2</v>
      </c>
      <c r="G85" s="302">
        <v>7.1654064524926661E-2</v>
      </c>
      <c r="H85" s="302">
        <f t="shared" si="41"/>
        <v>0.10198930058144809</v>
      </c>
      <c r="I85" s="303"/>
      <c r="J85" s="302">
        <v>2.347216197607355E-2</v>
      </c>
      <c r="K85" s="302">
        <v>5.29911841307808E-2</v>
      </c>
      <c r="L85" s="302">
        <f t="shared" si="42"/>
        <v>7.6463346106854346E-2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32</v>
      </c>
      <c r="B87" s="311">
        <f>SUM(B77:B85)</f>
        <v>0.47600000000546028</v>
      </c>
      <c r="C87" s="311">
        <f t="shared" ref="C87:D87" si="43">SUM(C77:C85)</f>
        <v>1.3309999999974238</v>
      </c>
      <c r="D87" s="311">
        <f t="shared" si="43"/>
        <v>1.8070000000028843</v>
      </c>
      <c r="E87" s="311"/>
      <c r="F87" s="311">
        <f t="shared" ref="F87:H87" si="44">SUM(F77:F85)</f>
        <v>0.19100000000144876</v>
      </c>
      <c r="G87" s="311">
        <f t="shared" si="44"/>
        <v>1.0099999999975893</v>
      </c>
      <c r="H87" s="311">
        <f t="shared" si="44"/>
        <v>1.2009999999990382</v>
      </c>
      <c r="I87" s="311"/>
      <c r="J87" s="311">
        <f t="shared" ref="J87:L87" si="45">SUM(J77:J85)</f>
        <v>0.23399999999879512</v>
      </c>
      <c r="K87" s="311">
        <f t="shared" si="45"/>
        <v>1.1689999999994107</v>
      </c>
      <c r="L87" s="311">
        <f t="shared" si="45"/>
        <v>1.4029999999982059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35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name!A8</f>
        <v>Textiles</v>
      </c>
      <c r="B91" s="372">
        <f>B$6</f>
        <v>2015</v>
      </c>
      <c r="C91" s="372"/>
      <c r="D91" s="372"/>
      <c r="E91" s="253"/>
      <c r="F91" s="372">
        <f>F74</f>
        <v>2020</v>
      </c>
      <c r="G91" s="372"/>
      <c r="H91" s="372"/>
      <c r="I91" s="253"/>
      <c r="J91" s="372">
        <f>J74</f>
        <v>2035</v>
      </c>
      <c r="K91" s="372"/>
      <c r="L91" s="372"/>
      <c r="M91" s="236"/>
      <c r="N91" s="236"/>
    </row>
    <row r="92" spans="1:14" x14ac:dyDescent="0.2">
      <c r="A92" s="254"/>
      <c r="B92" s="255" t="s">
        <v>352</v>
      </c>
      <c r="C92" s="255" t="s">
        <v>353</v>
      </c>
      <c r="D92" s="255" t="s">
        <v>32</v>
      </c>
      <c r="E92" s="255"/>
      <c r="F92" s="255" t="s">
        <v>352</v>
      </c>
      <c r="G92" s="255" t="s">
        <v>353</v>
      </c>
      <c r="H92" s="255" t="s">
        <v>32</v>
      </c>
      <c r="I92" s="255"/>
      <c r="J92" s="255" t="s">
        <v>352</v>
      </c>
      <c r="K92" s="255" t="s">
        <v>353</v>
      </c>
      <c r="L92" s="255" t="s">
        <v>32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8.7820262576641939E-2</v>
      </c>
      <c r="C94" s="302">
        <v>0.60924741768748458</v>
      </c>
      <c r="D94" s="302">
        <f>SUM(B94:C94)</f>
        <v>0.69706768026412647</v>
      </c>
      <c r="E94" s="303"/>
      <c r="F94" s="302">
        <v>0.21991406623421014</v>
      </c>
      <c r="G94" s="302">
        <v>1.4726223647203478</v>
      </c>
      <c r="H94" s="302">
        <f>SUM(F94:G94)</f>
        <v>1.6925364309545579</v>
      </c>
      <c r="I94" s="303"/>
      <c r="J94" s="302">
        <v>0.18012969137786389</v>
      </c>
      <c r="K94" s="302">
        <v>1.132049726849244</v>
      </c>
      <c r="L94" s="302">
        <f>SUM(J94:K94)</f>
        <v>1.3121794182271078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6.9429933894935264E-2</v>
      </c>
      <c r="C95" s="302">
        <v>0.2721318214264799</v>
      </c>
      <c r="D95" s="302">
        <f t="shared" ref="D95:D102" si="46">SUM(B95:C95)</f>
        <v>0.34156175532141519</v>
      </c>
      <c r="E95" s="303"/>
      <c r="F95" s="302">
        <v>0.19703529512195006</v>
      </c>
      <c r="G95" s="302">
        <v>0.75347415536557127</v>
      </c>
      <c r="H95" s="302">
        <f t="shared" ref="H95:H102" si="47">SUM(F95:G95)</f>
        <v>0.95050945048752133</v>
      </c>
      <c r="I95" s="303"/>
      <c r="J95" s="302">
        <v>0.16427602724459742</v>
      </c>
      <c r="K95" s="302">
        <v>0.680909482362691</v>
      </c>
      <c r="L95" s="302">
        <f t="shared" ref="L95:L102" si="48">SUM(J95:K95)</f>
        <v>0.84518550960728844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0.15359464791350697</v>
      </c>
      <c r="C96" s="302">
        <v>0.22530835530546464</v>
      </c>
      <c r="D96" s="302">
        <f t="shared" si="46"/>
        <v>0.37890300321897163</v>
      </c>
      <c r="E96" s="303"/>
      <c r="F96" s="302">
        <v>0.35659493248755747</v>
      </c>
      <c r="G96" s="302">
        <v>0.62421776764402603</v>
      </c>
      <c r="H96" s="302">
        <f t="shared" si="47"/>
        <v>0.9808127001315835</v>
      </c>
      <c r="I96" s="303"/>
      <c r="J96" s="302">
        <v>0.24876643982482957</v>
      </c>
      <c r="K96" s="302">
        <v>0.43477854814430755</v>
      </c>
      <c r="L96" s="302">
        <f t="shared" si="48"/>
        <v>0.6835449879691371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0.26859313507792304</v>
      </c>
      <c r="C97" s="302">
        <v>0.13937650701000465</v>
      </c>
      <c r="D97" s="302">
        <f t="shared" si="46"/>
        <v>0.40796964208792769</v>
      </c>
      <c r="E97" s="303"/>
      <c r="F97" s="302">
        <v>0.64354994867125004</v>
      </c>
      <c r="G97" s="302">
        <v>0.34758041678876822</v>
      </c>
      <c r="H97" s="302">
        <f t="shared" si="47"/>
        <v>0.99113036546001831</v>
      </c>
      <c r="I97" s="303"/>
      <c r="J97" s="302">
        <v>0.4222632702711635</v>
      </c>
      <c r="K97" s="302">
        <v>0.25123687201140155</v>
      </c>
      <c r="L97" s="302">
        <f t="shared" si="48"/>
        <v>0.67350014228256505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0.31094848177636364</v>
      </c>
      <c r="C98" s="302">
        <v>0.93918206032523743</v>
      </c>
      <c r="D98" s="302">
        <f t="shared" si="46"/>
        <v>1.2501305421016011</v>
      </c>
      <c r="E98" s="303"/>
      <c r="F98" s="302">
        <v>0.45810086885768125</v>
      </c>
      <c r="G98" s="302">
        <v>1.5874210091722487</v>
      </c>
      <c r="H98" s="302">
        <f t="shared" si="47"/>
        <v>2.04552187802993</v>
      </c>
      <c r="I98" s="303"/>
      <c r="J98" s="302">
        <v>0.25627579376763199</v>
      </c>
      <c r="K98" s="302">
        <v>0.99291456926216348</v>
      </c>
      <c r="L98" s="302">
        <f t="shared" si="48"/>
        <v>1.2491903630297956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2.3564046473346124E-2</v>
      </c>
      <c r="C99" s="302">
        <v>1.1642059092546337E-2</v>
      </c>
      <c r="D99" s="302">
        <f t="shared" si="46"/>
        <v>3.5206105565892459E-2</v>
      </c>
      <c r="E99" s="303"/>
      <c r="F99" s="302">
        <v>5.0199715652742602E-2</v>
      </c>
      <c r="G99" s="302">
        <v>3.7452636103545406E-2</v>
      </c>
      <c r="H99" s="302">
        <f t="shared" si="47"/>
        <v>8.7652351756288008E-2</v>
      </c>
      <c r="I99" s="303"/>
      <c r="J99" s="302">
        <v>3.6509165415123446E-2</v>
      </c>
      <c r="K99" s="302">
        <v>3.2319452978663295E-2</v>
      </c>
      <c r="L99" s="302">
        <f t="shared" si="48"/>
        <v>6.8828618393786734E-2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9.5650007181536753E-2</v>
      </c>
      <c r="C100" s="302">
        <v>7.7065480762762317E-2</v>
      </c>
      <c r="D100" s="302">
        <f t="shared" si="46"/>
        <v>0.17271548794429908</v>
      </c>
      <c r="E100" s="303"/>
      <c r="F100" s="302">
        <v>0.19254196955236394</v>
      </c>
      <c r="G100" s="302">
        <v>0.21309497109905925</v>
      </c>
      <c r="H100" s="302">
        <f t="shared" si="47"/>
        <v>0.40563694065142319</v>
      </c>
      <c r="I100" s="303"/>
      <c r="J100" s="302">
        <v>0.1399328893111538</v>
      </c>
      <c r="K100" s="302">
        <v>0.16967870455259373</v>
      </c>
      <c r="L100" s="302">
        <f t="shared" si="48"/>
        <v>0.30961159386374754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0.70261367174676881</v>
      </c>
      <c r="C101" s="302">
        <v>1.1403009913830326</v>
      </c>
      <c r="D101" s="302">
        <f t="shared" si="46"/>
        <v>1.8429146631298015</v>
      </c>
      <c r="E101" s="303"/>
      <c r="F101" s="302">
        <v>1.2860534374807981</v>
      </c>
      <c r="G101" s="302">
        <v>2.1738994141498673</v>
      </c>
      <c r="H101" s="302">
        <f t="shared" si="47"/>
        <v>3.4599528516306655</v>
      </c>
      <c r="I101" s="303"/>
      <c r="J101" s="302">
        <v>1.1576426326086602</v>
      </c>
      <c r="K101" s="302">
        <v>1.8833332791111375</v>
      </c>
      <c r="L101" s="302">
        <f t="shared" si="48"/>
        <v>3.0409759117197979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0.1977858133908382</v>
      </c>
      <c r="C102" s="302">
        <v>0.3647453069748961</v>
      </c>
      <c r="D102" s="302">
        <f t="shared" si="46"/>
        <v>0.56253112036573427</v>
      </c>
      <c r="E102" s="303"/>
      <c r="F102" s="302">
        <v>0.28900976594889927</v>
      </c>
      <c r="G102" s="302">
        <v>0.73023726498265329</v>
      </c>
      <c r="H102" s="302">
        <f t="shared" si="47"/>
        <v>1.0192470309315524</v>
      </c>
      <c r="I102" s="303"/>
      <c r="J102" s="302">
        <v>0.17220409015685861</v>
      </c>
      <c r="K102" s="302">
        <v>0.38877936476418518</v>
      </c>
      <c r="L102" s="302">
        <f t="shared" si="48"/>
        <v>0.56098345492104373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32</v>
      </c>
      <c r="B104" s="311">
        <f>SUM(B94:B102)</f>
        <v>1.9100000000318607</v>
      </c>
      <c r="C104" s="311">
        <f t="shared" ref="C104:D104" si="49">SUM(C94:C102)</f>
        <v>3.7789999999679083</v>
      </c>
      <c r="D104" s="311">
        <f t="shared" si="49"/>
        <v>5.6889999999997691</v>
      </c>
      <c r="E104" s="311"/>
      <c r="F104" s="311">
        <f t="shared" ref="F104:H104" si="50">SUM(F94:F102)</f>
        <v>3.6930000000074532</v>
      </c>
      <c r="G104" s="311">
        <f t="shared" si="50"/>
        <v>7.9400000000260871</v>
      </c>
      <c r="H104" s="311">
        <f t="shared" si="50"/>
        <v>11.63300000003354</v>
      </c>
      <c r="I104" s="311"/>
      <c r="J104" s="311">
        <f t="shared" ref="J104:L104" si="51">SUM(J94:J102)</f>
        <v>2.7779999999778822</v>
      </c>
      <c r="K104" s="311">
        <f t="shared" si="51"/>
        <v>5.9660000000363871</v>
      </c>
      <c r="L104" s="311">
        <f t="shared" si="51"/>
        <v>8.744000000014271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35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name!A9</f>
        <v>Wearing apparel; Leather, etc</v>
      </c>
      <c r="B108" s="372">
        <f>B$6</f>
        <v>2015</v>
      </c>
      <c r="C108" s="372"/>
      <c r="D108" s="372"/>
      <c r="E108" s="253"/>
      <c r="F108" s="372">
        <f>F91</f>
        <v>2020</v>
      </c>
      <c r="G108" s="372"/>
      <c r="H108" s="372"/>
      <c r="I108" s="253"/>
      <c r="J108" s="372">
        <f>J91</f>
        <v>2035</v>
      </c>
      <c r="K108" s="372"/>
      <c r="L108" s="372"/>
      <c r="M108" s="236"/>
      <c r="N108" s="236"/>
    </row>
    <row r="109" spans="1:14" x14ac:dyDescent="0.2">
      <c r="A109" s="254"/>
      <c r="B109" s="255" t="s">
        <v>352</v>
      </c>
      <c r="C109" s="255" t="s">
        <v>353</v>
      </c>
      <c r="D109" s="255" t="s">
        <v>32</v>
      </c>
      <c r="E109" s="255"/>
      <c r="F109" s="255" t="s">
        <v>352</v>
      </c>
      <c r="G109" s="255" t="s">
        <v>353</v>
      </c>
      <c r="H109" s="255" t="s">
        <v>32</v>
      </c>
      <c r="I109" s="255"/>
      <c r="J109" s="255" t="s">
        <v>352</v>
      </c>
      <c r="K109" s="255" t="s">
        <v>353</v>
      </c>
      <c r="L109" s="255" t="s">
        <v>32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0.39938369950334363</v>
      </c>
      <c r="C111" s="302">
        <v>0.3888554583928604</v>
      </c>
      <c r="D111" s="302">
        <f>SUM(B111:C111)</f>
        <v>0.78823915789620402</v>
      </c>
      <c r="E111" s="303"/>
      <c r="F111" s="302">
        <v>0.63224693636114582</v>
      </c>
      <c r="G111" s="302">
        <v>0.87143836436529232</v>
      </c>
      <c r="H111" s="302">
        <f>SUM(F111:G111)</f>
        <v>1.5036853007264381</v>
      </c>
      <c r="I111" s="303"/>
      <c r="J111" s="302">
        <v>0.46258164796856421</v>
      </c>
      <c r="K111" s="302">
        <v>0.68588112345758223</v>
      </c>
      <c r="L111" s="302">
        <f>SUM(J111:K111)</f>
        <v>1.1484627714261464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0.40373503944211603</v>
      </c>
      <c r="C112" s="302">
        <v>0.2475120418022678</v>
      </c>
      <c r="D112" s="302">
        <f t="shared" ref="D112:D119" si="52">SUM(B112:C112)</f>
        <v>0.6512470812443838</v>
      </c>
      <c r="E112" s="303"/>
      <c r="F112" s="302">
        <v>1.5497647687102549</v>
      </c>
      <c r="G112" s="302">
        <v>0.49109342886535701</v>
      </c>
      <c r="H112" s="302">
        <f t="shared" ref="H112:H119" si="53">SUM(F112:G112)</f>
        <v>2.0408581975756119</v>
      </c>
      <c r="I112" s="303"/>
      <c r="J112" s="302">
        <v>1.5381558348876214</v>
      </c>
      <c r="K112" s="302">
        <v>0.40748872102179995</v>
      </c>
      <c r="L112" s="302">
        <f t="shared" ref="L112:L119" si="54">SUM(J112:K112)</f>
        <v>1.9456445559094213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0.70255589282157482</v>
      </c>
      <c r="C113" s="302">
        <v>0.18219149421315933</v>
      </c>
      <c r="D113" s="302">
        <f t="shared" si="52"/>
        <v>0.88474738703473421</v>
      </c>
      <c r="E113" s="303"/>
      <c r="F113" s="302">
        <v>1.0764892314601213</v>
      </c>
      <c r="G113" s="302">
        <v>0.45455673830698068</v>
      </c>
      <c r="H113" s="302">
        <f t="shared" si="53"/>
        <v>1.5310459697671019</v>
      </c>
      <c r="I113" s="303"/>
      <c r="J113" s="302">
        <v>0.75957889603105677</v>
      </c>
      <c r="K113" s="302">
        <v>0.25760761724039832</v>
      </c>
      <c r="L113" s="302">
        <f t="shared" si="54"/>
        <v>1.017186513271455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1.178087238315199</v>
      </c>
      <c r="C114" s="302">
        <v>0.12480861766922977</v>
      </c>
      <c r="D114" s="302">
        <f t="shared" si="52"/>
        <v>1.3028958559844288</v>
      </c>
      <c r="E114" s="303"/>
      <c r="F114" s="302">
        <v>1.4655318268793229</v>
      </c>
      <c r="G114" s="302">
        <v>0.25646395860558602</v>
      </c>
      <c r="H114" s="302">
        <f t="shared" si="53"/>
        <v>1.7219957854849088</v>
      </c>
      <c r="I114" s="303"/>
      <c r="J114" s="302">
        <v>0.85577684490598382</v>
      </c>
      <c r="K114" s="302">
        <v>0.23256073348897863</v>
      </c>
      <c r="L114" s="302">
        <f t="shared" si="54"/>
        <v>1.0883375783949625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0.87701099833048768</v>
      </c>
      <c r="C115" s="302">
        <v>0.8532205491806506</v>
      </c>
      <c r="D115" s="302">
        <f t="shared" si="52"/>
        <v>1.7302315475111383</v>
      </c>
      <c r="E115" s="303"/>
      <c r="F115" s="302">
        <v>0.76054429619515063</v>
      </c>
      <c r="G115" s="302">
        <v>1.3553760414099072</v>
      </c>
      <c r="H115" s="302">
        <f t="shared" si="53"/>
        <v>2.1159203376050577</v>
      </c>
      <c r="I115" s="303"/>
      <c r="J115" s="302">
        <v>0.34532388538038972</v>
      </c>
      <c r="K115" s="302">
        <v>0.88009133210812507</v>
      </c>
      <c r="L115" s="302">
        <f t="shared" si="54"/>
        <v>1.2254152174885147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8.6692615079121585E-2</v>
      </c>
      <c r="C116" s="302">
        <v>3.9577007889637507E-2</v>
      </c>
      <c r="D116" s="302">
        <f t="shared" si="52"/>
        <v>0.1262696229687591</v>
      </c>
      <c r="E116" s="303"/>
      <c r="F116" s="302">
        <v>0.64040920772785204</v>
      </c>
      <c r="G116" s="302">
        <v>9.1799076727899442E-2</v>
      </c>
      <c r="H116" s="302">
        <f t="shared" si="53"/>
        <v>0.73220828445575148</v>
      </c>
      <c r="I116" s="303"/>
      <c r="J116" s="302">
        <v>0.71062621783431668</v>
      </c>
      <c r="K116" s="302">
        <v>8.5657013196470594E-2</v>
      </c>
      <c r="L116" s="302">
        <f t="shared" si="54"/>
        <v>0.79628323103078724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0.30061867977860723</v>
      </c>
      <c r="C117" s="302">
        <v>5.2959772564254243E-2</v>
      </c>
      <c r="D117" s="302">
        <f t="shared" si="52"/>
        <v>0.35357845234286145</v>
      </c>
      <c r="E117" s="303"/>
      <c r="F117" s="302">
        <v>0.52111605931278515</v>
      </c>
      <c r="G117" s="302">
        <v>0.11212090444494456</v>
      </c>
      <c r="H117" s="302">
        <f t="shared" si="53"/>
        <v>0.63323696375772975</v>
      </c>
      <c r="I117" s="303"/>
      <c r="J117" s="302">
        <v>0.40894110457406418</v>
      </c>
      <c r="K117" s="302">
        <v>8.6797951751637681E-2</v>
      </c>
      <c r="L117" s="302">
        <f t="shared" si="54"/>
        <v>0.49573905632570187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2.0714966850157226</v>
      </c>
      <c r="C118" s="302">
        <v>1.1178229355350475</v>
      </c>
      <c r="D118" s="302">
        <f t="shared" si="52"/>
        <v>3.1893196205507701</v>
      </c>
      <c r="E118" s="303"/>
      <c r="F118" s="302">
        <v>1.4180919629799604</v>
      </c>
      <c r="G118" s="302">
        <v>2.1331198681663226</v>
      </c>
      <c r="H118" s="302">
        <f t="shared" si="53"/>
        <v>3.5512118311462828</v>
      </c>
      <c r="I118" s="303"/>
      <c r="J118" s="302">
        <v>1.0712576583469082</v>
      </c>
      <c r="K118" s="302">
        <v>1.9290484518987694</v>
      </c>
      <c r="L118" s="302">
        <f t="shared" si="54"/>
        <v>3.0003061102456776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0.87941915179296015</v>
      </c>
      <c r="C119" s="302">
        <v>0.79605212271379588</v>
      </c>
      <c r="D119" s="302">
        <f t="shared" si="52"/>
        <v>1.6754712745067559</v>
      </c>
      <c r="E119" s="303"/>
      <c r="F119" s="302">
        <v>1.1238057104456438</v>
      </c>
      <c r="G119" s="302">
        <v>1.1180316191495507</v>
      </c>
      <c r="H119" s="302">
        <f t="shared" si="53"/>
        <v>2.2418373295951946</v>
      </c>
      <c r="I119" s="303"/>
      <c r="J119" s="302">
        <v>0.77575791004994377</v>
      </c>
      <c r="K119" s="302">
        <v>0.71186705586570309</v>
      </c>
      <c r="L119" s="302">
        <f t="shared" si="54"/>
        <v>1.4876249659156469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32</v>
      </c>
      <c r="B121" s="311">
        <f>SUM(B111:B119)</f>
        <v>6.8990000000791332</v>
      </c>
      <c r="C121" s="311">
        <f t="shared" ref="C121:D121" si="55">SUM(C111:C119)</f>
        <v>3.8029999999609032</v>
      </c>
      <c r="D121" s="311">
        <f t="shared" si="55"/>
        <v>10.702000000040034</v>
      </c>
      <c r="E121" s="311"/>
      <c r="F121" s="311">
        <f t="shared" ref="F121:H121" si="56">SUM(F111:F119)</f>
        <v>9.1880000000722379</v>
      </c>
      <c r="G121" s="311">
        <f t="shared" si="56"/>
        <v>6.8840000000418407</v>
      </c>
      <c r="H121" s="311">
        <f t="shared" si="56"/>
        <v>16.072000000114077</v>
      </c>
      <c r="I121" s="311"/>
      <c r="J121" s="311">
        <f t="shared" ref="J121:L121" si="57">SUM(J111:J119)</f>
        <v>6.927999999978848</v>
      </c>
      <c r="K121" s="311">
        <f t="shared" si="57"/>
        <v>5.2770000000294646</v>
      </c>
      <c r="L121" s="311">
        <f t="shared" si="57"/>
        <v>12.205000000008312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35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name!A10</f>
        <v xml:space="preserve">Wood and cork </v>
      </c>
      <c r="B125" s="372">
        <f>B$6</f>
        <v>2015</v>
      </c>
      <c r="C125" s="372"/>
      <c r="D125" s="372"/>
      <c r="E125" s="253"/>
      <c r="F125" s="372">
        <f>F108</f>
        <v>2020</v>
      </c>
      <c r="G125" s="372"/>
      <c r="H125" s="372"/>
      <c r="I125" s="253"/>
      <c r="J125" s="372">
        <f>J108</f>
        <v>2035</v>
      </c>
      <c r="K125" s="372"/>
      <c r="L125" s="372"/>
      <c r="M125" s="236"/>
      <c r="N125" s="236"/>
    </row>
    <row r="126" spans="1:14" x14ac:dyDescent="0.2">
      <c r="A126" s="254"/>
      <c r="B126" s="255" t="s">
        <v>352</v>
      </c>
      <c r="C126" s="255" t="s">
        <v>353</v>
      </c>
      <c r="D126" s="255" t="s">
        <v>32</v>
      </c>
      <c r="E126" s="255"/>
      <c r="F126" s="255" t="s">
        <v>352</v>
      </c>
      <c r="G126" s="255" t="s">
        <v>353</v>
      </c>
      <c r="H126" s="255" t="s">
        <v>32</v>
      </c>
      <c r="I126" s="255"/>
      <c r="J126" s="255" t="s">
        <v>352</v>
      </c>
      <c r="K126" s="255" t="s">
        <v>353</v>
      </c>
      <c r="L126" s="255" t="s">
        <v>32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0.19990101231421656</v>
      </c>
      <c r="C128" s="302">
        <v>0.40826869529036997</v>
      </c>
      <c r="D128" s="302">
        <f>SUM(B128:C128)</f>
        <v>0.60816970760458655</v>
      </c>
      <c r="E128" s="303"/>
      <c r="F128" s="302">
        <v>0.38695534126333719</v>
      </c>
      <c r="G128" s="302">
        <v>0.64659507221822332</v>
      </c>
      <c r="H128" s="302">
        <f>SUM(F128:G128)</f>
        <v>1.0335504134815605</v>
      </c>
      <c r="I128" s="303"/>
      <c r="J128" s="302">
        <v>0.46350092914304353</v>
      </c>
      <c r="K128" s="302">
        <v>0.59036227928463103</v>
      </c>
      <c r="L128" s="302">
        <f>SUM(J128:K128)</f>
        <v>1.0538632084276744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0.12057782871180293</v>
      </c>
      <c r="C129" s="302">
        <v>0.27109993215845102</v>
      </c>
      <c r="D129" s="302">
        <f t="shared" ref="D129:D136" si="58">SUM(B129:C129)</f>
        <v>0.39167776087025397</v>
      </c>
      <c r="E129" s="303"/>
      <c r="F129" s="302">
        <v>0.21862531292185278</v>
      </c>
      <c r="G129" s="302">
        <v>0.46819003477771975</v>
      </c>
      <c r="H129" s="302">
        <f t="shared" ref="H129:H136" si="59">SUM(F129:G129)</f>
        <v>0.68681534769957253</v>
      </c>
      <c r="I129" s="303"/>
      <c r="J129" s="302">
        <v>0.23801120903704964</v>
      </c>
      <c r="K129" s="302">
        <v>0.47383127967533223</v>
      </c>
      <c r="L129" s="302">
        <f t="shared" ref="L129:L136" si="60">SUM(J129:K129)</f>
        <v>0.71184248871238187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0.14659791569825045</v>
      </c>
      <c r="C130" s="302">
        <v>0.475690579876549</v>
      </c>
      <c r="D130" s="302">
        <f t="shared" si="58"/>
        <v>0.62228849557479948</v>
      </c>
      <c r="E130" s="303"/>
      <c r="F130" s="302">
        <v>0.22438566331814441</v>
      </c>
      <c r="G130" s="302">
        <v>0.73070164127553761</v>
      </c>
      <c r="H130" s="302">
        <f t="shared" si="59"/>
        <v>0.95508730459368207</v>
      </c>
      <c r="I130" s="303"/>
      <c r="J130" s="302">
        <v>0.21324919173949383</v>
      </c>
      <c r="K130" s="302">
        <v>0.57461032785061206</v>
      </c>
      <c r="L130" s="302">
        <f t="shared" si="60"/>
        <v>0.78785951959010592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0.3559315672486425</v>
      </c>
      <c r="C131" s="302">
        <v>0.21025613438302423</v>
      </c>
      <c r="D131" s="302">
        <f t="shared" si="58"/>
        <v>0.56618770163166676</v>
      </c>
      <c r="E131" s="303"/>
      <c r="F131" s="302">
        <v>0.46006625071037882</v>
      </c>
      <c r="G131" s="302">
        <v>0.34830139960252093</v>
      </c>
      <c r="H131" s="302">
        <f t="shared" si="59"/>
        <v>0.80836765031289981</v>
      </c>
      <c r="I131" s="303"/>
      <c r="J131" s="302">
        <v>0.18666081360481254</v>
      </c>
      <c r="K131" s="302">
        <v>0.29097096535288441</v>
      </c>
      <c r="L131" s="302">
        <f t="shared" si="60"/>
        <v>0.47763177895769693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3.2054807143916952E-2</v>
      </c>
      <c r="C132" s="302">
        <v>2.1390307439824041</v>
      </c>
      <c r="D132" s="302">
        <f t="shared" si="58"/>
        <v>2.1710855511263212</v>
      </c>
      <c r="E132" s="303"/>
      <c r="F132" s="302">
        <v>3.7184845218487396E-2</v>
      </c>
      <c r="G132" s="302">
        <v>2.7715732269458262</v>
      </c>
      <c r="H132" s="302">
        <f t="shared" si="59"/>
        <v>2.8087580721643137</v>
      </c>
      <c r="I132" s="303"/>
      <c r="J132" s="302">
        <v>5.5743514590484766E-2</v>
      </c>
      <c r="K132" s="302">
        <v>1.8288470608575278</v>
      </c>
      <c r="L132" s="302">
        <f t="shared" si="60"/>
        <v>1.8845905754480126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0.12793811534548616</v>
      </c>
      <c r="C133" s="302">
        <v>6.0190264295607129E-2</v>
      </c>
      <c r="D133" s="302">
        <f t="shared" si="58"/>
        <v>0.1881283796410933</v>
      </c>
      <c r="E133" s="303"/>
      <c r="F133" s="302">
        <v>0.26831681784600131</v>
      </c>
      <c r="G133" s="302">
        <v>0.21897946200761995</v>
      </c>
      <c r="H133" s="302">
        <f t="shared" si="59"/>
        <v>0.48729627985362123</v>
      </c>
      <c r="I133" s="303"/>
      <c r="J133" s="302">
        <v>0.34045016484191171</v>
      </c>
      <c r="K133" s="302">
        <v>0.31545581836001135</v>
      </c>
      <c r="L133" s="302">
        <f t="shared" si="60"/>
        <v>0.65590598320192306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8.3630172132590677E-2</v>
      </c>
      <c r="C134" s="302">
        <v>0.15062492946343764</v>
      </c>
      <c r="D134" s="302">
        <f>SUM(B134:C134)</f>
        <v>0.2342551015960283</v>
      </c>
      <c r="E134" s="303"/>
      <c r="F134" s="302">
        <v>9.8752809709156078E-2</v>
      </c>
      <c r="G134" s="302">
        <v>0.25536341054550776</v>
      </c>
      <c r="H134" s="302">
        <f t="shared" si="59"/>
        <v>0.35411622025466383</v>
      </c>
      <c r="I134" s="303"/>
      <c r="J134" s="302">
        <v>6.7517169043246367E-2</v>
      </c>
      <c r="K134" s="302">
        <v>0.20418687454804985</v>
      </c>
      <c r="L134" s="302">
        <f t="shared" si="60"/>
        <v>0.27170404359129618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0.12604527561945453</v>
      </c>
      <c r="C135" s="302">
        <v>2.4334968933155814</v>
      </c>
      <c r="D135" s="302">
        <f t="shared" si="58"/>
        <v>2.5595421689350357</v>
      </c>
      <c r="E135" s="303"/>
      <c r="F135" s="302">
        <v>0.12425318384309905</v>
      </c>
      <c r="G135" s="302">
        <v>2.7662487111288838</v>
      </c>
      <c r="H135" s="302">
        <f t="shared" si="59"/>
        <v>2.8905018949719827</v>
      </c>
      <c r="I135" s="303"/>
      <c r="J135" s="302">
        <v>0.13246303777773125</v>
      </c>
      <c r="K135" s="302">
        <v>2.7012278717260263</v>
      </c>
      <c r="L135" s="302">
        <f t="shared" si="60"/>
        <v>2.8336909095037575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9.3323305781631088E-2</v>
      </c>
      <c r="C136" s="302">
        <v>1.0643418271340941</v>
      </c>
      <c r="D136" s="302">
        <f t="shared" si="58"/>
        <v>1.1576651329157253</v>
      </c>
      <c r="E136" s="303"/>
      <c r="F136" s="302">
        <v>0.11145977516145836</v>
      </c>
      <c r="G136" s="302">
        <v>1.8750470415116234</v>
      </c>
      <c r="H136" s="302">
        <f t="shared" si="59"/>
        <v>1.9865068166730817</v>
      </c>
      <c r="I136" s="303"/>
      <c r="J136" s="302">
        <v>4.0403970213730815E-2</v>
      </c>
      <c r="K136" s="302">
        <v>1.493507522350596</v>
      </c>
      <c r="L136" s="302">
        <f t="shared" si="60"/>
        <v>1.5339114925643269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32</v>
      </c>
      <c r="B138" s="311">
        <f>SUM(B128:B136)</f>
        <v>1.2859999999959919</v>
      </c>
      <c r="C138" s="311">
        <f t="shared" ref="C138" si="61">SUM(C128:C136)</f>
        <v>7.2129999998995187</v>
      </c>
      <c r="D138" s="311">
        <f>SUM(D128:D136)</f>
        <v>8.4989999998955099</v>
      </c>
      <c r="E138" s="311"/>
      <c r="F138" s="311">
        <f t="shared" ref="F138:H138" si="62">SUM(F128:F136)</f>
        <v>1.9299999999919155</v>
      </c>
      <c r="G138" s="311">
        <f t="shared" si="62"/>
        <v>10.081000000013463</v>
      </c>
      <c r="H138" s="311">
        <f t="shared" si="62"/>
        <v>12.011000000005378</v>
      </c>
      <c r="I138" s="311"/>
      <c r="J138" s="311">
        <f t="shared" ref="J138:L138" si="63">SUM(J128:J136)</f>
        <v>1.7379999999915046</v>
      </c>
      <c r="K138" s="311">
        <f t="shared" si="63"/>
        <v>8.4730000000056709</v>
      </c>
      <c r="L138" s="311">
        <f t="shared" si="63"/>
        <v>10.210999999997176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35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name!A11</f>
        <v>Paper, etc</v>
      </c>
      <c r="B142" s="372">
        <f>B$6</f>
        <v>2015</v>
      </c>
      <c r="C142" s="372"/>
      <c r="D142" s="372"/>
      <c r="E142" s="253"/>
      <c r="F142" s="372">
        <f>F125</f>
        <v>2020</v>
      </c>
      <c r="G142" s="372"/>
      <c r="H142" s="372"/>
      <c r="I142" s="253"/>
      <c r="J142" s="372">
        <f>J125</f>
        <v>2035</v>
      </c>
      <c r="K142" s="372"/>
      <c r="L142" s="372"/>
      <c r="M142" s="236"/>
      <c r="N142" s="236"/>
    </row>
    <row r="143" spans="1:14" x14ac:dyDescent="0.2">
      <c r="A143" s="254"/>
      <c r="B143" s="255" t="s">
        <v>352</v>
      </c>
      <c r="C143" s="255" t="s">
        <v>353</v>
      </c>
      <c r="D143" s="255" t="s">
        <v>32</v>
      </c>
      <c r="E143" s="255"/>
      <c r="F143" s="255" t="s">
        <v>352</v>
      </c>
      <c r="G143" s="255" t="s">
        <v>353</v>
      </c>
      <c r="H143" s="255" t="s">
        <v>32</v>
      </c>
      <c r="I143" s="255"/>
      <c r="J143" s="255" t="s">
        <v>352</v>
      </c>
      <c r="K143" s="255" t="s">
        <v>353</v>
      </c>
      <c r="L143" s="255" t="s">
        <v>32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0.10391607243556637</v>
      </c>
      <c r="C145" s="302">
        <v>1.0202631933954964</v>
      </c>
      <c r="D145" s="302">
        <f>SUM(B145:C145)</f>
        <v>1.1241792658310628</v>
      </c>
      <c r="E145" s="303"/>
      <c r="F145" s="302">
        <v>0.1151316432487574</v>
      </c>
      <c r="G145" s="302">
        <v>0.92862658279124843</v>
      </c>
      <c r="H145" s="302">
        <f>SUM(F145:G145)</f>
        <v>1.0437582260400058</v>
      </c>
      <c r="I145" s="303"/>
      <c r="J145" s="302">
        <v>0.11315324762030005</v>
      </c>
      <c r="K145" s="302">
        <v>0.87252421402598002</v>
      </c>
      <c r="L145" s="302">
        <f>SUM(J145:K145)</f>
        <v>0.98567746164628001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9.8379392990940451E-2</v>
      </c>
      <c r="C146" s="302">
        <v>0.7563605355012526</v>
      </c>
      <c r="D146" s="302">
        <f t="shared" ref="D146:D153" si="64">SUM(B146:C146)</f>
        <v>0.85473992849219305</v>
      </c>
      <c r="E146" s="303"/>
      <c r="F146" s="302">
        <v>0.1054575524336361</v>
      </c>
      <c r="G146" s="302">
        <v>0.87170590374350909</v>
      </c>
      <c r="H146" s="302">
        <f t="shared" ref="H146:H153" si="65">SUM(F146:G146)</f>
        <v>0.97716345617714517</v>
      </c>
      <c r="I146" s="303"/>
      <c r="J146" s="302">
        <v>0.111137799625592</v>
      </c>
      <c r="K146" s="302">
        <v>0.93781733970224557</v>
      </c>
      <c r="L146" s="302">
        <f t="shared" ref="L146:L153" si="66">SUM(J146:K146)</f>
        <v>1.0489551393278376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0.2009207536490992</v>
      </c>
      <c r="C147" s="302">
        <v>0.8117704204997046</v>
      </c>
      <c r="D147" s="302">
        <f t="shared" si="64"/>
        <v>1.0126911741488038</v>
      </c>
      <c r="E147" s="303"/>
      <c r="F147" s="302">
        <v>0.16541010725374342</v>
      </c>
      <c r="G147" s="302">
        <v>0.85178943014319752</v>
      </c>
      <c r="H147" s="302">
        <f t="shared" si="65"/>
        <v>1.0171995373969409</v>
      </c>
      <c r="I147" s="303"/>
      <c r="J147" s="302">
        <v>0.15502315789636462</v>
      </c>
      <c r="K147" s="302">
        <v>0.71181338912392889</v>
      </c>
      <c r="L147" s="302">
        <f t="shared" si="66"/>
        <v>0.86683654702029345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0.45821440617124037</v>
      </c>
      <c r="C148" s="302">
        <v>0.49429160434156072</v>
      </c>
      <c r="D148" s="302">
        <f t="shared" si="64"/>
        <v>0.95250601051280115</v>
      </c>
      <c r="E148" s="303"/>
      <c r="F148" s="302">
        <v>0.27996337164289242</v>
      </c>
      <c r="G148" s="302">
        <v>0.55594581698247836</v>
      </c>
      <c r="H148" s="302">
        <f t="shared" si="65"/>
        <v>0.83590918862537078</v>
      </c>
      <c r="I148" s="303"/>
      <c r="J148" s="302">
        <v>0.18835065821342045</v>
      </c>
      <c r="K148" s="302">
        <v>0.53979102659592981</v>
      </c>
      <c r="L148" s="302">
        <f t="shared" si="66"/>
        <v>0.72814168480935026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2.9330605679585141E-2</v>
      </c>
      <c r="C149" s="302">
        <v>1.0758885674776184</v>
      </c>
      <c r="D149" s="302">
        <f t="shared" si="64"/>
        <v>1.1052191731572036</v>
      </c>
      <c r="E149" s="303"/>
      <c r="F149" s="302">
        <v>1.6542162162092588E-2</v>
      </c>
      <c r="G149" s="302">
        <v>0.82484957492040256</v>
      </c>
      <c r="H149" s="302">
        <f t="shared" si="65"/>
        <v>0.84139173708249515</v>
      </c>
      <c r="I149" s="303"/>
      <c r="J149" s="302">
        <v>1.3320214605054862E-2</v>
      </c>
      <c r="K149" s="302">
        <v>0.43823468531470855</v>
      </c>
      <c r="L149" s="302">
        <f t="shared" si="66"/>
        <v>0.45155489991976339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0.13188293302943341</v>
      </c>
      <c r="C150" s="302">
        <v>4.5953892195856182E-2</v>
      </c>
      <c r="D150" s="302">
        <f t="shared" si="64"/>
        <v>0.1778368252252896</v>
      </c>
      <c r="E150" s="303"/>
      <c r="F150" s="302">
        <v>8.3305542132696392E-2</v>
      </c>
      <c r="G150" s="302">
        <v>5.1757270740545994E-2</v>
      </c>
      <c r="H150" s="302">
        <f t="shared" si="65"/>
        <v>0.1350628128732424</v>
      </c>
      <c r="I150" s="303"/>
      <c r="J150" s="302">
        <v>7.6211045064384142E-2</v>
      </c>
      <c r="K150" s="302">
        <v>4.8950213932774073E-2</v>
      </c>
      <c r="L150" s="302">
        <f t="shared" si="66"/>
        <v>0.12516125899715821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0.17351402345593295</v>
      </c>
      <c r="C151" s="302">
        <v>0.20821748322753583</v>
      </c>
      <c r="D151" s="302">
        <f t="shared" si="64"/>
        <v>0.38173150668346878</v>
      </c>
      <c r="E151" s="303"/>
      <c r="F151" s="302">
        <v>0.10148148943704421</v>
      </c>
      <c r="G151" s="302">
        <v>0.15602559985802153</v>
      </c>
      <c r="H151" s="302">
        <f t="shared" si="65"/>
        <v>0.25750708929506572</v>
      </c>
      <c r="I151" s="303"/>
      <c r="J151" s="302">
        <v>9.694400032508034E-2</v>
      </c>
      <c r="K151" s="302">
        <v>0.17184324017861205</v>
      </c>
      <c r="L151" s="302">
        <f t="shared" si="66"/>
        <v>0.2687872405036924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0.21943245278265616</v>
      </c>
      <c r="C152" s="302">
        <v>2.5700941226126308</v>
      </c>
      <c r="D152" s="302">
        <f t="shared" si="64"/>
        <v>2.7895265753952869</v>
      </c>
      <c r="E152" s="303"/>
      <c r="F152" s="302">
        <v>0.11135667125209953</v>
      </c>
      <c r="G152" s="302">
        <v>2.2872615412166435</v>
      </c>
      <c r="H152" s="302">
        <f t="shared" si="65"/>
        <v>2.398618212468743</v>
      </c>
      <c r="I152" s="303"/>
      <c r="J152" s="302">
        <v>0.14765148023633992</v>
      </c>
      <c r="K152" s="302">
        <v>2.0820038808307437</v>
      </c>
      <c r="L152" s="302">
        <f t="shared" si="66"/>
        <v>2.2296553610670835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0.44240935983566748</v>
      </c>
      <c r="C153" s="302">
        <v>1.2201601806960858</v>
      </c>
      <c r="D153" s="302">
        <f t="shared" si="64"/>
        <v>1.6625695405317533</v>
      </c>
      <c r="E153" s="303"/>
      <c r="F153" s="302">
        <v>0.18735146043916387</v>
      </c>
      <c r="G153" s="302">
        <v>1.1060382796429162</v>
      </c>
      <c r="H153" s="302">
        <f t="shared" si="65"/>
        <v>1.2933897400820802</v>
      </c>
      <c r="I153" s="303"/>
      <c r="J153" s="302">
        <v>0.14620839640583078</v>
      </c>
      <c r="K153" s="302">
        <v>0.75302201034725091</v>
      </c>
      <c r="L153" s="302">
        <f t="shared" si="66"/>
        <v>0.89923040675308163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32</v>
      </c>
      <c r="B155" s="311">
        <f>SUM(B145:B153)</f>
        <v>1.8580000000301216</v>
      </c>
      <c r="C155" s="311">
        <f t="shared" ref="C155:D155" si="67">SUM(C145:C153)</f>
        <v>8.2029999999477408</v>
      </c>
      <c r="D155" s="311">
        <f t="shared" si="67"/>
        <v>10.060999999977865</v>
      </c>
      <c r="E155" s="311"/>
      <c r="F155" s="311">
        <f t="shared" ref="F155:H155" si="68">SUM(F145:F153)</f>
        <v>1.166000000002126</v>
      </c>
      <c r="G155" s="311">
        <f t="shared" si="68"/>
        <v>7.634000000038963</v>
      </c>
      <c r="H155" s="311">
        <f t="shared" si="68"/>
        <v>8.8000000000410878</v>
      </c>
      <c r="I155" s="311"/>
      <c r="J155" s="311">
        <f t="shared" ref="J155:L155" si="69">SUM(J145:J153)</f>
        <v>1.047999999992367</v>
      </c>
      <c r="K155" s="311">
        <f t="shared" si="69"/>
        <v>6.5560000000521734</v>
      </c>
      <c r="L155" s="311">
        <f t="shared" si="69"/>
        <v>7.6040000000445414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35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name!A12</f>
        <v>Printing and recording</v>
      </c>
      <c r="B159" s="372">
        <f>B$6</f>
        <v>2015</v>
      </c>
      <c r="C159" s="372"/>
      <c r="D159" s="372"/>
      <c r="E159" s="253"/>
      <c r="F159" s="372">
        <f>F142</f>
        <v>2020</v>
      </c>
      <c r="G159" s="372"/>
      <c r="H159" s="372"/>
      <c r="I159" s="253"/>
      <c r="J159" s="372">
        <f>J142</f>
        <v>2035</v>
      </c>
      <c r="K159" s="372"/>
      <c r="L159" s="372"/>
      <c r="M159" s="236"/>
      <c r="N159" s="236"/>
    </row>
    <row r="160" spans="1:14" x14ac:dyDescent="0.2">
      <c r="A160" s="254"/>
      <c r="B160" s="255" t="s">
        <v>352</v>
      </c>
      <c r="C160" s="255" t="s">
        <v>353</v>
      </c>
      <c r="D160" s="255" t="s">
        <v>32</v>
      </c>
      <c r="E160" s="255"/>
      <c r="F160" s="255" t="s">
        <v>352</v>
      </c>
      <c r="G160" s="255" t="s">
        <v>353</v>
      </c>
      <c r="H160" s="255" t="s">
        <v>32</v>
      </c>
      <c r="I160" s="255"/>
      <c r="J160" s="255" t="s">
        <v>352</v>
      </c>
      <c r="K160" s="255" t="s">
        <v>353</v>
      </c>
      <c r="L160" s="255" t="s">
        <v>32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0.40278633347205123</v>
      </c>
      <c r="C162" s="302">
        <v>1.8843706262636883</v>
      </c>
      <c r="D162" s="302">
        <f>SUM(B162:C162)</f>
        <v>2.2871569597357397</v>
      </c>
      <c r="E162" s="303"/>
      <c r="F162" s="302">
        <v>0.24938378176994905</v>
      </c>
      <c r="G162" s="302">
        <v>1.1206189231168064</v>
      </c>
      <c r="H162" s="302">
        <f>SUM(F162:G162)</f>
        <v>1.3700027048867556</v>
      </c>
      <c r="I162" s="303"/>
      <c r="J162" s="302">
        <v>0.22986102616983198</v>
      </c>
      <c r="K162" s="302">
        <v>0.93848982085778587</v>
      </c>
      <c r="L162" s="302">
        <f>SUM(J162:K162)</f>
        <v>1.1683508470276178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0.35782283594912484</v>
      </c>
      <c r="C163" s="302">
        <v>1.315512928154295</v>
      </c>
      <c r="D163" s="302">
        <f t="shared" ref="D163:D170" si="70">SUM(B163:C163)</f>
        <v>1.6733357641034199</v>
      </c>
      <c r="E163" s="303"/>
      <c r="F163" s="302">
        <v>0.24062562816047919</v>
      </c>
      <c r="G163" s="302">
        <v>0.90336017003172087</v>
      </c>
      <c r="H163" s="302">
        <f t="shared" ref="H163:H170" si="71">SUM(F163:G163)</f>
        <v>1.1439857981922001</v>
      </c>
      <c r="I163" s="303"/>
      <c r="J163" s="302">
        <v>0.23639427698422849</v>
      </c>
      <c r="K163" s="302">
        <v>0.82201534727535686</v>
      </c>
      <c r="L163" s="302">
        <f t="shared" ref="L163:L170" si="72">SUM(J163:K163)</f>
        <v>1.0584096242595853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0.79973342895551192</v>
      </c>
      <c r="C164" s="302">
        <v>1.310424142019011</v>
      </c>
      <c r="D164" s="302">
        <f t="shared" si="70"/>
        <v>2.1101575709745228</v>
      </c>
      <c r="E164" s="303"/>
      <c r="F164" s="302">
        <v>0.43600346460507283</v>
      </c>
      <c r="G164" s="302">
        <v>0.87640886466672785</v>
      </c>
      <c r="H164" s="302">
        <f t="shared" si="71"/>
        <v>1.3124123292718006</v>
      </c>
      <c r="I164" s="303"/>
      <c r="J164" s="302">
        <v>0.39817348270867081</v>
      </c>
      <c r="K164" s="302">
        <v>0.65058209904514108</v>
      </c>
      <c r="L164" s="302">
        <f t="shared" si="72"/>
        <v>1.0487555817538119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1.2081188668191829</v>
      </c>
      <c r="C165" s="302">
        <v>0.56525989706250368</v>
      </c>
      <c r="D165" s="302">
        <f t="shared" si="70"/>
        <v>1.7733787638816865</v>
      </c>
      <c r="E165" s="303"/>
      <c r="F165" s="302">
        <v>0.65407392411510523</v>
      </c>
      <c r="G165" s="302">
        <v>0.42289728676486077</v>
      </c>
      <c r="H165" s="302">
        <f t="shared" si="71"/>
        <v>1.0769712108799661</v>
      </c>
      <c r="I165" s="303"/>
      <c r="J165" s="302">
        <v>0.43632514307647396</v>
      </c>
      <c r="K165" s="302">
        <v>0.34913696262441368</v>
      </c>
      <c r="L165" s="302">
        <f t="shared" si="72"/>
        <v>0.7854621057008877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5.3336730065232131E-2</v>
      </c>
      <c r="C166" s="302">
        <v>1.1668272110688327</v>
      </c>
      <c r="D166" s="302">
        <f t="shared" si="70"/>
        <v>1.2201639411340648</v>
      </c>
      <c r="E166" s="303"/>
      <c r="F166" s="302">
        <v>3.0622151134006702E-2</v>
      </c>
      <c r="G166" s="302">
        <v>0.48900204241977008</v>
      </c>
      <c r="H166" s="302">
        <f t="shared" si="71"/>
        <v>0.51962419355377676</v>
      </c>
      <c r="I166" s="303"/>
      <c r="J166" s="302">
        <v>2.6327329933864541E-2</v>
      </c>
      <c r="K166" s="302">
        <v>0.1865691350939705</v>
      </c>
      <c r="L166" s="302">
        <f t="shared" si="72"/>
        <v>0.21289646502783505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5.6023613057191814E-2</v>
      </c>
      <c r="C167" s="302">
        <v>3.3713879117448463E-2</v>
      </c>
      <c r="D167" s="302">
        <f t="shared" si="70"/>
        <v>8.9737492174640276E-2</v>
      </c>
      <c r="E167" s="303"/>
      <c r="F167" s="302">
        <v>2.7300769175175474E-2</v>
      </c>
      <c r="G167" s="302">
        <v>2.8675679127155008E-2</v>
      </c>
      <c r="H167" s="302">
        <f t="shared" si="71"/>
        <v>5.5976448302330478E-2</v>
      </c>
      <c r="I167" s="303"/>
      <c r="J167" s="302">
        <v>2.0798025119630661E-2</v>
      </c>
      <c r="K167" s="302">
        <v>2.5545173171415202E-2</v>
      </c>
      <c r="L167" s="302">
        <f t="shared" si="72"/>
        <v>4.6343198291045863E-2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0.4644087915683876</v>
      </c>
      <c r="C168" s="302">
        <v>0.40391170640011526</v>
      </c>
      <c r="D168" s="302">
        <f t="shared" si="70"/>
        <v>0.86832049796850286</v>
      </c>
      <c r="E168" s="303"/>
      <c r="F168" s="302">
        <v>0.23903763501510319</v>
      </c>
      <c r="G168" s="302">
        <v>0.24512377484447087</v>
      </c>
      <c r="H168" s="302">
        <f t="shared" si="71"/>
        <v>0.48416140985957407</v>
      </c>
      <c r="I168" s="303"/>
      <c r="J168" s="302">
        <v>0.20769956051877744</v>
      </c>
      <c r="K168" s="302">
        <v>0.22250079997050745</v>
      </c>
      <c r="L168" s="302">
        <f t="shared" si="72"/>
        <v>0.43020036048928489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0.17503325339628392</v>
      </c>
      <c r="C169" s="302">
        <v>0.75564342080485924</v>
      </c>
      <c r="D169" s="302">
        <f t="shared" si="70"/>
        <v>0.93067667420114319</v>
      </c>
      <c r="E169" s="303"/>
      <c r="F169" s="302">
        <v>8.4572328097696603E-2</v>
      </c>
      <c r="G169" s="302">
        <v>0.41192111093094602</v>
      </c>
      <c r="H169" s="302">
        <f t="shared" si="71"/>
        <v>0.49649343902864262</v>
      </c>
      <c r="I169" s="303"/>
      <c r="J169" s="302">
        <v>0.14597913444724656</v>
      </c>
      <c r="K169" s="302">
        <v>0.34680738774893666</v>
      </c>
      <c r="L169" s="302">
        <f t="shared" si="72"/>
        <v>0.49278652219618324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0.77673614673303704</v>
      </c>
      <c r="C170" s="302">
        <v>1.4373361890986132</v>
      </c>
      <c r="D170" s="302">
        <f t="shared" si="70"/>
        <v>2.2140723358316503</v>
      </c>
      <c r="E170" s="303"/>
      <c r="F170" s="302">
        <v>0.37338031793370535</v>
      </c>
      <c r="G170" s="302">
        <v>0.92799214809658515</v>
      </c>
      <c r="H170" s="302">
        <f t="shared" si="71"/>
        <v>1.3013724660302906</v>
      </c>
      <c r="I170" s="303"/>
      <c r="J170" s="302">
        <v>0.26444202102909969</v>
      </c>
      <c r="K170" s="302">
        <v>0.62735327422549203</v>
      </c>
      <c r="L170" s="302">
        <f t="shared" si="72"/>
        <v>0.89179529525459178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32</v>
      </c>
      <c r="B172" s="311">
        <f>SUM(B162:B170)</f>
        <v>4.2940000000160037</v>
      </c>
      <c r="C172" s="311">
        <f t="shared" ref="C172:D172" si="73">SUM(C162:C170)</f>
        <v>8.8729999999893678</v>
      </c>
      <c r="D172" s="311">
        <f t="shared" si="73"/>
        <v>13.16700000000537</v>
      </c>
      <c r="E172" s="311"/>
      <c r="F172" s="311">
        <f t="shared" ref="F172:H172" si="74">SUM(F162:F170)</f>
        <v>2.3350000000062936</v>
      </c>
      <c r="G172" s="311">
        <f t="shared" si="74"/>
        <v>5.4259999999990427</v>
      </c>
      <c r="H172" s="311">
        <f t="shared" si="74"/>
        <v>7.7610000000053372</v>
      </c>
      <c r="I172" s="311"/>
      <c r="J172" s="311">
        <f t="shared" ref="J172:L172" si="75">SUM(J162:J170)</f>
        <v>1.9659999999878242</v>
      </c>
      <c r="K172" s="311">
        <f t="shared" si="75"/>
        <v>4.1690000000130194</v>
      </c>
      <c r="L172" s="311">
        <f t="shared" si="75"/>
        <v>6.1350000000008427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35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name!A13</f>
        <v>Coke and petroleum; Chemicals, etc</v>
      </c>
      <c r="B176" s="372">
        <f>B$6</f>
        <v>2015</v>
      </c>
      <c r="C176" s="372"/>
      <c r="D176" s="372"/>
      <c r="E176" s="253"/>
      <c r="F176" s="372">
        <f>F159</f>
        <v>2020</v>
      </c>
      <c r="G176" s="372"/>
      <c r="H176" s="372"/>
      <c r="I176" s="253"/>
      <c r="J176" s="372">
        <f>J159</f>
        <v>2035</v>
      </c>
      <c r="K176" s="372"/>
      <c r="L176" s="372"/>
      <c r="M176" s="236"/>
      <c r="N176" s="236"/>
    </row>
    <row r="177" spans="1:14" x14ac:dyDescent="0.2">
      <c r="A177" s="254"/>
      <c r="B177" s="255" t="s">
        <v>352</v>
      </c>
      <c r="C177" s="255" t="s">
        <v>353</v>
      </c>
      <c r="D177" s="255" t="s">
        <v>32</v>
      </c>
      <c r="E177" s="255"/>
      <c r="F177" s="255" t="s">
        <v>352</v>
      </c>
      <c r="G177" s="255" t="s">
        <v>353</v>
      </c>
      <c r="H177" s="255" t="s">
        <v>32</v>
      </c>
      <c r="I177" s="255"/>
      <c r="J177" s="255" t="s">
        <v>352</v>
      </c>
      <c r="K177" s="255" t="s">
        <v>353</v>
      </c>
      <c r="L177" s="255" t="s">
        <v>32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0.2349015962690629</v>
      </c>
      <c r="C179" s="302">
        <v>0.74070614767027221</v>
      </c>
      <c r="D179" s="302">
        <f>SUM(B179:C179)</f>
        <v>0.97560774393933514</v>
      </c>
      <c r="E179" s="303"/>
      <c r="F179" s="302">
        <v>0.28685366618657421</v>
      </c>
      <c r="G179" s="302">
        <v>0.92326884422716049</v>
      </c>
      <c r="H179" s="302">
        <f>SUM(F179:G179)</f>
        <v>1.2101225104137348</v>
      </c>
      <c r="I179" s="303"/>
      <c r="J179" s="302">
        <v>0.34878363134020429</v>
      </c>
      <c r="K179" s="302">
        <v>0.95249356739551028</v>
      </c>
      <c r="L179" s="302">
        <f>SUM(J179:K179)</f>
        <v>1.3012771987357146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0.24505755267278381</v>
      </c>
      <c r="C180" s="302">
        <v>0.86374661549134546</v>
      </c>
      <c r="D180" s="302">
        <f t="shared" ref="D180:D187" si="76">SUM(B180:C180)</f>
        <v>1.1088041681641292</v>
      </c>
      <c r="E180" s="303"/>
      <c r="F180" s="302">
        <v>0.32226875775930203</v>
      </c>
      <c r="G180" s="302">
        <v>1.131003290469478</v>
      </c>
      <c r="H180" s="302">
        <f t="shared" ref="H180:H187" si="77">SUM(F180:G180)</f>
        <v>1.45327204822878</v>
      </c>
      <c r="I180" s="303"/>
      <c r="J180" s="302">
        <v>0.42209304769178413</v>
      </c>
      <c r="K180" s="302">
        <v>1.3113419614533113</v>
      </c>
      <c r="L180" s="302">
        <f t="shared" ref="L180:L187" si="78">SUM(J180:K180)</f>
        <v>1.7334350091450954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0.31434227212479732</v>
      </c>
      <c r="C181" s="302">
        <v>0.43299965237524957</v>
      </c>
      <c r="D181" s="302">
        <f t="shared" si="76"/>
        <v>0.74734192450004688</v>
      </c>
      <c r="E181" s="303"/>
      <c r="F181" s="302">
        <v>0.36620876754421361</v>
      </c>
      <c r="G181" s="302">
        <v>0.53576268037518926</v>
      </c>
      <c r="H181" s="302">
        <f t="shared" si="77"/>
        <v>0.90197144791940287</v>
      </c>
      <c r="I181" s="303"/>
      <c r="J181" s="302">
        <v>0.42206497947132254</v>
      </c>
      <c r="K181" s="302">
        <v>0.50251003381753334</v>
      </c>
      <c r="L181" s="302">
        <f t="shared" si="78"/>
        <v>0.92457501328885594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0.27053058232263877</v>
      </c>
      <c r="C182" s="302">
        <v>0.48768655195096655</v>
      </c>
      <c r="D182" s="302">
        <f t="shared" si="76"/>
        <v>0.75821713427360526</v>
      </c>
      <c r="E182" s="303"/>
      <c r="F182" s="302">
        <v>0.27556783824934827</v>
      </c>
      <c r="G182" s="302">
        <v>0.5584179739623053</v>
      </c>
      <c r="H182" s="302">
        <f t="shared" si="77"/>
        <v>0.83398581221165358</v>
      </c>
      <c r="I182" s="303"/>
      <c r="J182" s="302">
        <v>0.22921159298889188</v>
      </c>
      <c r="K182" s="302">
        <v>0.59740783757662741</v>
      </c>
      <c r="L182" s="302">
        <f t="shared" si="78"/>
        <v>0.82661943056551923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1.9453265650925318E-2</v>
      </c>
      <c r="C183" s="302">
        <v>0.28083809488696565</v>
      </c>
      <c r="D183" s="302">
        <f t="shared" si="76"/>
        <v>0.30029136053789096</v>
      </c>
      <c r="E183" s="303"/>
      <c r="F183" s="302">
        <v>2.1349630189424301E-2</v>
      </c>
      <c r="G183" s="302">
        <v>0.24733805317819799</v>
      </c>
      <c r="H183" s="302">
        <f t="shared" si="77"/>
        <v>0.26868768336762228</v>
      </c>
      <c r="I183" s="303"/>
      <c r="J183" s="302">
        <v>2.5674377675736649E-2</v>
      </c>
      <c r="K183" s="302">
        <v>0.20285073590003355</v>
      </c>
      <c r="L183" s="302">
        <f t="shared" si="78"/>
        <v>0.22852511357577021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4.70057739831393E-2</v>
      </c>
      <c r="C184" s="302">
        <v>1.0308776100482156E-2</v>
      </c>
      <c r="D184" s="302">
        <f t="shared" si="76"/>
        <v>5.7314550083621456E-2</v>
      </c>
      <c r="E184" s="303"/>
      <c r="F184" s="302">
        <v>4.7719020230497435E-2</v>
      </c>
      <c r="G184" s="302">
        <v>1.1101741610024895E-2</v>
      </c>
      <c r="H184" s="302">
        <f t="shared" si="77"/>
        <v>5.8820761840522331E-2</v>
      </c>
      <c r="I184" s="303"/>
      <c r="J184" s="302">
        <v>5.1855712011757461E-2</v>
      </c>
      <c r="K184" s="302">
        <v>1.5186245033466942E-2</v>
      </c>
      <c r="L184" s="302">
        <f t="shared" si="78"/>
        <v>6.7041957045224407E-2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0.13212923540001667</v>
      </c>
      <c r="C185" s="302">
        <v>0.14094998548735371</v>
      </c>
      <c r="D185" s="302">
        <f t="shared" si="76"/>
        <v>0.27307922088737036</v>
      </c>
      <c r="E185" s="303"/>
      <c r="F185" s="302">
        <v>0.1331129883111925</v>
      </c>
      <c r="G185" s="302">
        <v>0.13107382455012073</v>
      </c>
      <c r="H185" s="302">
        <f t="shared" si="77"/>
        <v>0.26418681286131324</v>
      </c>
      <c r="I185" s="303"/>
      <c r="J185" s="302">
        <v>0.15157200481405311</v>
      </c>
      <c r="K185" s="302">
        <v>0.16171646867603559</v>
      </c>
      <c r="L185" s="302">
        <f t="shared" si="78"/>
        <v>0.3132884734900887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0.27084282987148905</v>
      </c>
      <c r="C186" s="302">
        <v>1.067374768407118</v>
      </c>
      <c r="D186" s="302">
        <f t="shared" si="76"/>
        <v>1.3382175982786071</v>
      </c>
      <c r="E186" s="303"/>
      <c r="F186" s="302">
        <v>0.21410457214946738</v>
      </c>
      <c r="G186" s="302">
        <v>0.86744909150959504</v>
      </c>
      <c r="H186" s="302">
        <f t="shared" si="77"/>
        <v>1.0815536636590624</v>
      </c>
      <c r="I186" s="303"/>
      <c r="J186" s="302">
        <v>0.25464427795080258</v>
      </c>
      <c r="K186" s="302">
        <v>0.94001062237283917</v>
      </c>
      <c r="L186" s="302">
        <f t="shared" si="78"/>
        <v>1.1946549003236417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0.19073689169682176</v>
      </c>
      <c r="C187" s="302">
        <v>0.39238940761535146</v>
      </c>
      <c r="D187" s="302">
        <f t="shared" si="76"/>
        <v>0.58312629931217319</v>
      </c>
      <c r="E187" s="303"/>
      <c r="F187" s="302">
        <v>0.15581475937010555</v>
      </c>
      <c r="G187" s="302">
        <v>0.30958450010813249</v>
      </c>
      <c r="H187" s="302">
        <f t="shared" si="77"/>
        <v>0.46539925947823801</v>
      </c>
      <c r="I187" s="303"/>
      <c r="J187" s="302">
        <v>0.15510037605530602</v>
      </c>
      <c r="K187" s="302">
        <v>0.22848252778022254</v>
      </c>
      <c r="L187" s="302">
        <f t="shared" si="78"/>
        <v>0.38358290383552857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32</v>
      </c>
      <c r="B189" s="311">
        <f>SUM(B179:B187)</f>
        <v>1.7249999999916752</v>
      </c>
      <c r="C189" s="311">
        <f t="shared" ref="C189:D189" si="79">SUM(C179:C187)</f>
        <v>4.416999999985106</v>
      </c>
      <c r="D189" s="311">
        <f t="shared" si="79"/>
        <v>6.1419999999767798</v>
      </c>
      <c r="E189" s="311"/>
      <c r="F189" s="311">
        <f t="shared" ref="F189:H189" si="80">SUM(F179:F187)</f>
        <v>1.8229999999901252</v>
      </c>
      <c r="G189" s="311">
        <f t="shared" si="80"/>
        <v>4.7149999999902041</v>
      </c>
      <c r="H189" s="311">
        <f t="shared" si="80"/>
        <v>6.537999999980328</v>
      </c>
      <c r="I189" s="311"/>
      <c r="J189" s="311">
        <f t="shared" ref="J189:L189" si="81">SUM(J179:J187)</f>
        <v>2.0609999999998587</v>
      </c>
      <c r="K189" s="311">
        <f t="shared" si="81"/>
        <v>4.9120000000055795</v>
      </c>
      <c r="L189" s="311">
        <f t="shared" si="81"/>
        <v>6.9730000000054391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35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name!A14</f>
        <v>Pharmaceuticals</v>
      </c>
      <c r="B193" s="372">
        <f>B$6</f>
        <v>2015</v>
      </c>
      <c r="C193" s="372"/>
      <c r="D193" s="372"/>
      <c r="E193" s="253"/>
      <c r="F193" s="372">
        <f>F176</f>
        <v>2020</v>
      </c>
      <c r="G193" s="372"/>
      <c r="H193" s="372"/>
      <c r="I193" s="253"/>
      <c r="J193" s="372">
        <f>J176</f>
        <v>2035</v>
      </c>
      <c r="K193" s="372"/>
      <c r="L193" s="372"/>
      <c r="M193" s="236"/>
      <c r="N193" s="236"/>
    </row>
    <row r="194" spans="1:14" x14ac:dyDescent="0.2">
      <c r="A194" s="254"/>
      <c r="B194" s="255" t="s">
        <v>352</v>
      </c>
      <c r="C194" s="255" t="s">
        <v>353</v>
      </c>
      <c r="D194" s="255" t="s">
        <v>32</v>
      </c>
      <c r="E194" s="255"/>
      <c r="F194" s="255" t="s">
        <v>352</v>
      </c>
      <c r="G194" s="255" t="s">
        <v>353</v>
      </c>
      <c r="H194" s="255" t="s">
        <v>32</v>
      </c>
      <c r="I194" s="255"/>
      <c r="J194" s="255" t="s">
        <v>352</v>
      </c>
      <c r="K194" s="255" t="s">
        <v>353</v>
      </c>
      <c r="L194" s="255" t="s">
        <v>32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9.0412266889405526E-2</v>
      </c>
      <c r="C196" s="302">
        <v>0.25650090093742267</v>
      </c>
      <c r="D196" s="302">
        <f>SUM(B196:C196)</f>
        <v>0.34691316782682818</v>
      </c>
      <c r="E196" s="303"/>
      <c r="F196" s="302">
        <v>0.10251535100998699</v>
      </c>
      <c r="G196" s="302">
        <v>0.34471622208335556</v>
      </c>
      <c r="H196" s="302">
        <f>SUM(F196:G196)</f>
        <v>0.44723157309334255</v>
      </c>
      <c r="I196" s="303"/>
      <c r="J196" s="302">
        <v>8.7998434691402214E-2</v>
      </c>
      <c r="K196" s="302">
        <v>0.28053796304149664</v>
      </c>
      <c r="L196" s="302">
        <f>SUM(J196:K196)</f>
        <v>0.36853639773289887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0.2594049434357989</v>
      </c>
      <c r="C197" s="302">
        <v>0.41319173278377491</v>
      </c>
      <c r="D197" s="302">
        <f t="shared" ref="D197:D204" si="82">SUM(B197:C197)</f>
        <v>0.67259667621957386</v>
      </c>
      <c r="E197" s="303"/>
      <c r="F197" s="302">
        <v>0.32322075479119317</v>
      </c>
      <c r="G197" s="302">
        <v>0.62777987258325507</v>
      </c>
      <c r="H197" s="302">
        <f t="shared" ref="H197:H204" si="83">SUM(F197:G197)</f>
        <v>0.95100062737444824</v>
      </c>
      <c r="I197" s="303"/>
      <c r="J197" s="302">
        <v>0.28627587330284665</v>
      </c>
      <c r="K197" s="302">
        <v>0.5803486380560251</v>
      </c>
      <c r="L197" s="302">
        <f t="shared" ref="L197:L204" si="84">SUM(J197:K197)</f>
        <v>0.86662451135887175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0.24192395822479903</v>
      </c>
      <c r="C198" s="302">
        <v>0.21183020062483365</v>
      </c>
      <c r="D198" s="302">
        <f t="shared" si="82"/>
        <v>0.45375415884963266</v>
      </c>
      <c r="E198" s="303"/>
      <c r="F198" s="302">
        <v>0.28314756086632781</v>
      </c>
      <c r="G198" s="302">
        <v>0.28733685140541076</v>
      </c>
      <c r="H198" s="302">
        <f t="shared" si="83"/>
        <v>0.57048441227173852</v>
      </c>
      <c r="I198" s="303"/>
      <c r="J198" s="302">
        <v>0.22906425755118409</v>
      </c>
      <c r="K198" s="302">
        <v>0.23813043145557833</v>
      </c>
      <c r="L198" s="302">
        <f t="shared" si="84"/>
        <v>0.46719468900676242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0.15150201782759914</v>
      </c>
      <c r="C199" s="302">
        <v>5.5520157963848245E-2</v>
      </c>
      <c r="D199" s="302">
        <f t="shared" si="82"/>
        <v>0.20702217579144738</v>
      </c>
      <c r="E199" s="303"/>
      <c r="F199" s="302">
        <v>0.13633813742292403</v>
      </c>
      <c r="G199" s="302">
        <v>6.334076869023815E-2</v>
      </c>
      <c r="H199" s="302">
        <f t="shared" si="83"/>
        <v>0.19967890611316219</v>
      </c>
      <c r="I199" s="303"/>
      <c r="J199" s="302">
        <v>7.6413244448998011E-2</v>
      </c>
      <c r="K199" s="302">
        <v>5.7089513281879334E-2</v>
      </c>
      <c r="L199" s="302">
        <f t="shared" si="84"/>
        <v>0.13350275773087733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9.2774682800249447E-3</v>
      </c>
      <c r="C200" s="302">
        <v>0.12138755339067987</v>
      </c>
      <c r="D200" s="302">
        <f t="shared" si="82"/>
        <v>0.13066502167070482</v>
      </c>
      <c r="E200" s="303"/>
      <c r="F200" s="302">
        <v>8.1603128983931406E-3</v>
      </c>
      <c r="G200" s="302">
        <v>0.10032758123566823</v>
      </c>
      <c r="H200" s="302">
        <f t="shared" si="83"/>
        <v>0.10848789413406137</v>
      </c>
      <c r="I200" s="303"/>
      <c r="J200" s="302">
        <v>1.371294852835823E-2</v>
      </c>
      <c r="K200" s="302">
        <v>6.2864801020487207E-2</v>
      </c>
      <c r="L200" s="302">
        <f t="shared" si="84"/>
        <v>7.6577749548845442E-2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2.8546426006893489E-2</v>
      </c>
      <c r="C201" s="302">
        <v>1.1626647062131578E-2</v>
      </c>
      <c r="D201" s="302">
        <f t="shared" si="82"/>
        <v>4.0173073069025067E-2</v>
      </c>
      <c r="E201" s="303"/>
      <c r="F201" s="302">
        <v>2.0272791205423166E-2</v>
      </c>
      <c r="G201" s="302">
        <v>1.3510775478780332E-2</v>
      </c>
      <c r="H201" s="302">
        <f t="shared" si="83"/>
        <v>3.37835666842035E-2</v>
      </c>
      <c r="I201" s="303"/>
      <c r="J201" s="302">
        <v>1.3605300461175529E-2</v>
      </c>
      <c r="K201" s="302">
        <v>1.2157797460749856E-2</v>
      </c>
      <c r="L201" s="302">
        <f t="shared" si="84"/>
        <v>2.5763097921925385E-2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4.48209891990397E-2</v>
      </c>
      <c r="C202" s="302">
        <v>7.5057096827075592E-2</v>
      </c>
      <c r="D202" s="302">
        <f t="shared" si="82"/>
        <v>0.1198780860261153</v>
      </c>
      <c r="E202" s="303"/>
      <c r="F202" s="302">
        <v>4.0892881047432314E-2</v>
      </c>
      <c r="G202" s="302">
        <v>5.9042342959703113E-2</v>
      </c>
      <c r="H202" s="302">
        <f t="shared" si="83"/>
        <v>9.993522400713542E-2</v>
      </c>
      <c r="I202" s="303"/>
      <c r="J202" s="302">
        <v>3.4882373565511146E-2</v>
      </c>
      <c r="K202" s="302">
        <v>5.8195907698786915E-2</v>
      </c>
      <c r="L202" s="302">
        <f t="shared" si="84"/>
        <v>9.3078281264298068E-2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7.5895147366174628E-2</v>
      </c>
      <c r="C203" s="302">
        <v>0.247283064237522</v>
      </c>
      <c r="D203" s="302">
        <f t="shared" si="82"/>
        <v>0.32317821160369664</v>
      </c>
      <c r="E203" s="303"/>
      <c r="F203" s="302">
        <v>5.5774892667562991E-2</v>
      </c>
      <c r="G203" s="302">
        <v>0.22330934949873504</v>
      </c>
      <c r="H203" s="302">
        <f t="shared" si="83"/>
        <v>0.27908424216629801</v>
      </c>
      <c r="I203" s="303"/>
      <c r="J203" s="302">
        <v>5.2799649100703422E-2</v>
      </c>
      <c r="K203" s="302">
        <v>0.18713185250309952</v>
      </c>
      <c r="L203" s="302">
        <f t="shared" si="84"/>
        <v>0.23993150160380294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0.10121678275993248</v>
      </c>
      <c r="C204" s="302">
        <v>7.3602646176818901E-2</v>
      </c>
      <c r="D204" s="302">
        <f t="shared" si="82"/>
        <v>0.1748194289367514</v>
      </c>
      <c r="E204" s="303"/>
      <c r="F204" s="302">
        <v>6.7677318081093771E-2</v>
      </c>
      <c r="G204" s="302">
        <v>5.6636236061462647E-2</v>
      </c>
      <c r="H204" s="302">
        <f t="shared" si="83"/>
        <v>0.12431355414255642</v>
      </c>
      <c r="I204" s="303"/>
      <c r="J204" s="302">
        <v>5.0247918353277313E-2</v>
      </c>
      <c r="K204" s="302">
        <v>3.554309549027343E-2</v>
      </c>
      <c r="L204" s="302">
        <f t="shared" si="84"/>
        <v>8.5791013843550742E-2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32</v>
      </c>
      <c r="B206" s="311">
        <f>SUM(B196:B204)</f>
        <v>1.0029999999896677</v>
      </c>
      <c r="C206" s="311">
        <f t="shared" ref="C206:D206" si="85">SUM(C196:C204)</f>
        <v>1.4660000000041076</v>
      </c>
      <c r="D206" s="311">
        <f t="shared" si="85"/>
        <v>2.4689999999937755</v>
      </c>
      <c r="E206" s="311"/>
      <c r="F206" s="311">
        <f t="shared" ref="F206:H206" si="86">SUM(F196:F204)</f>
        <v>1.0379999999903373</v>
      </c>
      <c r="G206" s="311">
        <f t="shared" si="86"/>
        <v>1.7759999999966092</v>
      </c>
      <c r="H206" s="311">
        <f t="shared" si="86"/>
        <v>2.8139999999869465</v>
      </c>
      <c r="I206" s="311"/>
      <c r="J206" s="311">
        <f t="shared" ref="J206:L206" si="87">SUM(J196:J204)</f>
        <v>0.84500000000345665</v>
      </c>
      <c r="K206" s="311">
        <f t="shared" si="87"/>
        <v>1.5120000000083766</v>
      </c>
      <c r="L206" s="311">
        <f t="shared" si="87"/>
        <v>2.357000000011833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35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name!A15</f>
        <v>Rubber and plastic</v>
      </c>
      <c r="B210" s="372">
        <f>B$6</f>
        <v>2015</v>
      </c>
      <c r="C210" s="372"/>
      <c r="D210" s="372"/>
      <c r="E210" s="253"/>
      <c r="F210" s="372">
        <f>F193</f>
        <v>2020</v>
      </c>
      <c r="G210" s="372"/>
      <c r="H210" s="372"/>
      <c r="I210" s="253"/>
      <c r="J210" s="372">
        <f>J193</f>
        <v>2035</v>
      </c>
      <c r="K210" s="372"/>
      <c r="L210" s="372"/>
      <c r="M210" s="236"/>
      <c r="N210" s="236"/>
    </row>
    <row r="211" spans="1:14" x14ac:dyDescent="0.2">
      <c r="A211" s="254"/>
      <c r="B211" s="255" t="s">
        <v>352</v>
      </c>
      <c r="C211" s="255" t="s">
        <v>353</v>
      </c>
      <c r="D211" s="255" t="s">
        <v>32</v>
      </c>
      <c r="E211" s="255"/>
      <c r="F211" s="255" t="s">
        <v>352</v>
      </c>
      <c r="G211" s="255" t="s">
        <v>353</v>
      </c>
      <c r="H211" s="255" t="s">
        <v>32</v>
      </c>
      <c r="I211" s="255"/>
      <c r="J211" s="255" t="s">
        <v>352</v>
      </c>
      <c r="K211" s="255" t="s">
        <v>353</v>
      </c>
      <c r="L211" s="255" t="s">
        <v>32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0.28546168271127675</v>
      </c>
      <c r="C213" s="302">
        <v>2.472627616029182</v>
      </c>
      <c r="D213" s="302">
        <f>SUM(B213:C213)</f>
        <v>2.7580892987404586</v>
      </c>
      <c r="E213" s="303"/>
      <c r="F213" s="302">
        <v>0.31822515250016453</v>
      </c>
      <c r="G213" s="302">
        <v>2.8339430122559444</v>
      </c>
      <c r="H213" s="302">
        <f>SUM(F213:G213)</f>
        <v>3.1521681647561088</v>
      </c>
      <c r="I213" s="303"/>
      <c r="J213" s="302">
        <v>0.26700693553656046</v>
      </c>
      <c r="K213" s="302">
        <v>2.284179997332604</v>
      </c>
      <c r="L213" s="302">
        <f>SUM(J213:K213)</f>
        <v>2.5511869328691645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0.23779391102680761</v>
      </c>
      <c r="C214" s="302">
        <v>1.6212423661992517</v>
      </c>
      <c r="D214" s="302">
        <f t="shared" ref="D214:D221" si="88">SUM(B214:C214)</f>
        <v>1.8590362772260594</v>
      </c>
      <c r="E214" s="303"/>
      <c r="F214" s="302">
        <v>0.28993043160478016</v>
      </c>
      <c r="G214" s="302">
        <v>2.0628290215401495</v>
      </c>
      <c r="H214" s="302">
        <f t="shared" ref="H214:H221" si="89">SUM(F214:G214)</f>
        <v>2.3527594531449294</v>
      </c>
      <c r="I214" s="303"/>
      <c r="J214" s="302">
        <v>0.26937521884986054</v>
      </c>
      <c r="K214" s="302">
        <v>1.9558655859062246</v>
      </c>
      <c r="L214" s="302">
        <f t="shared" ref="L214:L221" si="90">SUM(J214:K214)</f>
        <v>2.2252408047560852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0.34943567800388675</v>
      </c>
      <c r="C215" s="302">
        <v>1.4551092290401471</v>
      </c>
      <c r="D215" s="302">
        <f t="shared" si="88"/>
        <v>1.8045449070440338</v>
      </c>
      <c r="E215" s="303"/>
      <c r="F215" s="302">
        <v>0.35495492797274758</v>
      </c>
      <c r="G215" s="302">
        <v>1.7324775233114533</v>
      </c>
      <c r="H215" s="302">
        <f t="shared" si="89"/>
        <v>2.0874324512842009</v>
      </c>
      <c r="I215" s="303"/>
      <c r="J215" s="302">
        <v>0.2690329216035357</v>
      </c>
      <c r="K215" s="302">
        <v>1.246061308270997</v>
      </c>
      <c r="L215" s="302">
        <f t="shared" si="90"/>
        <v>1.5150942298745327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1.0079064399890525</v>
      </c>
      <c r="C216" s="302">
        <v>0.62106348308972714</v>
      </c>
      <c r="D216" s="302">
        <f t="shared" si="88"/>
        <v>1.6289699230787797</v>
      </c>
      <c r="E216" s="303"/>
      <c r="F216" s="302">
        <v>0.86471356629879348</v>
      </c>
      <c r="G216" s="302">
        <v>0.7234590320004185</v>
      </c>
      <c r="H216" s="302">
        <f t="shared" si="89"/>
        <v>1.5881725982992121</v>
      </c>
      <c r="I216" s="303"/>
      <c r="J216" s="302">
        <v>0.50049836867377961</v>
      </c>
      <c r="K216" s="302">
        <v>0.60290843444111708</v>
      </c>
      <c r="L216" s="302">
        <f t="shared" si="90"/>
        <v>1.1034068031148967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0.27042489132385411</v>
      </c>
      <c r="C217" s="302">
        <v>3.0104592033755861</v>
      </c>
      <c r="D217" s="302">
        <f t="shared" si="88"/>
        <v>3.2808840946994402</v>
      </c>
      <c r="E217" s="303"/>
      <c r="F217" s="302">
        <v>0.10069054842649325</v>
      </c>
      <c r="G217" s="302">
        <v>2.3435627495320404</v>
      </c>
      <c r="H217" s="302">
        <f t="shared" si="89"/>
        <v>2.4442532979585336</v>
      </c>
      <c r="I217" s="303"/>
      <c r="J217" s="302">
        <v>8.2581761513848759E-2</v>
      </c>
      <c r="K217" s="302">
        <v>1.3497154677415559</v>
      </c>
      <c r="L217" s="302">
        <f t="shared" si="90"/>
        <v>1.4322972292554046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0.10906670825427535</v>
      </c>
      <c r="C218" s="302">
        <v>4.9957263137274679E-2</v>
      </c>
      <c r="D218" s="302">
        <f t="shared" si="88"/>
        <v>0.15902397139155003</v>
      </c>
      <c r="E218" s="303"/>
      <c r="F218" s="302">
        <v>8.3245828087885498E-2</v>
      </c>
      <c r="G218" s="302">
        <v>6.5117824979595437E-2</v>
      </c>
      <c r="H218" s="302">
        <f t="shared" si="89"/>
        <v>0.14836365306748095</v>
      </c>
      <c r="I218" s="303"/>
      <c r="J218" s="302">
        <v>5.9866306028030093E-2</v>
      </c>
      <c r="K218" s="302">
        <v>5.9811108016252196E-2</v>
      </c>
      <c r="L218" s="302">
        <f t="shared" si="90"/>
        <v>0.11967741404428228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0.24748674207332824</v>
      </c>
      <c r="C219" s="302">
        <v>0.88801414819719349</v>
      </c>
      <c r="D219" s="302">
        <f t="shared" si="88"/>
        <v>1.1355008902705217</v>
      </c>
      <c r="E219" s="303"/>
      <c r="F219" s="302">
        <v>0.2097172931881259</v>
      </c>
      <c r="G219" s="302">
        <v>0.88138993932384924</v>
      </c>
      <c r="H219" s="302">
        <f t="shared" si="89"/>
        <v>1.0911072325119751</v>
      </c>
      <c r="I219" s="303"/>
      <c r="J219" s="302">
        <v>0.16629160645878915</v>
      </c>
      <c r="K219" s="302">
        <v>0.75515115324477255</v>
      </c>
      <c r="L219" s="302">
        <f t="shared" si="90"/>
        <v>0.92144275970356171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0.67206034774374401</v>
      </c>
      <c r="C220" s="302">
        <v>6.8071319830692074</v>
      </c>
      <c r="D220" s="302">
        <f t="shared" si="88"/>
        <v>7.4791923308129515</v>
      </c>
      <c r="E220" s="303"/>
      <c r="F220" s="302">
        <v>0.45554688327531218</v>
      </c>
      <c r="G220" s="302">
        <v>5.583153900498381</v>
      </c>
      <c r="H220" s="302">
        <f t="shared" si="89"/>
        <v>6.0387007837736935</v>
      </c>
      <c r="I220" s="303"/>
      <c r="J220" s="302">
        <v>0.47700159037738421</v>
      </c>
      <c r="K220" s="302">
        <v>4.878879747540668</v>
      </c>
      <c r="L220" s="302">
        <f t="shared" si="90"/>
        <v>5.3558813379180519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0.36936359889477727</v>
      </c>
      <c r="C221" s="302">
        <v>2.0523947076782556</v>
      </c>
      <c r="D221" s="302">
        <f t="shared" si="88"/>
        <v>2.4217583065730328</v>
      </c>
      <c r="E221" s="303"/>
      <c r="F221" s="302">
        <v>0.24297536864672586</v>
      </c>
      <c r="G221" s="302">
        <v>1.697066996609887</v>
      </c>
      <c r="H221" s="302">
        <f t="shared" si="89"/>
        <v>1.940042365256613</v>
      </c>
      <c r="I221" s="303"/>
      <c r="J221" s="302">
        <v>0.13834529094594925</v>
      </c>
      <c r="K221" s="302">
        <v>0.9504271975888694</v>
      </c>
      <c r="L221" s="302">
        <f t="shared" si="90"/>
        <v>1.0887724885348187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32</v>
      </c>
      <c r="B223" s="311">
        <f>SUM(B213:B221)</f>
        <v>3.5490000000210031</v>
      </c>
      <c r="C223" s="311">
        <f t="shared" ref="C223:D223" si="91">SUM(C213:C221)</f>
        <v>18.977999999815825</v>
      </c>
      <c r="D223" s="311">
        <f t="shared" si="91"/>
        <v>22.526999999836825</v>
      </c>
      <c r="E223" s="311"/>
      <c r="F223" s="311">
        <f t="shared" ref="F223:H223" si="92">SUM(F213:F221)</f>
        <v>2.920000000001028</v>
      </c>
      <c r="G223" s="311">
        <f t="shared" si="92"/>
        <v>17.923000000051719</v>
      </c>
      <c r="H223" s="311">
        <f t="shared" si="92"/>
        <v>20.843000000052747</v>
      </c>
      <c r="I223" s="311"/>
      <c r="J223" s="311">
        <f t="shared" ref="J223:L223" si="93">SUM(J213:J221)</f>
        <v>2.2299999999877378</v>
      </c>
      <c r="K223" s="311">
        <f t="shared" si="93"/>
        <v>14.083000000083061</v>
      </c>
      <c r="L223" s="311">
        <f t="shared" si="93"/>
        <v>16.313000000070797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35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name!A16</f>
        <v>Other non-metallic</v>
      </c>
      <c r="B227" s="372">
        <f>B$6</f>
        <v>2015</v>
      </c>
      <c r="C227" s="372"/>
      <c r="D227" s="372"/>
      <c r="E227" s="253"/>
      <c r="F227" s="372">
        <f>F210</f>
        <v>2020</v>
      </c>
      <c r="G227" s="372"/>
      <c r="H227" s="372"/>
      <c r="I227" s="253"/>
      <c r="J227" s="372">
        <f>J210</f>
        <v>2035</v>
      </c>
      <c r="K227" s="372"/>
      <c r="L227" s="372"/>
      <c r="M227" s="236"/>
      <c r="N227" s="236"/>
    </row>
    <row r="228" spans="1:14" x14ac:dyDescent="0.2">
      <c r="A228" s="254"/>
      <c r="B228" s="255" t="s">
        <v>352</v>
      </c>
      <c r="C228" s="255" t="s">
        <v>353</v>
      </c>
      <c r="D228" s="255" t="s">
        <v>32</v>
      </c>
      <c r="E228" s="255"/>
      <c r="F228" s="255" t="s">
        <v>352</v>
      </c>
      <c r="G228" s="255" t="s">
        <v>353</v>
      </c>
      <c r="H228" s="255" t="s">
        <v>32</v>
      </c>
      <c r="I228" s="255"/>
      <c r="J228" s="255" t="s">
        <v>352</v>
      </c>
      <c r="K228" s="255" t="s">
        <v>353</v>
      </c>
      <c r="L228" s="255" t="s">
        <v>32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0.51053787934563333</v>
      </c>
      <c r="C230" s="302">
        <v>0.76511109609508943</v>
      </c>
      <c r="D230" s="302">
        <f>SUM(B230:C230)</f>
        <v>1.2756489754407228</v>
      </c>
      <c r="E230" s="303"/>
      <c r="F230" s="302">
        <v>0.71687698139112677</v>
      </c>
      <c r="G230" s="302">
        <v>1.1346100700250688</v>
      </c>
      <c r="H230" s="302">
        <f>SUM(F230:G230)</f>
        <v>1.8514870514161954</v>
      </c>
      <c r="I230" s="303"/>
      <c r="J230" s="302">
        <v>0.57912036985485993</v>
      </c>
      <c r="K230" s="302">
        <v>0.88675399973045876</v>
      </c>
      <c r="L230" s="302">
        <f>SUM(J230:K230)</f>
        <v>1.4658743695853187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0.27607301084321723</v>
      </c>
      <c r="C231" s="302">
        <v>0.42370446055085781</v>
      </c>
      <c r="D231" s="302">
        <f t="shared" ref="D231:D238" si="94">SUM(B231:C231)</f>
        <v>0.69977747139407498</v>
      </c>
      <c r="E231" s="303"/>
      <c r="F231" s="302">
        <v>0.43767148779702086</v>
      </c>
      <c r="G231" s="302">
        <v>0.76435731325821976</v>
      </c>
      <c r="H231" s="302">
        <f t="shared" ref="H231:H238" si="95">SUM(F231:G231)</f>
        <v>1.2020288010552407</v>
      </c>
      <c r="I231" s="303"/>
      <c r="J231" s="302">
        <v>0.38424454752911469</v>
      </c>
      <c r="K231" s="302">
        <v>0.73599161388758405</v>
      </c>
      <c r="L231" s="302">
        <f t="shared" ref="L231:L238" si="96">SUM(J231:K231)</f>
        <v>1.1202361614166987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0.44195008585426415</v>
      </c>
      <c r="C232" s="302">
        <v>0.5778910888374309</v>
      </c>
      <c r="D232" s="302">
        <f t="shared" si="94"/>
        <v>1.0198411746916951</v>
      </c>
      <c r="E232" s="303"/>
      <c r="F232" s="302">
        <v>0.59662472542376122</v>
      </c>
      <c r="G232" s="302">
        <v>0.94356140977665481</v>
      </c>
      <c r="H232" s="302">
        <f t="shared" si="95"/>
        <v>1.540186135200416</v>
      </c>
      <c r="I232" s="303"/>
      <c r="J232" s="302">
        <v>0.44555526472045542</v>
      </c>
      <c r="K232" s="302">
        <v>0.71188723353583261</v>
      </c>
      <c r="L232" s="302">
        <f t="shared" si="96"/>
        <v>1.1574424982562881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0.95893061436786242</v>
      </c>
      <c r="C233" s="302">
        <v>0.29460661198522203</v>
      </c>
      <c r="D233" s="302">
        <f t="shared" si="94"/>
        <v>1.2535372263530844</v>
      </c>
      <c r="E233" s="303"/>
      <c r="F233" s="302">
        <v>0.94079615745665934</v>
      </c>
      <c r="G233" s="302">
        <v>0.47424577591837286</v>
      </c>
      <c r="H233" s="302">
        <f t="shared" si="95"/>
        <v>1.4150419333750321</v>
      </c>
      <c r="I233" s="303"/>
      <c r="J233" s="302">
        <v>0.4434783299376735</v>
      </c>
      <c r="K233" s="302">
        <v>0.39994526428883409</v>
      </c>
      <c r="L233" s="302">
        <f t="shared" si="96"/>
        <v>0.84342359422650759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6.0239440784668211E-2</v>
      </c>
      <c r="C234" s="302">
        <v>1.9625650484473445</v>
      </c>
      <c r="D234" s="302">
        <f t="shared" si="94"/>
        <v>2.0228044892320125</v>
      </c>
      <c r="E234" s="303"/>
      <c r="F234" s="302">
        <v>5.5396474446981772E-2</v>
      </c>
      <c r="G234" s="302">
        <v>2.0642594076625254</v>
      </c>
      <c r="H234" s="302">
        <f t="shared" si="95"/>
        <v>2.1196558821095071</v>
      </c>
      <c r="I234" s="303"/>
      <c r="J234" s="302">
        <v>5.0719806670110272E-2</v>
      </c>
      <c r="K234" s="302">
        <v>1.3566149674897872</v>
      </c>
      <c r="L234" s="302">
        <f t="shared" si="96"/>
        <v>1.4073347741598974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4.362724970294974E-2</v>
      </c>
      <c r="C235" s="302">
        <v>7.8431729663148542E-2</v>
      </c>
      <c r="D235" s="302">
        <f t="shared" si="94"/>
        <v>0.12205897936609827</v>
      </c>
      <c r="E235" s="303"/>
      <c r="F235" s="302">
        <v>3.7425678488049605E-2</v>
      </c>
      <c r="G235" s="302">
        <v>0.12813491553420747</v>
      </c>
      <c r="H235" s="302">
        <f t="shared" si="95"/>
        <v>0.16556059402225709</v>
      </c>
      <c r="I235" s="303"/>
      <c r="J235" s="302">
        <v>2.2577082700608594E-2</v>
      </c>
      <c r="K235" s="302">
        <v>0.16182619183236924</v>
      </c>
      <c r="L235" s="302">
        <f t="shared" si="96"/>
        <v>0.18440327453297783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0.22569945459940946</v>
      </c>
      <c r="C236" s="302">
        <v>0.28397858177842406</v>
      </c>
      <c r="D236" s="302">
        <f t="shared" si="94"/>
        <v>0.50967803637783349</v>
      </c>
      <c r="E236" s="303"/>
      <c r="F236" s="302">
        <v>0.2238766631501112</v>
      </c>
      <c r="G236" s="302">
        <v>0.37441689642542358</v>
      </c>
      <c r="H236" s="302">
        <f t="shared" si="95"/>
        <v>0.59829355957553476</v>
      </c>
      <c r="I236" s="303"/>
      <c r="J236" s="302">
        <v>0.15071189022133979</v>
      </c>
      <c r="K236" s="302">
        <v>0.35427234416890935</v>
      </c>
      <c r="L236" s="302">
        <f t="shared" si="96"/>
        <v>0.50498423439024909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0.49753178916155644</v>
      </c>
      <c r="C237" s="302">
        <v>3.4939431057499344</v>
      </c>
      <c r="D237" s="302">
        <f t="shared" si="94"/>
        <v>3.9914748949114909</v>
      </c>
      <c r="E237" s="303"/>
      <c r="F237" s="302">
        <v>0.42597922870841887</v>
      </c>
      <c r="G237" s="302">
        <v>4.0157517987885383</v>
      </c>
      <c r="H237" s="302">
        <f t="shared" si="95"/>
        <v>4.4417310274969575</v>
      </c>
      <c r="I237" s="303"/>
      <c r="J237" s="302">
        <v>0.55291919603197948</v>
      </c>
      <c r="K237" s="302">
        <v>3.5455774243346343</v>
      </c>
      <c r="L237" s="302">
        <f t="shared" si="96"/>
        <v>4.098496620366614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0.48741047534044968</v>
      </c>
      <c r="C238" s="302">
        <v>1.3137682767722152</v>
      </c>
      <c r="D238" s="302">
        <f t="shared" si="94"/>
        <v>1.8011787521126648</v>
      </c>
      <c r="E238" s="303"/>
      <c r="F238" s="302">
        <v>0.35235260311185856</v>
      </c>
      <c r="G238" s="302">
        <v>1.5116624126927409</v>
      </c>
      <c r="H238" s="302">
        <f t="shared" si="95"/>
        <v>1.8640150158045996</v>
      </c>
      <c r="I238" s="303"/>
      <c r="J238" s="302">
        <v>0.2006735123247895</v>
      </c>
      <c r="K238" s="302">
        <v>0.88113096082192766</v>
      </c>
      <c r="L238" s="302">
        <f t="shared" si="96"/>
        <v>1.0818044731467171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32</v>
      </c>
      <c r="B240" s="311">
        <f>SUM(B230:B238)</f>
        <v>3.5020000000000104</v>
      </c>
      <c r="C240" s="311">
        <f t="shared" ref="C240:D240" si="97">SUM(C230:C238)</f>
        <v>9.1939999998796669</v>
      </c>
      <c r="D240" s="311">
        <f t="shared" si="97"/>
        <v>12.695999999879678</v>
      </c>
      <c r="E240" s="311"/>
      <c r="F240" s="311">
        <f t="shared" ref="F240:H240" si="98">SUM(F230:F238)</f>
        <v>3.7869999999739878</v>
      </c>
      <c r="G240" s="311">
        <f t="shared" si="98"/>
        <v>11.411000000081753</v>
      </c>
      <c r="H240" s="311">
        <f t="shared" si="98"/>
        <v>15.198000000055739</v>
      </c>
      <c r="I240" s="311"/>
      <c r="J240" s="311">
        <f t="shared" ref="J240:L240" si="99">SUM(J230:J238)</f>
        <v>2.8299999999909313</v>
      </c>
      <c r="K240" s="311">
        <f t="shared" si="99"/>
        <v>9.0340000000903373</v>
      </c>
      <c r="L240" s="311">
        <f t="shared" si="99"/>
        <v>11.864000000081267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35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name!A17</f>
        <v>Basic metals</v>
      </c>
      <c r="B244" s="372">
        <f>B$6</f>
        <v>2015</v>
      </c>
      <c r="C244" s="372"/>
      <c r="D244" s="372"/>
      <c r="E244" s="253"/>
      <c r="F244" s="372">
        <f>F227</f>
        <v>2020</v>
      </c>
      <c r="G244" s="372"/>
      <c r="H244" s="372"/>
      <c r="I244" s="253"/>
      <c r="J244" s="372">
        <f>J227</f>
        <v>2035</v>
      </c>
      <c r="K244" s="372"/>
      <c r="L244" s="372"/>
      <c r="M244" s="236"/>
      <c r="N244" s="236"/>
    </row>
    <row r="245" spans="1:14" x14ac:dyDescent="0.2">
      <c r="A245" s="254"/>
      <c r="B245" s="255" t="s">
        <v>352</v>
      </c>
      <c r="C245" s="255" t="s">
        <v>353</v>
      </c>
      <c r="D245" s="255" t="s">
        <v>32</v>
      </c>
      <c r="E245" s="255"/>
      <c r="F245" s="255" t="s">
        <v>352</v>
      </c>
      <c r="G245" s="255" t="s">
        <v>353</v>
      </c>
      <c r="H245" s="255" t="s">
        <v>32</v>
      </c>
      <c r="I245" s="255"/>
      <c r="J245" s="255" t="s">
        <v>352</v>
      </c>
      <c r="K245" s="255" t="s">
        <v>353</v>
      </c>
      <c r="L245" s="255" t="s">
        <v>32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4.5733118662755895E-2</v>
      </c>
      <c r="C247" s="302">
        <v>0.34869326310546672</v>
      </c>
      <c r="D247" s="302">
        <f>SUM(B247:C247)</f>
        <v>0.39442638176822264</v>
      </c>
      <c r="E247" s="303"/>
      <c r="F247" s="302">
        <v>4.9056271004644339E-2</v>
      </c>
      <c r="G247" s="302">
        <v>0.40501069278065022</v>
      </c>
      <c r="H247" s="302">
        <f>SUM(F247:G247)</f>
        <v>0.45406696378529454</v>
      </c>
      <c r="I247" s="303"/>
      <c r="J247" s="302">
        <v>4.5570979330383905E-2</v>
      </c>
      <c r="K247" s="302">
        <v>0.36000368903099078</v>
      </c>
      <c r="L247" s="302">
        <f>SUM(J247:K247)</f>
        <v>0.40557466836137468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0.11949991925956968</v>
      </c>
      <c r="C248" s="302">
        <v>0.26082144942812663</v>
      </c>
      <c r="D248" s="302">
        <f t="shared" ref="D248:D255" si="100">SUM(B248:C248)</f>
        <v>0.38032136868769628</v>
      </c>
      <c r="E248" s="303"/>
      <c r="F248" s="302">
        <v>0.13089495843487298</v>
      </c>
      <c r="G248" s="302">
        <v>0.30826861274319572</v>
      </c>
      <c r="H248" s="302">
        <f t="shared" ref="H248:H255" si="101">SUM(F248:G248)</f>
        <v>0.4391635711780687</v>
      </c>
      <c r="I248" s="303"/>
      <c r="J248" s="302">
        <v>0.13077524814122918</v>
      </c>
      <c r="K248" s="302">
        <v>0.31846231877714815</v>
      </c>
      <c r="L248" s="302">
        <f t="shared" ref="L248:L255" si="102">SUM(J248:K248)</f>
        <v>0.44923756691837735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0.10396283643543794</v>
      </c>
      <c r="C249" s="302">
        <v>0.2744114358999285</v>
      </c>
      <c r="D249" s="302">
        <f t="shared" si="100"/>
        <v>0.37837427233536647</v>
      </c>
      <c r="E249" s="303"/>
      <c r="F249" s="302">
        <v>0.10591541085637964</v>
      </c>
      <c r="G249" s="302">
        <v>0.33017667857577399</v>
      </c>
      <c r="H249" s="302">
        <f t="shared" si="101"/>
        <v>0.43609208943215361</v>
      </c>
      <c r="I249" s="303"/>
      <c r="J249" s="302">
        <v>9.3021164235555009E-2</v>
      </c>
      <c r="K249" s="302">
        <v>0.2648993305850304</v>
      </c>
      <c r="L249" s="302">
        <f t="shared" si="102"/>
        <v>0.35792049482058541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5.9746515824880317E-2</v>
      </c>
      <c r="C250" s="302">
        <v>0.31207017184265556</v>
      </c>
      <c r="D250" s="302">
        <f t="shared" si="100"/>
        <v>0.37181668766753589</v>
      </c>
      <c r="E250" s="303"/>
      <c r="F250" s="302">
        <v>6.68996832874479E-2</v>
      </c>
      <c r="G250" s="302">
        <v>0.37046507450412958</v>
      </c>
      <c r="H250" s="302">
        <f t="shared" si="101"/>
        <v>0.43736475779157746</v>
      </c>
      <c r="I250" s="303"/>
      <c r="J250" s="302">
        <v>4.0571003678548143E-2</v>
      </c>
      <c r="K250" s="302">
        <v>0.34864862684452591</v>
      </c>
      <c r="L250" s="302">
        <f t="shared" si="102"/>
        <v>0.38921963052307407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2.4266990907522702E-2</v>
      </c>
      <c r="C251" s="302">
        <v>1.4322544687228516</v>
      </c>
      <c r="D251" s="302">
        <f t="shared" si="100"/>
        <v>1.4565214596303742</v>
      </c>
      <c r="E251" s="303"/>
      <c r="F251" s="302">
        <v>2.5904606239717232E-2</v>
      </c>
      <c r="G251" s="302">
        <v>1.2064431029669298</v>
      </c>
      <c r="H251" s="302">
        <f t="shared" si="101"/>
        <v>1.232347709206647</v>
      </c>
      <c r="I251" s="303"/>
      <c r="J251" s="302">
        <v>4.0956893706019931E-2</v>
      </c>
      <c r="K251" s="302">
        <v>0.86080888796893806</v>
      </c>
      <c r="L251" s="302">
        <f t="shared" si="102"/>
        <v>0.90176578167495802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1.0772241112792924E-2</v>
      </c>
      <c r="C252" s="302">
        <v>3.0537105752620398E-2</v>
      </c>
      <c r="D252" s="302">
        <f t="shared" si="100"/>
        <v>4.1309346865413321E-2</v>
      </c>
      <c r="E252" s="303"/>
      <c r="F252" s="302">
        <v>9.095473591870358E-3</v>
      </c>
      <c r="G252" s="302">
        <v>3.4550089726599349E-2</v>
      </c>
      <c r="H252" s="302">
        <f t="shared" si="101"/>
        <v>4.3645563318469707E-2</v>
      </c>
      <c r="I252" s="303"/>
      <c r="J252" s="302">
        <v>7.179753558969831E-3</v>
      </c>
      <c r="K252" s="302">
        <v>3.1772450163046771E-2</v>
      </c>
      <c r="L252" s="302">
        <f t="shared" si="102"/>
        <v>3.8952203722016604E-2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1.3627834242687502E-2</v>
      </c>
      <c r="C253" s="302">
        <v>6.4579790253529792E-2</v>
      </c>
      <c r="D253" s="302">
        <f t="shared" si="100"/>
        <v>7.8207624496217293E-2</v>
      </c>
      <c r="E253" s="303"/>
      <c r="F253" s="302">
        <v>1.4601158620485808E-2</v>
      </c>
      <c r="G253" s="302">
        <v>6.9702011186335205E-2</v>
      </c>
      <c r="H253" s="302">
        <f t="shared" si="101"/>
        <v>8.430316980682101E-2</v>
      </c>
      <c r="I253" s="303"/>
      <c r="J253" s="302">
        <v>1.3278955129215749E-2</v>
      </c>
      <c r="K253" s="302">
        <v>7.78325667780186E-2</v>
      </c>
      <c r="L253" s="302">
        <f t="shared" si="102"/>
        <v>9.1111521907234344E-2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8.024264269523898E-2</v>
      </c>
      <c r="C254" s="302">
        <v>0.97883242544089299</v>
      </c>
      <c r="D254" s="302">
        <f t="shared" si="100"/>
        <v>1.0590750681361321</v>
      </c>
      <c r="E254" s="303"/>
      <c r="F254" s="302">
        <v>5.9216697966077626E-2</v>
      </c>
      <c r="G254" s="302">
        <v>0.78851592075774091</v>
      </c>
      <c r="H254" s="302">
        <f t="shared" si="101"/>
        <v>0.84773261872381855</v>
      </c>
      <c r="I254" s="303"/>
      <c r="J254" s="302">
        <v>6.5004636547427483E-2</v>
      </c>
      <c r="K254" s="302">
        <v>0.7727678742544376</v>
      </c>
      <c r="L254" s="302">
        <f t="shared" si="102"/>
        <v>0.8377725108018651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2.5147900854456933E-2</v>
      </c>
      <c r="C255" s="302">
        <v>0.28479988951558549</v>
      </c>
      <c r="D255" s="302">
        <f t="shared" si="100"/>
        <v>0.30994779037004244</v>
      </c>
      <c r="E255" s="303"/>
      <c r="F255" s="302">
        <v>2.1415739995771756E-2</v>
      </c>
      <c r="G255" s="302">
        <v>0.23286781677372723</v>
      </c>
      <c r="H255" s="302">
        <f t="shared" si="101"/>
        <v>0.25428355676949899</v>
      </c>
      <c r="I255" s="303"/>
      <c r="J255" s="302">
        <v>1.3641365674646622E-2</v>
      </c>
      <c r="K255" s="302">
        <v>0.14880425562528046</v>
      </c>
      <c r="L255" s="302">
        <f t="shared" si="102"/>
        <v>0.1624456212999271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32</v>
      </c>
      <c r="B257" s="311">
        <f>SUM(B247:B255)</f>
        <v>0.48299999999534282</v>
      </c>
      <c r="C257" s="311">
        <f t="shared" ref="C257:D257" si="103">SUM(C247:C255)</f>
        <v>3.9869999999616579</v>
      </c>
      <c r="D257" s="311">
        <f t="shared" si="103"/>
        <v>4.4699999999570004</v>
      </c>
      <c r="E257" s="311"/>
      <c r="F257" s="311">
        <f t="shared" ref="F257:H257" si="104">SUM(F247:F255)</f>
        <v>0.48299999999726762</v>
      </c>
      <c r="G257" s="311">
        <f t="shared" si="104"/>
        <v>3.7460000000150822</v>
      </c>
      <c r="H257" s="311">
        <f t="shared" si="104"/>
        <v>4.2290000000123502</v>
      </c>
      <c r="I257" s="311"/>
      <c r="J257" s="311">
        <f t="shared" ref="J257:L257" si="105">SUM(J247:J255)</f>
        <v>0.45000000000199586</v>
      </c>
      <c r="K257" s="311">
        <f t="shared" si="105"/>
        <v>3.1840000000274173</v>
      </c>
      <c r="L257" s="311">
        <f t="shared" si="105"/>
        <v>3.6340000000294128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35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name!A18</f>
        <v>Metal products</v>
      </c>
      <c r="B261" s="372">
        <f>B$6</f>
        <v>2015</v>
      </c>
      <c r="C261" s="372"/>
      <c r="D261" s="372"/>
      <c r="E261" s="253"/>
      <c r="F261" s="372">
        <f>F244</f>
        <v>2020</v>
      </c>
      <c r="G261" s="372"/>
      <c r="H261" s="372"/>
      <c r="I261" s="253"/>
      <c r="J261" s="372">
        <f>J244</f>
        <v>2035</v>
      </c>
      <c r="K261" s="372"/>
      <c r="L261" s="372"/>
      <c r="M261" s="236"/>
      <c r="N261" s="236"/>
    </row>
    <row r="262" spans="1:14" x14ac:dyDescent="0.2">
      <c r="A262" s="254"/>
      <c r="B262" s="255" t="s">
        <v>352</v>
      </c>
      <c r="C262" s="255" t="s">
        <v>353</v>
      </c>
      <c r="D262" s="255" t="s">
        <v>32</v>
      </c>
      <c r="E262" s="255"/>
      <c r="F262" s="255" t="s">
        <v>352</v>
      </c>
      <c r="G262" s="255" t="s">
        <v>353</v>
      </c>
      <c r="H262" s="255" t="s">
        <v>32</v>
      </c>
      <c r="I262" s="255"/>
      <c r="J262" s="255" t="s">
        <v>352</v>
      </c>
      <c r="K262" s="255" t="s">
        <v>353</v>
      </c>
      <c r="L262" s="255" t="s">
        <v>32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0.37295995810500809</v>
      </c>
      <c r="C264" s="302">
        <v>2.791111235424848</v>
      </c>
      <c r="D264" s="302">
        <f>SUM(B264:C264)</f>
        <v>3.164071193529856</v>
      </c>
      <c r="E264" s="303"/>
      <c r="F264" s="302">
        <v>0.38816680501058792</v>
      </c>
      <c r="G264" s="302">
        <v>3.0228831236475027</v>
      </c>
      <c r="H264" s="302">
        <f>SUM(F264:G264)</f>
        <v>3.4110499286580906</v>
      </c>
      <c r="I264" s="303"/>
      <c r="J264" s="302">
        <v>0.37092219922496095</v>
      </c>
      <c r="K264" s="302">
        <v>2.6973765509814651</v>
      </c>
      <c r="L264" s="302">
        <f>SUM(J264:K264)</f>
        <v>3.0682987502064263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0.33384098502128212</v>
      </c>
      <c r="C265" s="302">
        <v>3.4276494775920234</v>
      </c>
      <c r="D265" s="302">
        <f t="shared" ref="D265:D272" si="106">SUM(B265:C265)</f>
        <v>3.7614904626133057</v>
      </c>
      <c r="E265" s="303"/>
      <c r="F265" s="302">
        <v>0.37610186283397723</v>
      </c>
      <c r="G265" s="302">
        <v>4.0166998378852483</v>
      </c>
      <c r="H265" s="302">
        <f t="shared" ref="H265:H272" si="107">SUM(F265:G265)</f>
        <v>4.3928017007192253</v>
      </c>
      <c r="I265" s="303"/>
      <c r="J265" s="302">
        <v>0.38927378227009274</v>
      </c>
      <c r="K265" s="302">
        <v>4.121550158990658</v>
      </c>
      <c r="L265" s="302">
        <f t="shared" ref="L265:L272" si="108">SUM(J265:K265)</f>
        <v>4.5108239412607505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0.45635851712092368</v>
      </c>
      <c r="C266" s="302">
        <v>2.9252018768588588</v>
      </c>
      <c r="D266" s="302">
        <f t="shared" si="106"/>
        <v>3.3815603939797825</v>
      </c>
      <c r="E266" s="303"/>
      <c r="F266" s="302">
        <v>0.42375812506362642</v>
      </c>
      <c r="G266" s="302">
        <v>3.3077951162913322</v>
      </c>
      <c r="H266" s="302">
        <f t="shared" si="107"/>
        <v>3.7315532413549586</v>
      </c>
      <c r="I266" s="303"/>
      <c r="J266" s="302">
        <v>0.35830677510179254</v>
      </c>
      <c r="K266" s="302">
        <v>2.6622043547589129</v>
      </c>
      <c r="L266" s="302">
        <f t="shared" si="108"/>
        <v>3.0205111298607052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1.8578548241114352</v>
      </c>
      <c r="C267" s="302">
        <v>0.86466487228600919</v>
      </c>
      <c r="D267" s="302">
        <f t="shared" si="106"/>
        <v>2.7225196963974443</v>
      </c>
      <c r="E267" s="303"/>
      <c r="F267" s="302">
        <v>1.360528221635579</v>
      </c>
      <c r="G267" s="302">
        <v>0.93983112614214648</v>
      </c>
      <c r="H267" s="302">
        <f t="shared" si="107"/>
        <v>2.3003593477777255</v>
      </c>
      <c r="I267" s="303"/>
      <c r="J267" s="302">
        <v>0.87622358284577262</v>
      </c>
      <c r="K267" s="302">
        <v>0.83952967038527937</v>
      </c>
      <c r="L267" s="302">
        <f t="shared" si="108"/>
        <v>1.715753253231052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0.21829920646237</v>
      </c>
      <c r="C268" s="302">
        <v>12.068582035585198</v>
      </c>
      <c r="D268" s="302">
        <f t="shared" si="106"/>
        <v>12.286881242047569</v>
      </c>
      <c r="E268" s="303"/>
      <c r="F268" s="302">
        <v>0.20531718897505316</v>
      </c>
      <c r="G268" s="302">
        <v>9.4166294506764299</v>
      </c>
      <c r="H268" s="302">
        <f t="shared" si="107"/>
        <v>9.6219466396514832</v>
      </c>
      <c r="I268" s="303"/>
      <c r="J268" s="302">
        <v>0.359023796171765</v>
      </c>
      <c r="K268" s="302">
        <v>6.8835304440416438</v>
      </c>
      <c r="L268" s="302">
        <f t="shared" si="108"/>
        <v>7.2425542402134084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4.9678821320071245E-2</v>
      </c>
      <c r="C269" s="302">
        <v>0.1518613456237379</v>
      </c>
      <c r="D269" s="302">
        <f t="shared" si="106"/>
        <v>0.20154016694380916</v>
      </c>
      <c r="E269" s="303"/>
      <c r="F269" s="302">
        <v>3.500844059495211E-2</v>
      </c>
      <c r="G269" s="302">
        <v>0.16779343596263027</v>
      </c>
      <c r="H269" s="302">
        <f t="shared" si="107"/>
        <v>0.20280187655758239</v>
      </c>
      <c r="I269" s="303"/>
      <c r="J269" s="302">
        <v>2.9028840200920131E-2</v>
      </c>
      <c r="K269" s="302">
        <v>0.21404430138543418</v>
      </c>
      <c r="L269" s="302">
        <f t="shared" si="108"/>
        <v>0.24307314158635432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0.22975586372569548</v>
      </c>
      <c r="C270" s="302">
        <v>0.28665054787066674</v>
      </c>
      <c r="D270" s="302">
        <f t="shared" si="106"/>
        <v>0.51640641159636225</v>
      </c>
      <c r="E270" s="303"/>
      <c r="F270" s="302">
        <v>0.17670066201188847</v>
      </c>
      <c r="G270" s="302">
        <v>0.27010862251877421</v>
      </c>
      <c r="H270" s="302">
        <f t="shared" si="107"/>
        <v>0.44680928453066271</v>
      </c>
      <c r="I270" s="303"/>
      <c r="J270" s="302">
        <v>0.16439758867314838</v>
      </c>
      <c r="K270" s="302">
        <v>0.27791317446879832</v>
      </c>
      <c r="L270" s="302">
        <f t="shared" si="108"/>
        <v>0.44231076314194673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0.93071700485529618</v>
      </c>
      <c r="C271" s="302">
        <v>4.0058960323620028</v>
      </c>
      <c r="D271" s="302">
        <f t="shared" si="106"/>
        <v>4.9366130372172989</v>
      </c>
      <c r="E271" s="303"/>
      <c r="F271" s="302">
        <v>0.58182011168503434</v>
      </c>
      <c r="G271" s="302">
        <v>3.0156925801319265</v>
      </c>
      <c r="H271" s="302">
        <f t="shared" si="107"/>
        <v>3.5975126918169611</v>
      </c>
      <c r="I271" s="303"/>
      <c r="J271" s="302">
        <v>0.81943179533493793</v>
      </c>
      <c r="K271" s="302">
        <v>2.8869236355399952</v>
      </c>
      <c r="L271" s="302">
        <f t="shared" si="108"/>
        <v>3.7063554308749334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0.31653481930583083</v>
      </c>
      <c r="C272" s="302">
        <v>1.1033825761952212</v>
      </c>
      <c r="D272" s="302">
        <f t="shared" si="106"/>
        <v>1.419917395501052</v>
      </c>
      <c r="E272" s="303"/>
      <c r="F272" s="302">
        <v>0.1845985821915439</v>
      </c>
      <c r="G272" s="302">
        <v>0.81656670676375642</v>
      </c>
      <c r="H272" s="302">
        <f t="shared" si="107"/>
        <v>1.0011652889553004</v>
      </c>
      <c r="I272" s="303"/>
      <c r="J272" s="302">
        <v>0.10539164016249328</v>
      </c>
      <c r="K272" s="302">
        <v>0.47392770953388885</v>
      </c>
      <c r="L272" s="302">
        <f t="shared" si="108"/>
        <v>0.5793193496963821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32</v>
      </c>
      <c r="B274" s="311">
        <f>SUM(B264:B272)</f>
        <v>4.7660000000279128</v>
      </c>
      <c r="C274" s="311">
        <f t="shared" ref="C274:D274" si="109">SUM(C264:C272)</f>
        <v>27.624999999798568</v>
      </c>
      <c r="D274" s="311">
        <f t="shared" si="109"/>
        <v>32.390999999826477</v>
      </c>
      <c r="E274" s="311"/>
      <c r="F274" s="311">
        <f t="shared" ref="F274:H274" si="110">SUM(F264:F272)</f>
        <v>3.7320000000022429</v>
      </c>
      <c r="G274" s="311">
        <f t="shared" si="110"/>
        <v>24.974000000019743</v>
      </c>
      <c r="H274" s="311">
        <f t="shared" si="110"/>
        <v>28.706000000021987</v>
      </c>
      <c r="I274" s="311"/>
      <c r="J274" s="311">
        <f t="shared" ref="J274:L274" si="111">SUM(J264:J272)</f>
        <v>3.4719999999858842</v>
      </c>
      <c r="K274" s="311">
        <f t="shared" si="111"/>
        <v>21.057000000086077</v>
      </c>
      <c r="L274" s="311">
        <f t="shared" si="111"/>
        <v>24.52900000007196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35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name!A19</f>
        <v>Computer, etc</v>
      </c>
      <c r="B278" s="372">
        <f>B$6</f>
        <v>2015</v>
      </c>
      <c r="C278" s="372"/>
      <c r="D278" s="372"/>
      <c r="E278" s="253"/>
      <c r="F278" s="372">
        <f>F261</f>
        <v>2020</v>
      </c>
      <c r="G278" s="372"/>
      <c r="H278" s="372"/>
      <c r="I278" s="253"/>
      <c r="J278" s="372">
        <f>J261</f>
        <v>2035</v>
      </c>
      <c r="K278" s="372"/>
      <c r="L278" s="372"/>
      <c r="M278" s="236"/>
      <c r="N278" s="236"/>
    </row>
    <row r="279" spans="1:14" x14ac:dyDescent="0.2">
      <c r="A279" s="254"/>
      <c r="B279" s="255" t="s">
        <v>352</v>
      </c>
      <c r="C279" s="255" t="s">
        <v>353</v>
      </c>
      <c r="D279" s="255" t="s">
        <v>32</v>
      </c>
      <c r="E279" s="255"/>
      <c r="F279" s="255" t="s">
        <v>352</v>
      </c>
      <c r="G279" s="255" t="s">
        <v>353</v>
      </c>
      <c r="H279" s="255" t="s">
        <v>32</v>
      </c>
      <c r="I279" s="255"/>
      <c r="J279" s="255" t="s">
        <v>352</v>
      </c>
      <c r="K279" s="255" t="s">
        <v>353</v>
      </c>
      <c r="L279" s="255" t="s">
        <v>32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0.18649676653960223</v>
      </c>
      <c r="C281" s="302">
        <v>1.3668663617234307</v>
      </c>
      <c r="D281" s="302">
        <f>SUM(B281:C281)</f>
        <v>1.5533631282630329</v>
      </c>
      <c r="E281" s="303"/>
      <c r="F281" s="302">
        <v>0.1283852938775687</v>
      </c>
      <c r="G281" s="302">
        <v>0.86905923107930616</v>
      </c>
      <c r="H281" s="302">
        <f>SUM(F281:G281)</f>
        <v>0.99744452495687486</v>
      </c>
      <c r="I281" s="303"/>
      <c r="J281" s="302">
        <v>7.2120355173641973E-2</v>
      </c>
      <c r="K281" s="302">
        <v>0.62015531625179043</v>
      </c>
      <c r="L281" s="302">
        <f>SUM(J281:K281)</f>
        <v>0.69227567142543245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0.25896462558173822</v>
      </c>
      <c r="C282" s="302">
        <v>2.8111169328072987</v>
      </c>
      <c r="D282" s="302">
        <f t="shared" ref="D282:D289" si="112">SUM(B282:C282)</f>
        <v>3.0700815583890368</v>
      </c>
      <c r="E282" s="303"/>
      <c r="F282" s="302">
        <v>0.19714814951596948</v>
      </c>
      <c r="G282" s="302">
        <v>1.8866102417992188</v>
      </c>
      <c r="H282" s="302">
        <f t="shared" ref="H282:H289" si="113">SUM(F282:G282)</f>
        <v>2.0837583913151883</v>
      </c>
      <c r="I282" s="303"/>
      <c r="J282" s="302">
        <v>0.11559882250181429</v>
      </c>
      <c r="K282" s="302">
        <v>1.3835655159124727</v>
      </c>
      <c r="L282" s="302">
        <f t="shared" ref="L282:L289" si="114">SUM(J282:K282)</f>
        <v>1.499164338414287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0.29590118760026174</v>
      </c>
      <c r="C283" s="302">
        <v>1.2310574472086082</v>
      </c>
      <c r="D283" s="302">
        <f t="shared" si="112"/>
        <v>1.52695863480887</v>
      </c>
      <c r="E283" s="303"/>
      <c r="F283" s="302">
        <v>0.18529026803414034</v>
      </c>
      <c r="G283" s="302">
        <v>0.8162019507243774</v>
      </c>
      <c r="H283" s="302">
        <f t="shared" si="113"/>
        <v>1.0014922187585178</v>
      </c>
      <c r="I283" s="303"/>
      <c r="J283" s="302">
        <v>8.7788403473495508E-2</v>
      </c>
      <c r="K283" s="302">
        <v>0.4896306705776971</v>
      </c>
      <c r="L283" s="302">
        <f t="shared" si="114"/>
        <v>0.57741907405119264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0.57959296229273194</v>
      </c>
      <c r="C284" s="302">
        <v>0.28022588515894992</v>
      </c>
      <c r="D284" s="302">
        <f t="shared" si="112"/>
        <v>0.85981884745168191</v>
      </c>
      <c r="E284" s="303"/>
      <c r="F284" s="302">
        <v>0.30995654162190711</v>
      </c>
      <c r="G284" s="302">
        <v>0.17869836668131597</v>
      </c>
      <c r="H284" s="302">
        <f t="shared" si="113"/>
        <v>0.48865490830322311</v>
      </c>
      <c r="I284" s="303"/>
      <c r="J284" s="302">
        <v>0.12310895572324153</v>
      </c>
      <c r="K284" s="302">
        <v>0.12870257072922137</v>
      </c>
      <c r="L284" s="302">
        <f t="shared" si="114"/>
        <v>0.25181152645246291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0.14733733516668404</v>
      </c>
      <c r="C285" s="302">
        <v>1.8633818407932277</v>
      </c>
      <c r="D285" s="302">
        <f t="shared" si="112"/>
        <v>2.0107191759599119</v>
      </c>
      <c r="E285" s="303"/>
      <c r="F285" s="302">
        <v>8.8365939228937457E-2</v>
      </c>
      <c r="G285" s="302">
        <v>0.86991390265064428</v>
      </c>
      <c r="H285" s="302">
        <f t="shared" si="113"/>
        <v>0.95827984187958171</v>
      </c>
      <c r="I285" s="303"/>
      <c r="J285" s="302">
        <v>8.3192213973181384E-2</v>
      </c>
      <c r="K285" s="302">
        <v>0.53669325589066053</v>
      </c>
      <c r="L285" s="302">
        <f t="shared" si="114"/>
        <v>0.61988546986384185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3.4640626466646403E-2</v>
      </c>
      <c r="C286" s="302">
        <v>3.2314529094580123E-2</v>
      </c>
      <c r="D286" s="302">
        <f t="shared" si="112"/>
        <v>6.6955155561226526E-2</v>
      </c>
      <c r="E286" s="303"/>
      <c r="F286" s="302">
        <v>1.6797157003034944E-2</v>
      </c>
      <c r="G286" s="302">
        <v>2.010586518785842E-2</v>
      </c>
      <c r="H286" s="302">
        <f t="shared" si="113"/>
        <v>3.6903022190893364E-2</v>
      </c>
      <c r="I286" s="303"/>
      <c r="J286" s="302">
        <v>6.8632726129397728E-3</v>
      </c>
      <c r="K286" s="302">
        <v>1.6320368536203528E-2</v>
      </c>
      <c r="L286" s="302">
        <f t="shared" si="114"/>
        <v>2.31836411491433E-2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0.14853574743159406</v>
      </c>
      <c r="C287" s="302">
        <v>0.18943383330080196</v>
      </c>
      <c r="D287" s="302">
        <f t="shared" si="112"/>
        <v>0.33796958073239602</v>
      </c>
      <c r="E287" s="303"/>
      <c r="F287" s="302">
        <v>8.4502538505549576E-2</v>
      </c>
      <c r="G287" s="302">
        <v>0.14058845186988203</v>
      </c>
      <c r="H287" s="302">
        <f t="shared" si="113"/>
        <v>0.22509099037543162</v>
      </c>
      <c r="I287" s="303"/>
      <c r="J287" s="302">
        <v>5.1204789704705073E-2</v>
      </c>
      <c r="K287" s="302">
        <v>0.1530844409917802</v>
      </c>
      <c r="L287" s="302">
        <f t="shared" si="114"/>
        <v>0.20428923069648527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0.87888497696566426</v>
      </c>
      <c r="C288" s="302">
        <v>0.71883161850393584</v>
      </c>
      <c r="D288" s="302">
        <f t="shared" si="112"/>
        <v>1.5977165954696</v>
      </c>
      <c r="E288" s="303"/>
      <c r="F288" s="302">
        <v>0.37636572153634407</v>
      </c>
      <c r="G288" s="302">
        <v>0.36275698629844805</v>
      </c>
      <c r="H288" s="302">
        <f t="shared" si="113"/>
        <v>0.73912270783479217</v>
      </c>
      <c r="I288" s="303"/>
      <c r="J288" s="302">
        <v>0.26480730536569974</v>
      </c>
      <c r="K288" s="302">
        <v>0.26994069342929672</v>
      </c>
      <c r="L288" s="302">
        <f t="shared" si="114"/>
        <v>0.53474799879499646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0.13464577196727823</v>
      </c>
      <c r="C289" s="302">
        <v>0.32077155141115077</v>
      </c>
      <c r="D289" s="302">
        <f t="shared" si="112"/>
        <v>0.455417323378429</v>
      </c>
      <c r="E289" s="303"/>
      <c r="F289" s="302">
        <v>5.6188390677450198E-2</v>
      </c>
      <c r="G289" s="302">
        <v>0.13506500368654276</v>
      </c>
      <c r="H289" s="302">
        <f t="shared" si="113"/>
        <v>0.19125339436399297</v>
      </c>
      <c r="I289" s="303"/>
      <c r="J289" s="302">
        <v>2.6315881468420642E-2</v>
      </c>
      <c r="K289" s="302">
        <v>5.8907167685206298E-2</v>
      </c>
      <c r="L289" s="302">
        <f t="shared" si="114"/>
        <v>8.522304915362694E-2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32</v>
      </c>
      <c r="B291" s="311">
        <f>SUM(B281:B289)</f>
        <v>2.6650000000122009</v>
      </c>
      <c r="C291" s="311">
        <f t="shared" ref="C291:D291" si="115">SUM(C281:C289)</f>
        <v>8.8140000000019842</v>
      </c>
      <c r="D291" s="311">
        <f t="shared" si="115"/>
        <v>11.479000000014183</v>
      </c>
      <c r="E291" s="311"/>
      <c r="F291" s="311">
        <f t="shared" ref="F291:H291" si="116">SUM(F281:F289)</f>
        <v>1.443000000000902</v>
      </c>
      <c r="G291" s="311">
        <f t="shared" si="116"/>
        <v>5.2789999999775938</v>
      </c>
      <c r="H291" s="311">
        <f t="shared" si="116"/>
        <v>6.7219999999784941</v>
      </c>
      <c r="I291" s="311"/>
      <c r="J291" s="311">
        <f t="shared" ref="J291:L291" si="117">SUM(J281:J289)</f>
        <v>0.83099999999714003</v>
      </c>
      <c r="K291" s="311">
        <f t="shared" si="117"/>
        <v>3.6570000000043286</v>
      </c>
      <c r="L291" s="311">
        <f t="shared" si="117"/>
        <v>4.4880000000014695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35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name!A20</f>
        <v>Electrical equipment</v>
      </c>
      <c r="B295" s="372">
        <f>B$6</f>
        <v>2015</v>
      </c>
      <c r="C295" s="372"/>
      <c r="D295" s="372"/>
      <c r="E295" s="253"/>
      <c r="F295" s="372">
        <f>F278</f>
        <v>2020</v>
      </c>
      <c r="G295" s="372"/>
      <c r="H295" s="372"/>
      <c r="I295" s="253"/>
      <c r="J295" s="372">
        <f>J278</f>
        <v>2035</v>
      </c>
      <c r="K295" s="372"/>
      <c r="L295" s="372"/>
      <c r="M295" s="236"/>
      <c r="N295" s="236"/>
    </row>
    <row r="296" spans="1:14" x14ac:dyDescent="0.2">
      <c r="A296" s="254"/>
      <c r="B296" s="255" t="s">
        <v>352</v>
      </c>
      <c r="C296" s="255" t="s">
        <v>353</v>
      </c>
      <c r="D296" s="255" t="s">
        <v>32</v>
      </c>
      <c r="E296" s="255"/>
      <c r="F296" s="255" t="s">
        <v>352</v>
      </c>
      <c r="G296" s="255" t="s">
        <v>353</v>
      </c>
      <c r="H296" s="255" t="s">
        <v>32</v>
      </c>
      <c r="I296" s="255"/>
      <c r="J296" s="255" t="s">
        <v>352</v>
      </c>
      <c r="K296" s="255" t="s">
        <v>353</v>
      </c>
      <c r="L296" s="255" t="s">
        <v>32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0.13559522531791601</v>
      </c>
      <c r="C298" s="302">
        <v>0.78245212629694938</v>
      </c>
      <c r="D298" s="302">
        <f>SUM(B298:C298)</f>
        <v>0.91804735161486539</v>
      </c>
      <c r="E298" s="303"/>
      <c r="F298" s="302">
        <v>0.12045865689138086</v>
      </c>
      <c r="G298" s="302">
        <v>0.53198127910019366</v>
      </c>
      <c r="H298" s="302">
        <f>SUM(F298:G298)</f>
        <v>0.65243993599157446</v>
      </c>
      <c r="I298" s="303"/>
      <c r="J298" s="302">
        <v>0.11378019958308579</v>
      </c>
      <c r="K298" s="302">
        <v>0.44029262954495929</v>
      </c>
      <c r="L298" s="302">
        <f>SUM(J298:K298)</f>
        <v>0.55407282912804512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0.15173107464067995</v>
      </c>
      <c r="C299" s="302">
        <v>0.94404815147987708</v>
      </c>
      <c r="D299" s="302">
        <f t="shared" ref="D299:D306" si="118">SUM(B299:C299)</f>
        <v>1.095779226120557</v>
      </c>
      <c r="E299" s="303"/>
      <c r="F299" s="302">
        <v>0.13061455956645551</v>
      </c>
      <c r="G299" s="302">
        <v>0.694409188593617</v>
      </c>
      <c r="H299" s="302">
        <f t="shared" ref="H299:H306" si="119">SUM(F299:G299)</f>
        <v>0.82502374816007251</v>
      </c>
      <c r="I299" s="303"/>
      <c r="J299" s="302">
        <v>0.12662497906654971</v>
      </c>
      <c r="K299" s="302">
        <v>0.61825254653295969</v>
      </c>
      <c r="L299" s="302">
        <f t="shared" ref="L299:L306" si="120">SUM(J299:K299)</f>
        <v>0.74487752559950937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0.19729830956631156</v>
      </c>
      <c r="C300" s="302">
        <v>0.63566522225596112</v>
      </c>
      <c r="D300" s="302">
        <f t="shared" si="118"/>
        <v>0.83296353182227267</v>
      </c>
      <c r="E300" s="303"/>
      <c r="F300" s="302">
        <v>0.14455519396204713</v>
      </c>
      <c r="G300" s="302">
        <v>0.44897611123229697</v>
      </c>
      <c r="H300" s="302">
        <f t="shared" si="119"/>
        <v>0.59353130519434405</v>
      </c>
      <c r="I300" s="303"/>
      <c r="J300" s="302">
        <v>0.11895744971343644</v>
      </c>
      <c r="K300" s="302">
        <v>0.31585850049366654</v>
      </c>
      <c r="L300" s="302">
        <f t="shared" si="120"/>
        <v>0.43481595020710295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0.55127873747203249</v>
      </c>
      <c r="C301" s="302">
        <v>0.15080661150075111</v>
      </c>
      <c r="D301" s="302">
        <f t="shared" si="118"/>
        <v>0.70208534897278363</v>
      </c>
      <c r="E301" s="303"/>
      <c r="F301" s="302">
        <v>0.35902504392181767</v>
      </c>
      <c r="G301" s="302">
        <v>0.11440086042303824</v>
      </c>
      <c r="H301" s="302">
        <f t="shared" si="119"/>
        <v>0.47342590434485587</v>
      </c>
      <c r="I301" s="303"/>
      <c r="J301" s="302">
        <v>0.23892492640195911</v>
      </c>
      <c r="K301" s="302">
        <v>9.361440779693736E-2</v>
      </c>
      <c r="L301" s="302">
        <f t="shared" si="120"/>
        <v>0.33253933419889647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8.2798779929057625E-2</v>
      </c>
      <c r="C302" s="302">
        <v>1.4274488762528272</v>
      </c>
      <c r="D302" s="302">
        <f t="shared" si="118"/>
        <v>1.5102476561818849</v>
      </c>
      <c r="E302" s="303"/>
      <c r="F302" s="302">
        <v>5.2387052447651794E-2</v>
      </c>
      <c r="G302" s="302">
        <v>0.70167478842219411</v>
      </c>
      <c r="H302" s="302">
        <f t="shared" si="119"/>
        <v>0.75406184086984585</v>
      </c>
      <c r="I302" s="303"/>
      <c r="J302" s="302">
        <v>8.3342204224686189E-2</v>
      </c>
      <c r="K302" s="302">
        <v>0.45787689287688854</v>
      </c>
      <c r="L302" s="302">
        <f t="shared" si="120"/>
        <v>0.54121909710157468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5.0150524515001633E-2</v>
      </c>
      <c r="C303" s="302">
        <v>2.2817509603243753E-2</v>
      </c>
      <c r="D303" s="302">
        <f t="shared" si="118"/>
        <v>7.2968034118245387E-2</v>
      </c>
      <c r="E303" s="303"/>
      <c r="F303" s="302">
        <v>2.8354184170118021E-2</v>
      </c>
      <c r="G303" s="302">
        <v>1.834946643620583E-2</v>
      </c>
      <c r="H303" s="302">
        <f t="shared" si="119"/>
        <v>4.6703650606323852E-2</v>
      </c>
      <c r="I303" s="303"/>
      <c r="J303" s="302">
        <v>2.0502832056126571E-2</v>
      </c>
      <c r="K303" s="302">
        <v>1.8565675847740333E-2</v>
      </c>
      <c r="L303" s="302">
        <f t="shared" si="120"/>
        <v>3.90685079038669E-2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0.10067205352510879</v>
      </c>
      <c r="C304" s="302">
        <v>0.13207883342200341</v>
      </c>
      <c r="D304" s="302">
        <f t="shared" si="118"/>
        <v>0.23275088694711221</v>
      </c>
      <c r="E304" s="303"/>
      <c r="F304" s="302">
        <v>6.5017097335782426E-2</v>
      </c>
      <c r="G304" s="302">
        <v>0.11343565440750307</v>
      </c>
      <c r="H304" s="302">
        <f t="shared" si="119"/>
        <v>0.17845275174328551</v>
      </c>
      <c r="I304" s="303"/>
      <c r="J304" s="302">
        <v>6.2193918035534437E-2</v>
      </c>
      <c r="K304" s="302">
        <v>0.11218839748353021</v>
      </c>
      <c r="L304" s="302">
        <f t="shared" si="120"/>
        <v>0.17438231551906463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0.39065597323544649</v>
      </c>
      <c r="C305" s="302">
        <v>0.84435748077289519</v>
      </c>
      <c r="D305" s="302">
        <f t="shared" si="118"/>
        <v>1.2350134540083417</v>
      </c>
      <c r="E305" s="303"/>
      <c r="F305" s="302">
        <v>0.17087917055761304</v>
      </c>
      <c r="G305" s="302">
        <v>0.42351437848368934</v>
      </c>
      <c r="H305" s="302">
        <f t="shared" si="119"/>
        <v>0.59439354904130237</v>
      </c>
      <c r="I305" s="303"/>
      <c r="J305" s="302">
        <v>0.2085777901079312</v>
      </c>
      <c r="K305" s="302">
        <v>0.35938196873308248</v>
      </c>
      <c r="L305" s="302">
        <f t="shared" si="120"/>
        <v>0.56795975884101368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0.10481932180371271</v>
      </c>
      <c r="C306" s="302">
        <v>0.295325188392771</v>
      </c>
      <c r="D306" s="302">
        <f t="shared" si="118"/>
        <v>0.40014451019648373</v>
      </c>
      <c r="E306" s="303"/>
      <c r="F306" s="302">
        <v>5.3709041149608325E-2</v>
      </c>
      <c r="G306" s="302">
        <v>0.14625827289648211</v>
      </c>
      <c r="H306" s="302">
        <f t="shared" si="119"/>
        <v>0.19996731404609042</v>
      </c>
      <c r="I306" s="303"/>
      <c r="J306" s="302">
        <v>4.0095700805744858E-2</v>
      </c>
      <c r="K306" s="302">
        <v>7.5968980696715413E-2</v>
      </c>
      <c r="L306" s="302">
        <f t="shared" si="120"/>
        <v>0.11606468150246027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32</v>
      </c>
      <c r="B308" s="311">
        <f>SUM(B298:B306)</f>
        <v>1.7650000000052672</v>
      </c>
      <c r="C308" s="311">
        <f t="shared" ref="C308:D308" si="121">SUM(C298:C306)</f>
        <v>5.2349999999772789</v>
      </c>
      <c r="D308" s="311">
        <f t="shared" si="121"/>
        <v>6.9999999999825464</v>
      </c>
      <c r="E308" s="311"/>
      <c r="F308" s="311">
        <f t="shared" ref="F308:H308" si="122">SUM(F298:F306)</f>
        <v>1.1250000000024747</v>
      </c>
      <c r="G308" s="311">
        <f t="shared" si="122"/>
        <v>3.1929999999952203</v>
      </c>
      <c r="H308" s="311">
        <f t="shared" si="122"/>
        <v>4.3179999999976948</v>
      </c>
      <c r="I308" s="311"/>
      <c r="J308" s="311">
        <f t="shared" ref="J308:L308" si="123">SUM(J298:J306)</f>
        <v>1.0129999999950543</v>
      </c>
      <c r="K308" s="311">
        <f t="shared" si="123"/>
        <v>2.4920000000064801</v>
      </c>
      <c r="L308" s="311">
        <f t="shared" si="123"/>
        <v>3.5050000000015342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35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name!A21</f>
        <v>Machinery n.e.c.</v>
      </c>
      <c r="B312" s="372">
        <f>B$6</f>
        <v>2015</v>
      </c>
      <c r="C312" s="372"/>
      <c r="D312" s="372"/>
      <c r="E312" s="253"/>
      <c r="F312" s="372">
        <f>F295</f>
        <v>2020</v>
      </c>
      <c r="G312" s="372"/>
      <c r="H312" s="372"/>
      <c r="I312" s="253"/>
      <c r="J312" s="372">
        <f>J295</f>
        <v>2035</v>
      </c>
      <c r="K312" s="372"/>
      <c r="L312" s="372"/>
      <c r="M312" s="236"/>
      <c r="N312" s="236"/>
    </row>
    <row r="313" spans="1:14" x14ac:dyDescent="0.2">
      <c r="A313" s="254"/>
      <c r="B313" s="255" t="s">
        <v>352</v>
      </c>
      <c r="C313" s="255" t="s">
        <v>353</v>
      </c>
      <c r="D313" s="255" t="s">
        <v>32</v>
      </c>
      <c r="E313" s="255"/>
      <c r="F313" s="255" t="s">
        <v>352</v>
      </c>
      <c r="G313" s="255" t="s">
        <v>353</v>
      </c>
      <c r="H313" s="255" t="s">
        <v>32</v>
      </c>
      <c r="I313" s="255"/>
      <c r="J313" s="255" t="s">
        <v>352</v>
      </c>
      <c r="K313" s="255" t="s">
        <v>353</v>
      </c>
      <c r="L313" s="255" t="s">
        <v>32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0.24981806037030679</v>
      </c>
      <c r="C315" s="302">
        <v>2.1699577943841279</v>
      </c>
      <c r="D315" s="302">
        <f>SUM(B315:C315)</f>
        <v>2.4197758547544348</v>
      </c>
      <c r="E315" s="303"/>
      <c r="F315" s="302">
        <v>0.31874685941761144</v>
      </c>
      <c r="G315" s="302">
        <v>2.3283114608332323</v>
      </c>
      <c r="H315" s="302">
        <f>SUM(F315:G315)</f>
        <v>2.6470583202508435</v>
      </c>
      <c r="I315" s="303"/>
      <c r="J315" s="302">
        <v>0.29893649552480223</v>
      </c>
      <c r="K315" s="302">
        <v>2.1364236739892131</v>
      </c>
      <c r="L315" s="302">
        <f>SUM(J315:K315)</f>
        <v>2.4353601695140155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0.2511483816726347</v>
      </c>
      <c r="C316" s="302">
        <v>2.997522284072704</v>
      </c>
      <c r="D316" s="302">
        <f t="shared" ref="D316:D323" si="124">SUM(B316:C316)</f>
        <v>3.2486706657453386</v>
      </c>
      <c r="E316" s="303"/>
      <c r="F316" s="302">
        <v>0.35145325040350972</v>
      </c>
      <c r="G316" s="302">
        <v>3.501885965165588</v>
      </c>
      <c r="H316" s="302">
        <f t="shared" ref="H316:H323" si="125">SUM(F316:G316)</f>
        <v>3.8533392155690978</v>
      </c>
      <c r="I316" s="303"/>
      <c r="J316" s="302">
        <v>0.32590359037454014</v>
      </c>
      <c r="K316" s="302">
        <v>3.5667888645561638</v>
      </c>
      <c r="L316" s="302">
        <f t="shared" ref="L316:L323" si="126">SUM(J316:K316)</f>
        <v>3.892692454930704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0.30838909173607987</v>
      </c>
      <c r="C317" s="302">
        <v>1.7037516214931996</v>
      </c>
      <c r="D317" s="302">
        <f t="shared" si="124"/>
        <v>2.0121407132292797</v>
      </c>
      <c r="E317" s="303"/>
      <c r="F317" s="302">
        <v>0.36244515598989335</v>
      </c>
      <c r="G317" s="302">
        <v>1.8887184023225827</v>
      </c>
      <c r="H317" s="302">
        <f t="shared" si="125"/>
        <v>2.2511635583124763</v>
      </c>
      <c r="I317" s="303"/>
      <c r="J317" s="302">
        <v>0.28413557507321291</v>
      </c>
      <c r="K317" s="302">
        <v>1.5102751129526861</v>
      </c>
      <c r="L317" s="302">
        <f t="shared" si="126"/>
        <v>1.794410688025899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0.99289311760805476</v>
      </c>
      <c r="C318" s="302">
        <v>0.57008017969666702</v>
      </c>
      <c r="D318" s="302">
        <f t="shared" si="124"/>
        <v>1.5629732973047217</v>
      </c>
      <c r="E318" s="303"/>
      <c r="F318" s="302">
        <v>0.98386193413633238</v>
      </c>
      <c r="G318" s="302">
        <v>0.60274450190505613</v>
      </c>
      <c r="H318" s="302">
        <f t="shared" si="125"/>
        <v>1.5866064360413885</v>
      </c>
      <c r="I318" s="303"/>
      <c r="J318" s="302">
        <v>0.59140317080365001</v>
      </c>
      <c r="K318" s="302">
        <v>0.62385040293005778</v>
      </c>
      <c r="L318" s="302">
        <f t="shared" si="126"/>
        <v>1.2152535737337078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0.1121152329191909</v>
      </c>
      <c r="C319" s="302">
        <v>4.9385217714638348</v>
      </c>
      <c r="D319" s="302">
        <f t="shared" si="124"/>
        <v>5.0506370043830255</v>
      </c>
      <c r="E319" s="303"/>
      <c r="F319" s="302">
        <v>0.12765055659104163</v>
      </c>
      <c r="G319" s="302">
        <v>3.7374035099116796</v>
      </c>
      <c r="H319" s="302">
        <f t="shared" si="125"/>
        <v>3.8650540665027213</v>
      </c>
      <c r="I319" s="303"/>
      <c r="J319" s="302">
        <v>0.20861582031166251</v>
      </c>
      <c r="K319" s="302">
        <v>2.7246361368370158</v>
      </c>
      <c r="L319" s="302">
        <f t="shared" si="126"/>
        <v>2.9332519571486784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9.3435596446790878E-2</v>
      </c>
      <c r="C320" s="302">
        <v>2.9247983107668341E-2</v>
      </c>
      <c r="D320" s="302">
        <f t="shared" si="124"/>
        <v>0.12268357955445922</v>
      </c>
      <c r="E320" s="303"/>
      <c r="F320" s="302">
        <v>7.9230276215855766E-2</v>
      </c>
      <c r="G320" s="302">
        <v>3.1350188104553173E-2</v>
      </c>
      <c r="H320" s="302">
        <f t="shared" si="125"/>
        <v>0.11058046432040894</v>
      </c>
      <c r="I320" s="303"/>
      <c r="J320" s="302">
        <v>5.2178565801090621E-2</v>
      </c>
      <c r="K320" s="302">
        <v>3.4073704204558734E-2</v>
      </c>
      <c r="L320" s="302">
        <f t="shared" si="126"/>
        <v>8.6252270005649362E-2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0.21523446236443333</v>
      </c>
      <c r="C321" s="302">
        <v>0.41906792674043875</v>
      </c>
      <c r="D321" s="302">
        <f t="shared" si="124"/>
        <v>0.63430238910487202</v>
      </c>
      <c r="E321" s="303"/>
      <c r="F321" s="302">
        <v>0.21164263206831715</v>
      </c>
      <c r="G321" s="302">
        <v>0.39360253854991245</v>
      </c>
      <c r="H321" s="302">
        <f t="shared" si="125"/>
        <v>0.60524517061822958</v>
      </c>
      <c r="I321" s="303"/>
      <c r="J321" s="302">
        <v>0.17556376130618565</v>
      </c>
      <c r="K321" s="302">
        <v>0.40500900758812169</v>
      </c>
      <c r="L321" s="302">
        <f t="shared" si="126"/>
        <v>0.58057276889430731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0.57882456936874571</v>
      </c>
      <c r="C322" s="302">
        <v>2.2796097663433992</v>
      </c>
      <c r="D322" s="302">
        <f t="shared" si="124"/>
        <v>2.8584343357121451</v>
      </c>
      <c r="E322" s="303"/>
      <c r="F322" s="302">
        <v>0.43894428313884376</v>
      </c>
      <c r="G322" s="302">
        <v>1.6602489605287623</v>
      </c>
      <c r="H322" s="302">
        <f t="shared" si="125"/>
        <v>2.0991932436676062</v>
      </c>
      <c r="I322" s="303"/>
      <c r="J322" s="302">
        <v>0.51151670068398103</v>
      </c>
      <c r="K322" s="302">
        <v>1.6489526936079586</v>
      </c>
      <c r="L322" s="302">
        <f t="shared" si="126"/>
        <v>2.1604693942919395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0.19314148751417579</v>
      </c>
      <c r="C323" s="302">
        <v>0.82924067262100543</v>
      </c>
      <c r="D323" s="302">
        <f t="shared" si="124"/>
        <v>1.0223821601351812</v>
      </c>
      <c r="E323" s="303"/>
      <c r="F323" s="302">
        <v>0.14302505203149921</v>
      </c>
      <c r="G323" s="302">
        <v>0.60473447265502289</v>
      </c>
      <c r="H323" s="302">
        <f t="shared" si="125"/>
        <v>0.74775952468652207</v>
      </c>
      <c r="I323" s="303"/>
      <c r="J323" s="302">
        <v>0.11574632011421912</v>
      </c>
      <c r="K323" s="302">
        <v>0.3759904033786679</v>
      </c>
      <c r="L323" s="302">
        <f t="shared" si="126"/>
        <v>0.491736723492887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32</v>
      </c>
      <c r="B325" s="311">
        <f>SUM(B315:B323)</f>
        <v>2.9950000000004136</v>
      </c>
      <c r="C325" s="311">
        <f t="shared" ref="C325:D325" si="127">SUM(C315:C323)</f>
        <v>15.936999999923046</v>
      </c>
      <c r="D325" s="311">
        <f t="shared" si="127"/>
        <v>18.931999999923459</v>
      </c>
      <c r="E325" s="311"/>
      <c r="F325" s="311">
        <f t="shared" ref="F325:H325" si="128">SUM(F315:F323)</f>
        <v>3.0169999999929047</v>
      </c>
      <c r="G325" s="311">
        <f t="shared" si="128"/>
        <v>14.748999999976389</v>
      </c>
      <c r="H325" s="311">
        <f t="shared" si="128"/>
        <v>17.765999999969292</v>
      </c>
      <c r="I325" s="311"/>
      <c r="J325" s="311">
        <f t="shared" ref="J325:L325" si="129">SUM(J315:J323)</f>
        <v>2.5639999999933445</v>
      </c>
      <c r="K325" s="311">
        <f t="shared" si="129"/>
        <v>13.026000000044442</v>
      </c>
      <c r="L325" s="311">
        <f t="shared" si="129"/>
        <v>15.590000000037788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35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name!A22</f>
        <v>Motor vehicles, etc</v>
      </c>
      <c r="B329" s="372">
        <f>B$6</f>
        <v>2015</v>
      </c>
      <c r="C329" s="372"/>
      <c r="D329" s="372"/>
      <c r="E329" s="253"/>
      <c r="F329" s="372">
        <f>F312</f>
        <v>2020</v>
      </c>
      <c r="G329" s="372"/>
      <c r="H329" s="372"/>
      <c r="I329" s="253"/>
      <c r="J329" s="372">
        <f>J312</f>
        <v>2035</v>
      </c>
      <c r="K329" s="372"/>
      <c r="L329" s="372"/>
      <c r="M329" s="236"/>
      <c r="N329" s="236"/>
    </row>
    <row r="330" spans="1:14" x14ac:dyDescent="0.2">
      <c r="A330" s="254"/>
      <c r="B330" s="255" t="s">
        <v>352</v>
      </c>
      <c r="C330" s="255" t="s">
        <v>353</v>
      </c>
      <c r="D330" s="255" t="s">
        <v>32</v>
      </c>
      <c r="E330" s="255"/>
      <c r="F330" s="255" t="s">
        <v>352</v>
      </c>
      <c r="G330" s="255" t="s">
        <v>353</v>
      </c>
      <c r="H330" s="255" t="s">
        <v>32</v>
      </c>
      <c r="I330" s="255"/>
      <c r="J330" s="255" t="s">
        <v>352</v>
      </c>
      <c r="K330" s="255" t="s">
        <v>353</v>
      </c>
      <c r="L330" s="255" t="s">
        <v>32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5.5368290643315929E-2</v>
      </c>
      <c r="C332" s="302">
        <v>0.52913735611095647</v>
      </c>
      <c r="D332" s="302">
        <f>SUM(B332:C332)</f>
        <v>0.58450564675427241</v>
      </c>
      <c r="E332" s="303"/>
      <c r="F332" s="302">
        <v>6.2103937909884145E-2</v>
      </c>
      <c r="G332" s="302">
        <v>0.58379998144632328</v>
      </c>
      <c r="H332" s="302">
        <f>SUM(F332:G332)</f>
        <v>0.64590391935620739</v>
      </c>
      <c r="I332" s="303"/>
      <c r="J332" s="302">
        <v>7.0423399220409966E-2</v>
      </c>
      <c r="K332" s="302">
        <v>0.61371130577675104</v>
      </c>
      <c r="L332" s="302">
        <f>SUM(J332:K332)</f>
        <v>0.684134704997161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9.1352130608307103E-2</v>
      </c>
      <c r="C333" s="302">
        <v>1.2661424541751396</v>
      </c>
      <c r="D333" s="302">
        <f t="shared" ref="D333:D340" si="130">SUM(B333:C333)</f>
        <v>1.3574945847834468</v>
      </c>
      <c r="E333" s="303"/>
      <c r="F333" s="302">
        <v>0.11030538924204697</v>
      </c>
      <c r="G333" s="302">
        <v>1.5287091289478689</v>
      </c>
      <c r="H333" s="302">
        <f t="shared" ref="H333:H340" si="131">SUM(F333:G333)</f>
        <v>1.6390145181899158</v>
      </c>
      <c r="I333" s="303"/>
      <c r="J333" s="302">
        <v>0.12777510314159218</v>
      </c>
      <c r="K333" s="302">
        <v>1.880785172744307</v>
      </c>
      <c r="L333" s="302">
        <f t="shared" ref="L333:L340" si="132">SUM(J333:K333)</f>
        <v>2.0085602758858991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0.13186052281843832</v>
      </c>
      <c r="C334" s="302">
        <v>0.48995851871604534</v>
      </c>
      <c r="D334" s="302">
        <f t="shared" si="130"/>
        <v>0.62181904153448364</v>
      </c>
      <c r="E334" s="303"/>
      <c r="F334" s="302">
        <v>0.13326825142906193</v>
      </c>
      <c r="G334" s="302">
        <v>0.58597010829579343</v>
      </c>
      <c r="H334" s="302">
        <f t="shared" si="131"/>
        <v>0.71923835972485539</v>
      </c>
      <c r="I334" s="303"/>
      <c r="J334" s="302">
        <v>0.12814512510192971</v>
      </c>
      <c r="K334" s="302">
        <v>0.55020903311012537</v>
      </c>
      <c r="L334" s="302">
        <f t="shared" si="132"/>
        <v>0.67835415821205514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0.37734309207636213</v>
      </c>
      <c r="C335" s="302">
        <v>0.43960554541842406</v>
      </c>
      <c r="D335" s="302">
        <f t="shared" si="130"/>
        <v>0.81694863749478619</v>
      </c>
      <c r="E335" s="303"/>
      <c r="F335" s="302">
        <v>0.32296655064393465</v>
      </c>
      <c r="G335" s="302">
        <v>0.49056203531483472</v>
      </c>
      <c r="H335" s="302">
        <f t="shared" si="131"/>
        <v>0.81352858595876931</v>
      </c>
      <c r="I335" s="303"/>
      <c r="J335" s="302">
        <v>0.2874568749359161</v>
      </c>
      <c r="K335" s="302">
        <v>0.55565551655512524</v>
      </c>
      <c r="L335" s="302">
        <f t="shared" si="132"/>
        <v>0.84311239149104134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6.6521805002464907E-2</v>
      </c>
      <c r="C336" s="302">
        <v>1.9836405112975179</v>
      </c>
      <c r="D336" s="302">
        <f t="shared" si="130"/>
        <v>2.0501623162999829</v>
      </c>
      <c r="E336" s="303"/>
      <c r="F336" s="302">
        <v>7.1604316485384803E-2</v>
      </c>
      <c r="G336" s="302">
        <v>1.6328019718942042</v>
      </c>
      <c r="H336" s="302">
        <f t="shared" si="131"/>
        <v>1.704406288379589</v>
      </c>
      <c r="I336" s="303"/>
      <c r="J336" s="302">
        <v>0.15008466041006713</v>
      </c>
      <c r="K336" s="302">
        <v>1.410132859911291</v>
      </c>
      <c r="L336" s="302">
        <f t="shared" si="132"/>
        <v>1.5602175203213582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2.128215866344791E-2</v>
      </c>
      <c r="C337" s="302">
        <v>5.5084866882518693E-2</v>
      </c>
      <c r="D337" s="302">
        <f t="shared" si="130"/>
        <v>7.636702554596661E-2</v>
      </c>
      <c r="E337" s="303"/>
      <c r="F337" s="302">
        <v>1.6707937180689157E-2</v>
      </c>
      <c r="G337" s="302">
        <v>6.4033156908629263E-2</v>
      </c>
      <c r="H337" s="302">
        <f t="shared" si="131"/>
        <v>8.0741094089318427E-2</v>
      </c>
      <c r="I337" s="303"/>
      <c r="J337" s="302">
        <v>1.7133348651323578E-2</v>
      </c>
      <c r="K337" s="302">
        <v>0.10907363265860667</v>
      </c>
      <c r="L337" s="302">
        <f t="shared" si="132"/>
        <v>0.12620698130993024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5.5952096466591307E-2</v>
      </c>
      <c r="C338" s="302">
        <v>0.17579125460045505</v>
      </c>
      <c r="D338" s="302">
        <f t="shared" si="130"/>
        <v>0.23174335106704635</v>
      </c>
      <c r="E338" s="303"/>
      <c r="F338" s="302">
        <v>4.4030654959103389E-2</v>
      </c>
      <c r="G338" s="302">
        <v>0.17246908545027062</v>
      </c>
      <c r="H338" s="302">
        <f t="shared" si="131"/>
        <v>0.216499740409374</v>
      </c>
      <c r="I338" s="303"/>
      <c r="J338" s="302">
        <v>5.1633510331544639E-2</v>
      </c>
      <c r="K338" s="302">
        <v>0.21075857700049183</v>
      </c>
      <c r="L338" s="302">
        <f t="shared" si="132"/>
        <v>0.26239208733203645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0.27568222064959491</v>
      </c>
      <c r="C339" s="302">
        <v>1.6903714113844308</v>
      </c>
      <c r="D339" s="302">
        <f t="shared" si="130"/>
        <v>1.9660536320340256</v>
      </c>
      <c r="E339" s="303"/>
      <c r="F339" s="302">
        <v>0.19799301332666519</v>
      </c>
      <c r="G339" s="302">
        <v>1.3452152364419927</v>
      </c>
      <c r="H339" s="302">
        <f t="shared" si="131"/>
        <v>1.5432082497686579</v>
      </c>
      <c r="I339" s="303"/>
      <c r="J339" s="302">
        <v>0.28564707844998583</v>
      </c>
      <c r="K339" s="302">
        <v>1.542745560892727</v>
      </c>
      <c r="L339" s="302">
        <f t="shared" si="132"/>
        <v>1.8283926393427128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4.7637683075823209E-2</v>
      </c>
      <c r="C340" s="302">
        <v>0.42326808136427668</v>
      </c>
      <c r="D340" s="302">
        <f t="shared" si="130"/>
        <v>0.47090576444009991</v>
      </c>
      <c r="E340" s="303"/>
      <c r="F340" s="302">
        <v>2.601994881956262E-2</v>
      </c>
      <c r="G340" s="302">
        <v>0.33643929530697381</v>
      </c>
      <c r="H340" s="302">
        <f t="shared" si="131"/>
        <v>0.36245924412653641</v>
      </c>
      <c r="I340" s="303"/>
      <c r="J340" s="302">
        <v>1.5700899754928915E-2</v>
      </c>
      <c r="K340" s="302">
        <v>0.25092834138029058</v>
      </c>
      <c r="L340" s="302">
        <f t="shared" si="132"/>
        <v>0.26662924113521946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32</v>
      </c>
      <c r="B342" s="311">
        <f>SUM(B332:B340)</f>
        <v>1.1230000000043459</v>
      </c>
      <c r="C342" s="311">
        <f t="shared" ref="C342:D342" si="133">SUM(C332:C340)</f>
        <v>7.0529999999497646</v>
      </c>
      <c r="D342" s="311">
        <f t="shared" si="133"/>
        <v>8.1759999999541098</v>
      </c>
      <c r="E342" s="311"/>
      <c r="F342" s="311">
        <f t="shared" ref="F342:H342" si="134">SUM(F332:F340)</f>
        <v>0.98499999999633281</v>
      </c>
      <c r="G342" s="311">
        <f t="shared" si="134"/>
        <v>6.7400000000068907</v>
      </c>
      <c r="H342" s="311">
        <f t="shared" si="134"/>
        <v>7.7250000000032228</v>
      </c>
      <c r="I342" s="311"/>
      <c r="J342" s="311">
        <f t="shared" ref="J342:L342" si="135">SUM(J332:J340)</f>
        <v>1.133999999997698</v>
      </c>
      <c r="K342" s="311">
        <f t="shared" si="135"/>
        <v>7.1240000000297155</v>
      </c>
      <c r="L342" s="311">
        <f t="shared" si="135"/>
        <v>8.2580000000274136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35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name!A23</f>
        <v>Other transport equipment</v>
      </c>
      <c r="B346" s="372">
        <f>B$6</f>
        <v>2015</v>
      </c>
      <c r="C346" s="372"/>
      <c r="D346" s="372"/>
      <c r="E346" s="253"/>
      <c r="F346" s="372">
        <f>F329</f>
        <v>2020</v>
      </c>
      <c r="G346" s="372"/>
      <c r="H346" s="372"/>
      <c r="I346" s="253"/>
      <c r="J346" s="372">
        <f>J329</f>
        <v>2035</v>
      </c>
      <c r="K346" s="372"/>
      <c r="L346" s="372"/>
      <c r="M346" s="236"/>
      <c r="N346" s="236"/>
    </row>
    <row r="347" spans="1:14" x14ac:dyDescent="0.2">
      <c r="A347" s="254"/>
      <c r="B347" s="255" t="s">
        <v>352</v>
      </c>
      <c r="C347" s="255" t="s">
        <v>353</v>
      </c>
      <c r="D347" s="255" t="s">
        <v>32</v>
      </c>
      <c r="E347" s="255"/>
      <c r="F347" s="255" t="s">
        <v>352</v>
      </c>
      <c r="G347" s="255" t="s">
        <v>353</v>
      </c>
      <c r="H347" s="255" t="s">
        <v>32</v>
      </c>
      <c r="I347" s="255"/>
      <c r="J347" s="255" t="s">
        <v>352</v>
      </c>
      <c r="K347" s="255" t="s">
        <v>353</v>
      </c>
      <c r="L347" s="255" t="s">
        <v>32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0.22631416011339225</v>
      </c>
      <c r="C349" s="302">
        <v>1.3122196971926097</v>
      </c>
      <c r="D349" s="302">
        <f>SUM(B349:C349)</f>
        <v>1.5385338573060019</v>
      </c>
      <c r="E349" s="303"/>
      <c r="F349" s="302">
        <v>0.36907401135255774</v>
      </c>
      <c r="G349" s="302">
        <v>1.7481190469230603</v>
      </c>
      <c r="H349" s="302">
        <f>SUM(F349:G349)</f>
        <v>2.117193058275618</v>
      </c>
      <c r="I349" s="303"/>
      <c r="J349" s="302">
        <v>0.40724180451303899</v>
      </c>
      <c r="K349" s="302">
        <v>1.5751545640357727</v>
      </c>
      <c r="L349" s="302">
        <f>SUM(J349:K349)</f>
        <v>1.9823963685488117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0.43041761342311696</v>
      </c>
      <c r="C350" s="302">
        <v>4.2909518321408484</v>
      </c>
      <c r="D350" s="302">
        <f t="shared" ref="D350:D357" si="136">SUM(B350:C350)</f>
        <v>4.7213694455639654</v>
      </c>
      <c r="E350" s="303"/>
      <c r="F350" s="302">
        <v>0.78402929058293258</v>
      </c>
      <c r="G350" s="302">
        <v>6.1920898778020792</v>
      </c>
      <c r="H350" s="302">
        <f t="shared" ref="H350:H357" si="137">SUM(F350:G350)</f>
        <v>6.9761191683850114</v>
      </c>
      <c r="I350" s="303"/>
      <c r="J350" s="302">
        <v>0.91844476658924001</v>
      </c>
      <c r="K350" s="302">
        <v>6.6998386924345263</v>
      </c>
      <c r="L350" s="302">
        <f t="shared" ref="L350:L357" si="138">SUM(J350:K350)</f>
        <v>7.6182834590237665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0.36390264194583155</v>
      </c>
      <c r="C351" s="302">
        <v>1.5178643278505011</v>
      </c>
      <c r="D351" s="302">
        <f t="shared" si="136"/>
        <v>1.8817669697963326</v>
      </c>
      <c r="E351" s="303"/>
      <c r="F351" s="302">
        <v>0.55464592551563674</v>
      </c>
      <c r="G351" s="302">
        <v>2.1663936026703676</v>
      </c>
      <c r="H351" s="302">
        <f t="shared" si="137"/>
        <v>2.7210395281860045</v>
      </c>
      <c r="I351" s="303"/>
      <c r="J351" s="302">
        <v>0.55518473389092238</v>
      </c>
      <c r="K351" s="302">
        <v>1.8319885315442981</v>
      </c>
      <c r="L351" s="302">
        <f t="shared" si="138"/>
        <v>2.3871732654352202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1.1653681357090988</v>
      </c>
      <c r="C352" s="302">
        <v>0.57151841579336893</v>
      </c>
      <c r="D352" s="302">
        <f t="shared" si="136"/>
        <v>1.7368865515024678</v>
      </c>
      <c r="E352" s="303"/>
      <c r="F352" s="302">
        <v>1.5188519014154693</v>
      </c>
      <c r="G352" s="302">
        <v>0.69980661239603381</v>
      </c>
      <c r="H352" s="302">
        <f t="shared" si="137"/>
        <v>2.2186585138115031</v>
      </c>
      <c r="I352" s="303"/>
      <c r="J352" s="302">
        <v>1.3906536065926842</v>
      </c>
      <c r="K352" s="302">
        <v>0.5944305323781236</v>
      </c>
      <c r="L352" s="302">
        <f t="shared" si="138"/>
        <v>1.9850841389708078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0.15414276840164701</v>
      </c>
      <c r="C353" s="302">
        <v>6.0821326630414001</v>
      </c>
      <c r="D353" s="302">
        <f t="shared" si="136"/>
        <v>6.2362754314430475</v>
      </c>
      <c r="E353" s="303"/>
      <c r="F353" s="302">
        <v>0.21301109063977208</v>
      </c>
      <c r="G353" s="302">
        <v>5.98484075255113</v>
      </c>
      <c r="H353" s="302">
        <f t="shared" si="137"/>
        <v>6.197851843190902</v>
      </c>
      <c r="I353" s="303"/>
      <c r="J353" s="302">
        <v>0.37293679963504495</v>
      </c>
      <c r="K353" s="302">
        <v>4.3425148609780271</v>
      </c>
      <c r="L353" s="302">
        <f t="shared" si="138"/>
        <v>4.7154516606130716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3.6856776310873723E-2</v>
      </c>
      <c r="C354" s="302">
        <v>2.611217327827943E-2</v>
      </c>
      <c r="D354" s="302">
        <f t="shared" si="136"/>
        <v>6.2968949589153153E-2</v>
      </c>
      <c r="E354" s="303"/>
      <c r="F354" s="302">
        <v>4.0913465127105406E-2</v>
      </c>
      <c r="G354" s="302">
        <v>3.6840574884194878E-2</v>
      </c>
      <c r="H354" s="302">
        <f t="shared" si="137"/>
        <v>7.7754040011300291E-2</v>
      </c>
      <c r="I354" s="303"/>
      <c r="J354" s="302">
        <v>3.8253589649878773E-2</v>
      </c>
      <c r="K354" s="302">
        <v>4.1643227625975769E-2</v>
      </c>
      <c r="L354" s="302">
        <f t="shared" si="138"/>
        <v>7.9896817275854543E-2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0.16477345445984609</v>
      </c>
      <c r="C355" s="302">
        <v>0.14951337425343292</v>
      </c>
      <c r="D355" s="302">
        <f t="shared" si="136"/>
        <v>0.31428682871327901</v>
      </c>
      <c r="E355" s="303"/>
      <c r="F355" s="302">
        <v>0.22634686797472889</v>
      </c>
      <c r="G355" s="302">
        <v>0.21872150191938919</v>
      </c>
      <c r="H355" s="302">
        <f t="shared" si="137"/>
        <v>0.44506836989411808</v>
      </c>
      <c r="I355" s="303"/>
      <c r="J355" s="302">
        <v>0.26463239464885557</v>
      </c>
      <c r="K355" s="302">
        <v>0.24023781225018218</v>
      </c>
      <c r="L355" s="302">
        <f t="shared" si="138"/>
        <v>0.50487020689903772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0.21782054377321144</v>
      </c>
      <c r="C356" s="302">
        <v>2.0762529431086345</v>
      </c>
      <c r="D356" s="302">
        <f t="shared" si="136"/>
        <v>2.294073486881846</v>
      </c>
      <c r="E356" s="303"/>
      <c r="F356" s="302">
        <v>0.19618331848095452</v>
      </c>
      <c r="G356" s="302">
        <v>1.9291142831125534</v>
      </c>
      <c r="H356" s="302">
        <f t="shared" si="137"/>
        <v>2.1252976015935081</v>
      </c>
      <c r="I356" s="303"/>
      <c r="J356" s="302">
        <v>0.25224335342220394</v>
      </c>
      <c r="K356" s="302">
        <v>2.0091796513232576</v>
      </c>
      <c r="L356" s="302">
        <f t="shared" si="138"/>
        <v>2.2614230047454615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7.0403905838351613E-2</v>
      </c>
      <c r="C357" s="302">
        <v>0.38143457326920283</v>
      </c>
      <c r="D357" s="302">
        <f t="shared" si="136"/>
        <v>0.45183847910755442</v>
      </c>
      <c r="E357" s="303"/>
      <c r="F357" s="302">
        <v>7.194412887726602E-2</v>
      </c>
      <c r="G357" s="302">
        <v>0.34407374766923415</v>
      </c>
      <c r="H357" s="302">
        <f t="shared" si="137"/>
        <v>0.41601787654650019</v>
      </c>
      <c r="I357" s="303"/>
      <c r="J357" s="302">
        <v>5.5408951067799611E-2</v>
      </c>
      <c r="K357" s="302">
        <v>0.1980121273987088</v>
      </c>
      <c r="L357" s="302">
        <f t="shared" si="138"/>
        <v>0.25342107846650841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32</v>
      </c>
      <c r="B359" s="311">
        <f>SUM(B349:B357)</f>
        <v>2.8299999999753691</v>
      </c>
      <c r="C359" s="311">
        <f t="shared" ref="C359:D359" si="139">SUM(C349:C357)</f>
        <v>16.407999999928279</v>
      </c>
      <c r="D359" s="311">
        <f t="shared" si="139"/>
        <v>19.237999999903646</v>
      </c>
      <c r="E359" s="311"/>
      <c r="F359" s="311">
        <f t="shared" ref="F359:H359" si="140">SUM(F349:F357)</f>
        <v>3.9749999999664229</v>
      </c>
      <c r="G359" s="311">
        <f t="shared" si="140"/>
        <v>19.319999999928044</v>
      </c>
      <c r="H359" s="311">
        <f t="shared" si="140"/>
        <v>23.294999999894468</v>
      </c>
      <c r="I359" s="311"/>
      <c r="J359" s="311">
        <f t="shared" ref="J359:L359" si="141">SUM(J349:J357)</f>
        <v>4.2550000000096686</v>
      </c>
      <c r="K359" s="311">
        <f t="shared" si="141"/>
        <v>17.532999999968872</v>
      </c>
      <c r="L359" s="311">
        <f t="shared" si="141"/>
        <v>21.787999999978545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35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name!A24</f>
        <v>Furniture</v>
      </c>
      <c r="B363" s="372">
        <f>B$6</f>
        <v>2015</v>
      </c>
      <c r="C363" s="372"/>
      <c r="D363" s="372"/>
      <c r="E363" s="253"/>
      <c r="F363" s="372">
        <f>F346</f>
        <v>2020</v>
      </c>
      <c r="G363" s="372"/>
      <c r="H363" s="372"/>
      <c r="I363" s="253"/>
      <c r="J363" s="372">
        <f>J346</f>
        <v>2035</v>
      </c>
      <c r="K363" s="372"/>
      <c r="L363" s="372"/>
      <c r="M363" s="236"/>
      <c r="N363" s="236"/>
    </row>
    <row r="364" spans="1:14" x14ac:dyDescent="0.2">
      <c r="A364" s="254"/>
      <c r="B364" s="255" t="s">
        <v>352</v>
      </c>
      <c r="C364" s="255" t="s">
        <v>353</v>
      </c>
      <c r="D364" s="255" t="s">
        <v>32</v>
      </c>
      <c r="E364" s="255"/>
      <c r="F364" s="255" t="s">
        <v>352</v>
      </c>
      <c r="G364" s="255" t="s">
        <v>353</v>
      </c>
      <c r="H364" s="255" t="s">
        <v>32</v>
      </c>
      <c r="I364" s="255"/>
      <c r="J364" s="255" t="s">
        <v>352</v>
      </c>
      <c r="K364" s="255" t="s">
        <v>353</v>
      </c>
      <c r="L364" s="255" t="s">
        <v>32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0.2122472781683622</v>
      </c>
      <c r="C366" s="302">
        <v>0.88683911505326996</v>
      </c>
      <c r="D366" s="302">
        <f>SUM(B366:C366)</f>
        <v>1.0990863932216322</v>
      </c>
      <c r="E366" s="303"/>
      <c r="F366" s="302">
        <v>0.18712770091959641</v>
      </c>
      <c r="G366" s="302">
        <v>0.72236305081470764</v>
      </c>
      <c r="H366" s="302">
        <f>SUM(F366:G366)</f>
        <v>0.90949075173430405</v>
      </c>
      <c r="I366" s="303"/>
      <c r="J366" s="302">
        <v>0.1895262527631926</v>
      </c>
      <c r="K366" s="302">
        <v>0.68283602075475247</v>
      </c>
      <c r="L366" s="302">
        <f>SUM(J366:K366)</f>
        <v>0.87236227351794504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0.15463377909337594</v>
      </c>
      <c r="C367" s="302">
        <v>0.72468041048625631</v>
      </c>
      <c r="D367" s="302">
        <f t="shared" ref="D367:D374" si="142">SUM(B367:C367)</f>
        <v>0.87931418957963225</v>
      </c>
      <c r="E367" s="303"/>
      <c r="F367" s="302">
        <v>0.15126172860297937</v>
      </c>
      <c r="G367" s="302">
        <v>0.74676374924171141</v>
      </c>
      <c r="H367" s="302">
        <f t="shared" ref="H367:H374" si="143">SUM(F367:G367)</f>
        <v>0.89802547784469078</v>
      </c>
      <c r="I367" s="303"/>
      <c r="J367" s="302">
        <v>0.16680747116151043</v>
      </c>
      <c r="K367" s="302">
        <v>0.87481538898052236</v>
      </c>
      <c r="L367" s="302">
        <f t="shared" ref="L367:L374" si="144">SUM(J367:K367)</f>
        <v>1.0416228601420328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0.20983827284540696</v>
      </c>
      <c r="C368" s="302">
        <v>0.6204884283113522</v>
      </c>
      <c r="D368" s="302">
        <f t="shared" si="142"/>
        <v>0.83032670115675922</v>
      </c>
      <c r="E368" s="303"/>
      <c r="F368" s="302">
        <v>0.17375648828093238</v>
      </c>
      <c r="G368" s="302">
        <v>0.57763714988544623</v>
      </c>
      <c r="H368" s="302">
        <f t="shared" si="143"/>
        <v>0.75139363816637861</v>
      </c>
      <c r="I368" s="303"/>
      <c r="J368" s="302">
        <v>0.16145317384661709</v>
      </c>
      <c r="K368" s="302">
        <v>0.51245672486853344</v>
      </c>
      <c r="L368" s="302">
        <f t="shared" si="144"/>
        <v>0.6739098987151505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0.79724395345473908</v>
      </c>
      <c r="C369" s="302">
        <v>0.90638788420026484</v>
      </c>
      <c r="D369" s="302">
        <f t="shared" si="142"/>
        <v>1.7036318376550039</v>
      </c>
      <c r="E369" s="303"/>
      <c r="F369" s="302">
        <v>0.52877457240161174</v>
      </c>
      <c r="G369" s="302">
        <v>0.80502172580103759</v>
      </c>
      <c r="H369" s="302">
        <f t="shared" si="143"/>
        <v>1.3337962982026492</v>
      </c>
      <c r="I369" s="303"/>
      <c r="J369" s="302">
        <v>0.39313784702746063</v>
      </c>
      <c r="K369" s="302">
        <v>0.80040040187135997</v>
      </c>
      <c r="L369" s="302">
        <f t="shared" si="144"/>
        <v>1.1935382488988207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0.35869352461733439</v>
      </c>
      <c r="C370" s="302">
        <v>3.1893949708888591</v>
      </c>
      <c r="D370" s="302">
        <f t="shared" si="142"/>
        <v>3.5480884955061933</v>
      </c>
      <c r="E370" s="303"/>
      <c r="F370" s="302">
        <v>0.11546952964510043</v>
      </c>
      <c r="G370" s="302">
        <v>1.652980801135469</v>
      </c>
      <c r="H370" s="302">
        <f t="shared" si="143"/>
        <v>1.7684503307805695</v>
      </c>
      <c r="I370" s="303"/>
      <c r="J370" s="302">
        <v>0.11226944060060953</v>
      </c>
      <c r="K370" s="302">
        <v>1.0774875673077955</v>
      </c>
      <c r="L370" s="302">
        <f t="shared" si="144"/>
        <v>1.189757007908405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4.1537026844416597E-2</v>
      </c>
      <c r="C371" s="302">
        <v>1.9183020007788026E-2</v>
      </c>
      <c r="D371" s="302">
        <f t="shared" si="142"/>
        <v>6.0720046852204626E-2</v>
      </c>
      <c r="E371" s="303"/>
      <c r="F371" s="302">
        <v>2.3170265512986923E-2</v>
      </c>
      <c r="G371" s="302">
        <v>4.8166201111754847E-2</v>
      </c>
      <c r="H371" s="302">
        <f t="shared" si="143"/>
        <v>7.1336466624741773E-2</v>
      </c>
      <c r="I371" s="303"/>
      <c r="J371" s="302">
        <v>1.8919019666766505E-2</v>
      </c>
      <c r="K371" s="302">
        <v>6.0015146166012875E-2</v>
      </c>
      <c r="L371" s="302">
        <f t="shared" si="144"/>
        <v>7.8934165832779374E-2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0.18205374657646281</v>
      </c>
      <c r="C372" s="302">
        <v>0.60655006643965703</v>
      </c>
      <c r="D372" s="302">
        <f t="shared" si="142"/>
        <v>0.78860381301611981</v>
      </c>
      <c r="E372" s="303"/>
      <c r="F372" s="302">
        <v>0.11858608023989144</v>
      </c>
      <c r="G372" s="302">
        <v>0.49202621535024638</v>
      </c>
      <c r="H372" s="302">
        <f t="shared" si="143"/>
        <v>0.61061229559013785</v>
      </c>
      <c r="I372" s="303"/>
      <c r="J372" s="302">
        <v>0.11204331184127068</v>
      </c>
      <c r="K372" s="302">
        <v>0.52963254130349158</v>
      </c>
      <c r="L372" s="302">
        <f t="shared" si="144"/>
        <v>0.64167585314476228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0.38033327748586671</v>
      </c>
      <c r="C373" s="302">
        <v>2.0481744367394459</v>
      </c>
      <c r="D373" s="302">
        <f t="shared" si="142"/>
        <v>2.4285077142253124</v>
      </c>
      <c r="E373" s="303"/>
      <c r="F373" s="302">
        <v>0.1990878483868401</v>
      </c>
      <c r="G373" s="302">
        <v>1.2727074492840917</v>
      </c>
      <c r="H373" s="302">
        <f t="shared" si="143"/>
        <v>1.4717952976709319</v>
      </c>
      <c r="I373" s="303"/>
      <c r="J373" s="302">
        <v>0.2553492614080124</v>
      </c>
      <c r="K373" s="302">
        <v>1.4292234761715941</v>
      </c>
      <c r="L373" s="302">
        <f t="shared" si="144"/>
        <v>1.6845727375796065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0.16341914092274204</v>
      </c>
      <c r="C374" s="302">
        <v>1.2443016677742995</v>
      </c>
      <c r="D374" s="302">
        <f t="shared" si="142"/>
        <v>1.4077208086970416</v>
      </c>
      <c r="E374" s="303"/>
      <c r="F374" s="302">
        <v>7.8765786004090552E-2</v>
      </c>
      <c r="G374" s="302">
        <v>0.87833365740584668</v>
      </c>
      <c r="H374" s="302">
        <f t="shared" si="143"/>
        <v>0.95709944340993724</v>
      </c>
      <c r="I374" s="303"/>
      <c r="J374" s="302">
        <v>5.6494221682418751E-2</v>
      </c>
      <c r="K374" s="302">
        <v>0.66513273262384809</v>
      </c>
      <c r="L374" s="302">
        <f t="shared" si="144"/>
        <v>0.72162695430626689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32</v>
      </c>
      <c r="B376" s="311">
        <f>SUM(B366:B374)</f>
        <v>2.5000000000087068</v>
      </c>
      <c r="C376" s="311">
        <f t="shared" ref="C376:D376" si="145">SUM(C366:C374)</f>
        <v>10.245999999901192</v>
      </c>
      <c r="D376" s="311">
        <f t="shared" si="145"/>
        <v>12.745999999909897</v>
      </c>
      <c r="E376" s="311"/>
      <c r="F376" s="311">
        <f t="shared" ref="F376:H376" si="146">SUM(F366:F374)</f>
        <v>1.5759999999940293</v>
      </c>
      <c r="G376" s="311">
        <f t="shared" si="146"/>
        <v>7.1960000000303115</v>
      </c>
      <c r="H376" s="311">
        <f t="shared" si="146"/>
        <v>8.7720000000243399</v>
      </c>
      <c r="I376" s="311"/>
      <c r="J376" s="311">
        <f t="shared" ref="J376:L376" si="147">SUM(J366:J374)</f>
        <v>1.4659999999978586</v>
      </c>
      <c r="K376" s="311">
        <f t="shared" si="147"/>
        <v>6.6320000000479098</v>
      </c>
      <c r="L376" s="311">
        <f t="shared" si="147"/>
        <v>8.0980000000457686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35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name!A25</f>
        <v>Other manufacturing</v>
      </c>
      <c r="B380" s="372">
        <f>B$6</f>
        <v>2015</v>
      </c>
      <c r="C380" s="372"/>
      <c r="D380" s="372"/>
      <c r="E380" s="253"/>
      <c r="F380" s="372">
        <f>F363</f>
        <v>2020</v>
      </c>
      <c r="G380" s="372"/>
      <c r="H380" s="372"/>
      <c r="I380" s="253"/>
      <c r="J380" s="372">
        <f>J363</f>
        <v>2035</v>
      </c>
      <c r="K380" s="372"/>
      <c r="L380" s="372"/>
      <c r="M380" s="236"/>
      <c r="N380" s="236"/>
    </row>
    <row r="381" spans="1:14" x14ac:dyDescent="0.2">
      <c r="A381" s="254"/>
      <c r="B381" s="255" t="s">
        <v>352</v>
      </c>
      <c r="C381" s="255" t="s">
        <v>353</v>
      </c>
      <c r="D381" s="255" t="s">
        <v>32</v>
      </c>
      <c r="E381" s="255"/>
      <c r="F381" s="255" t="s">
        <v>352</v>
      </c>
      <c r="G381" s="255" t="s">
        <v>353</v>
      </c>
      <c r="H381" s="255" t="s">
        <v>32</v>
      </c>
      <c r="I381" s="255"/>
      <c r="J381" s="255" t="s">
        <v>352</v>
      </c>
      <c r="K381" s="255" t="s">
        <v>353</v>
      </c>
      <c r="L381" s="255" t="s">
        <v>32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0.17209521159746669</v>
      </c>
      <c r="C383" s="302">
        <v>0.37321584692440629</v>
      </c>
      <c r="D383" s="302">
        <f>SUM(B383:C383)</f>
        <v>0.545311058521873</v>
      </c>
      <c r="E383" s="303"/>
      <c r="F383" s="302">
        <v>0.21796668005530431</v>
      </c>
      <c r="G383" s="302">
        <v>0.52328555714287928</v>
      </c>
      <c r="H383" s="302">
        <f>SUM(F383:G383)</f>
        <v>0.74125223719818356</v>
      </c>
      <c r="I383" s="303"/>
      <c r="J383" s="302">
        <v>0.21952807525008081</v>
      </c>
      <c r="K383" s="302">
        <v>0.5444011962303521</v>
      </c>
      <c r="L383" s="302">
        <f>SUM(J383:K383)</f>
        <v>0.76392927148043288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0.13426582155883168</v>
      </c>
      <c r="C384" s="302">
        <v>0.39035117943764325</v>
      </c>
      <c r="D384" s="302">
        <f t="shared" ref="D384:D391" si="148">SUM(B384:C384)</f>
        <v>0.5246170009964749</v>
      </c>
      <c r="E384" s="303"/>
      <c r="F384" s="302">
        <v>0.18830210505540981</v>
      </c>
      <c r="G384" s="302">
        <v>0.67986534965044065</v>
      </c>
      <c r="H384" s="302">
        <f t="shared" ref="H384:H391" si="149">SUM(F384:G384)</f>
        <v>0.86816745470585044</v>
      </c>
      <c r="I384" s="303"/>
      <c r="J384" s="302">
        <v>0.20684512730801038</v>
      </c>
      <c r="K384" s="302">
        <v>0.97241653120250648</v>
      </c>
      <c r="L384" s="302">
        <f t="shared" ref="L384:L391" si="150">SUM(J384:K384)</f>
        <v>1.1792616585105169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0.17309077218306823</v>
      </c>
      <c r="C385" s="302">
        <v>0.27040723979128317</v>
      </c>
      <c r="D385" s="302">
        <f t="shared" si="148"/>
        <v>0.4434980119743514</v>
      </c>
      <c r="E385" s="303"/>
      <c r="F385" s="302">
        <v>0.20711696581111963</v>
      </c>
      <c r="G385" s="302">
        <v>0.40437611725732076</v>
      </c>
      <c r="H385" s="302">
        <f t="shared" si="149"/>
        <v>0.61149308306844041</v>
      </c>
      <c r="I385" s="303"/>
      <c r="J385" s="302">
        <v>0.19029979905427943</v>
      </c>
      <c r="K385" s="302">
        <v>0.39936865630668139</v>
      </c>
      <c r="L385" s="302">
        <f t="shared" si="150"/>
        <v>0.5896684553609608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0.62329227376697904</v>
      </c>
      <c r="C386" s="302">
        <v>0.28687996140533711</v>
      </c>
      <c r="D386" s="302">
        <f t="shared" si="148"/>
        <v>0.91017223517231616</v>
      </c>
      <c r="E386" s="303"/>
      <c r="F386" s="302">
        <v>0.60817819373638704</v>
      </c>
      <c r="G386" s="302">
        <v>0.3119047399661532</v>
      </c>
      <c r="H386" s="302">
        <f t="shared" si="149"/>
        <v>0.92008293370254024</v>
      </c>
      <c r="I386" s="303"/>
      <c r="J386" s="302">
        <v>0.44567001607311796</v>
      </c>
      <c r="K386" s="302">
        <v>0.24010895274831395</v>
      </c>
      <c r="L386" s="302">
        <f t="shared" si="150"/>
        <v>0.68577896882143197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0.1857205296014989</v>
      </c>
      <c r="C387" s="302">
        <v>1.1678950359630702</v>
      </c>
      <c r="D387" s="302">
        <f t="shared" si="148"/>
        <v>1.3536155655645692</v>
      </c>
      <c r="E387" s="303"/>
      <c r="F387" s="302">
        <v>0.1006886476660251</v>
      </c>
      <c r="G387" s="302">
        <v>1.0453838561546189</v>
      </c>
      <c r="H387" s="302">
        <f t="shared" si="149"/>
        <v>1.1460725038206441</v>
      </c>
      <c r="I387" s="303"/>
      <c r="J387" s="302">
        <v>0.108093290436821</v>
      </c>
      <c r="K387" s="302">
        <v>0.70262522758527557</v>
      </c>
      <c r="L387" s="302">
        <f t="shared" si="150"/>
        <v>0.8107185180220966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3.0612084598000602E-2</v>
      </c>
      <c r="C388" s="302">
        <v>8.6487748578929421E-3</v>
      </c>
      <c r="D388" s="302">
        <f t="shared" si="148"/>
        <v>3.926085945589354E-2</v>
      </c>
      <c r="E388" s="303"/>
      <c r="F388" s="302">
        <v>2.6155074755904298E-2</v>
      </c>
      <c r="G388" s="302">
        <v>1.4735643202809335E-2</v>
      </c>
      <c r="H388" s="302">
        <f t="shared" si="149"/>
        <v>4.0890717958713629E-2</v>
      </c>
      <c r="I388" s="303"/>
      <c r="J388" s="302">
        <v>2.1033156063304904E-2</v>
      </c>
      <c r="K388" s="302">
        <v>1.7476160608932666E-2</v>
      </c>
      <c r="L388" s="302">
        <f t="shared" si="150"/>
        <v>3.8509316672237573E-2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0.13978980545219963</v>
      </c>
      <c r="C389" s="302">
        <v>0.19685662557974129</v>
      </c>
      <c r="D389" s="302">
        <f t="shared" si="148"/>
        <v>0.33664643103194092</v>
      </c>
      <c r="E389" s="303"/>
      <c r="F389" s="302">
        <v>0.13683621889416248</v>
      </c>
      <c r="G389" s="302">
        <v>0.17895107892678233</v>
      </c>
      <c r="H389" s="302">
        <f t="shared" si="149"/>
        <v>0.31578729782094483</v>
      </c>
      <c r="I389" s="303"/>
      <c r="J389" s="302">
        <v>0.12962844747367819</v>
      </c>
      <c r="K389" s="302">
        <v>0.14857043377584517</v>
      </c>
      <c r="L389" s="302">
        <f t="shared" si="150"/>
        <v>0.27819888124952336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0.31722056297051793</v>
      </c>
      <c r="C390" s="302">
        <v>0.67878790940762535</v>
      </c>
      <c r="D390" s="302">
        <f t="shared" si="148"/>
        <v>0.99600847237814327</v>
      </c>
      <c r="E390" s="303"/>
      <c r="F390" s="302">
        <v>0.24625101212855674</v>
      </c>
      <c r="G390" s="302">
        <v>0.62203709290503495</v>
      </c>
      <c r="H390" s="302">
        <f t="shared" si="149"/>
        <v>0.86828810503359166</v>
      </c>
      <c r="I390" s="303"/>
      <c r="J390" s="302">
        <v>0.31651501737054144</v>
      </c>
      <c r="K390" s="302">
        <v>0.50490720457323013</v>
      </c>
      <c r="L390" s="302">
        <f t="shared" si="150"/>
        <v>0.82142222194377157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0.1239129382752405</v>
      </c>
      <c r="C391" s="302">
        <v>0.39595742660208633</v>
      </c>
      <c r="D391" s="302">
        <f t="shared" si="148"/>
        <v>0.51987036487732685</v>
      </c>
      <c r="E391" s="303"/>
      <c r="F391" s="302">
        <v>9.1505101891792673E-2</v>
      </c>
      <c r="G391" s="302">
        <v>0.31346056479770806</v>
      </c>
      <c r="H391" s="302">
        <f t="shared" si="149"/>
        <v>0.40496566668950074</v>
      </c>
      <c r="I391" s="303"/>
      <c r="J391" s="302">
        <v>6.3387070967207249E-2</v>
      </c>
      <c r="K391" s="302">
        <v>0.16012563697602608</v>
      </c>
      <c r="L391" s="302">
        <f t="shared" si="150"/>
        <v>0.22351270794323333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32</v>
      </c>
      <c r="B393" s="311">
        <f>SUM(B383:B391)</f>
        <v>1.9000000000038031</v>
      </c>
      <c r="C393" s="311">
        <f t="shared" ref="C393:D393" si="151">SUM(C383:C391)</f>
        <v>3.7689999999690857</v>
      </c>
      <c r="D393" s="311">
        <f t="shared" si="151"/>
        <v>5.6689999999728897</v>
      </c>
      <c r="E393" s="311"/>
      <c r="F393" s="311">
        <f t="shared" ref="F393:H393" si="152">SUM(F383:F391)</f>
        <v>1.8229999999946622</v>
      </c>
      <c r="G393" s="311">
        <f t="shared" si="152"/>
        <v>4.0940000000037475</v>
      </c>
      <c r="H393" s="311">
        <f t="shared" si="152"/>
        <v>5.91699999999841</v>
      </c>
      <c r="I393" s="311"/>
      <c r="J393" s="311">
        <f t="shared" ref="J393:L393" si="153">SUM(J383:J391)</f>
        <v>1.7009999999970411</v>
      </c>
      <c r="K393" s="311">
        <f t="shared" si="153"/>
        <v>3.6900000000071631</v>
      </c>
      <c r="L393" s="311">
        <f t="shared" si="153"/>
        <v>5.3910000000042055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  <row r="395" spans="1:14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56" t="s">
        <v>35</v>
      </c>
      <c r="M395" s="236"/>
      <c r="N395" s="236"/>
    </row>
    <row r="396" spans="1:14" x14ac:dyDescent="0.2">
      <c r="A396" s="242"/>
      <c r="B396" s="250"/>
      <c r="C396" s="250"/>
      <c r="D396" s="250"/>
      <c r="E396" s="250"/>
      <c r="F396" s="250"/>
      <c r="G396" s="250"/>
      <c r="H396" s="250"/>
      <c r="I396" s="250"/>
      <c r="J396" s="250"/>
      <c r="K396" s="250"/>
      <c r="L396" s="236"/>
      <c r="M396" s="236"/>
      <c r="N396" s="236"/>
    </row>
    <row r="397" spans="1:14" x14ac:dyDescent="0.2">
      <c r="A397" s="241" t="str">
        <f>name!A26</f>
        <v>Repair and installation</v>
      </c>
      <c r="B397" s="372">
        <f>B$6</f>
        <v>2015</v>
      </c>
      <c r="C397" s="372"/>
      <c r="D397" s="372"/>
      <c r="E397" s="253"/>
      <c r="F397" s="372">
        <f>F380</f>
        <v>2020</v>
      </c>
      <c r="G397" s="372"/>
      <c r="H397" s="372"/>
      <c r="I397" s="253"/>
      <c r="J397" s="372">
        <f>J380</f>
        <v>2035</v>
      </c>
      <c r="K397" s="372"/>
      <c r="L397" s="372"/>
      <c r="M397" s="236"/>
      <c r="N397" s="236"/>
    </row>
    <row r="398" spans="1:14" x14ac:dyDescent="0.2">
      <c r="A398" s="254"/>
      <c r="B398" s="255" t="s">
        <v>352</v>
      </c>
      <c r="C398" s="255" t="s">
        <v>353</v>
      </c>
      <c r="D398" s="255" t="s">
        <v>32</v>
      </c>
      <c r="E398" s="255"/>
      <c r="F398" s="255" t="s">
        <v>352</v>
      </c>
      <c r="G398" s="255" t="s">
        <v>353</v>
      </c>
      <c r="H398" s="255" t="s">
        <v>32</v>
      </c>
      <c r="I398" s="255"/>
      <c r="J398" s="255" t="s">
        <v>352</v>
      </c>
      <c r="K398" s="255" t="s">
        <v>353</v>
      </c>
      <c r="L398" s="255" t="s">
        <v>32</v>
      </c>
      <c r="M398" s="236"/>
      <c r="N398" s="236"/>
    </row>
    <row r="399" spans="1:14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  <c r="N399" s="236"/>
    </row>
    <row r="400" spans="1:14" x14ac:dyDescent="0.2">
      <c r="A400" s="237" t="str">
        <f>name!E$4</f>
        <v>Managers, directors and senior officials</v>
      </c>
      <c r="B400" s="302">
        <v>0.1868971550906163</v>
      </c>
      <c r="C400" s="302">
        <v>1.0156883733159099</v>
      </c>
      <c r="D400" s="302">
        <f>SUM(B400:C400)</f>
        <v>1.2025855284065261</v>
      </c>
      <c r="E400" s="303"/>
      <c r="F400" s="302">
        <v>0.18151419056880283</v>
      </c>
      <c r="G400" s="302">
        <v>1.3816402069126843</v>
      </c>
      <c r="H400" s="302">
        <f>SUM(F400:G400)</f>
        <v>1.5631543974814872</v>
      </c>
      <c r="I400" s="303"/>
      <c r="J400" s="302">
        <v>0.16974877352562459</v>
      </c>
      <c r="K400" s="302">
        <v>1.3816746570092826</v>
      </c>
      <c r="L400" s="302">
        <f>SUM(J400:K400)</f>
        <v>1.5514234305349073</v>
      </c>
      <c r="M400" s="236"/>
      <c r="N400" s="236"/>
    </row>
    <row r="401" spans="1:14" x14ac:dyDescent="0.2">
      <c r="A401" s="237" t="str">
        <f>name!E$5</f>
        <v>Professional occupations</v>
      </c>
      <c r="B401" s="302">
        <v>0.20772576013157265</v>
      </c>
      <c r="C401" s="302">
        <v>2.006934027393243</v>
      </c>
      <c r="D401" s="302">
        <f t="shared" ref="D401:D408" si="154">SUM(B401:C401)</f>
        <v>2.2146597875248157</v>
      </c>
      <c r="E401" s="303"/>
      <c r="F401" s="302">
        <v>0.24608115448914764</v>
      </c>
      <c r="G401" s="302">
        <v>2.8968896845438565</v>
      </c>
      <c r="H401" s="302">
        <f t="shared" ref="H401:H408" si="155">SUM(F401:G401)</f>
        <v>3.142970839033004</v>
      </c>
      <c r="I401" s="303"/>
      <c r="J401" s="302">
        <v>0.21606236416566582</v>
      </c>
      <c r="K401" s="302">
        <v>3.1172533005510621</v>
      </c>
      <c r="L401" s="302">
        <f t="shared" ref="L401:L408" si="156">SUM(J401:K401)</f>
        <v>3.3333156647167277</v>
      </c>
      <c r="M401" s="236"/>
      <c r="N401" s="236"/>
    </row>
    <row r="402" spans="1:14" x14ac:dyDescent="0.2">
      <c r="A402" s="237" t="str">
        <f>name!E$6</f>
        <v>Associate professional occupations</v>
      </c>
      <c r="B402" s="302">
        <v>0.22214268362742759</v>
      </c>
      <c r="C402" s="302">
        <v>0.82214746124867166</v>
      </c>
      <c r="D402" s="302">
        <f t="shared" si="154"/>
        <v>1.0442901448760993</v>
      </c>
      <c r="E402" s="303"/>
      <c r="F402" s="302">
        <v>0.23346051868078613</v>
      </c>
      <c r="G402" s="302">
        <v>1.1555602096659279</v>
      </c>
      <c r="H402" s="302">
        <f t="shared" si="155"/>
        <v>1.389020728346714</v>
      </c>
      <c r="I402" s="303"/>
      <c r="J402" s="302">
        <v>0.18358934947372252</v>
      </c>
      <c r="K402" s="302">
        <v>0.99684824695823482</v>
      </c>
      <c r="L402" s="302">
        <f t="shared" si="156"/>
        <v>1.1804375964319573</v>
      </c>
      <c r="M402" s="236"/>
      <c r="N402" s="236"/>
    </row>
    <row r="403" spans="1:14" x14ac:dyDescent="0.2">
      <c r="A403" s="237" t="str">
        <f>name!E$7</f>
        <v>Administrative and secretarial occupations</v>
      </c>
      <c r="B403" s="302">
        <v>0.69483785777661478</v>
      </c>
      <c r="C403" s="302">
        <v>0.28414259046991924</v>
      </c>
      <c r="D403" s="302">
        <f t="shared" si="154"/>
        <v>0.97898044824653407</v>
      </c>
      <c r="E403" s="303"/>
      <c r="F403" s="302">
        <v>0.51570059993847783</v>
      </c>
      <c r="G403" s="302">
        <v>0.35589199967412993</v>
      </c>
      <c r="H403" s="302">
        <f t="shared" si="155"/>
        <v>0.87159259961260771</v>
      </c>
      <c r="I403" s="303"/>
      <c r="J403" s="302">
        <v>0.36695703579393124</v>
      </c>
      <c r="K403" s="302">
        <v>0.34894589739127807</v>
      </c>
      <c r="L403" s="302">
        <f t="shared" si="156"/>
        <v>0.71590293318520937</v>
      </c>
      <c r="M403" s="236"/>
      <c r="N403" s="236"/>
    </row>
    <row r="404" spans="1:14" x14ac:dyDescent="0.2">
      <c r="A404" s="237" t="str">
        <f>name!E$8</f>
        <v>Skilled trades occupations</v>
      </c>
      <c r="B404" s="302">
        <v>9.5017539018801903E-2</v>
      </c>
      <c r="C404" s="302">
        <v>2.9282278304993961</v>
      </c>
      <c r="D404" s="302">
        <f t="shared" si="154"/>
        <v>3.023245369518198</v>
      </c>
      <c r="E404" s="303"/>
      <c r="F404" s="302">
        <v>9.9258239584688823E-2</v>
      </c>
      <c r="G404" s="302">
        <v>2.8843443307505421</v>
      </c>
      <c r="H404" s="302">
        <f t="shared" si="155"/>
        <v>2.9836025703352309</v>
      </c>
      <c r="I404" s="303"/>
      <c r="J404" s="302">
        <v>0.14421506203472126</v>
      </c>
      <c r="K404" s="302">
        <v>2.4487959705104658</v>
      </c>
      <c r="L404" s="302">
        <f t="shared" si="156"/>
        <v>2.5930110325451872</v>
      </c>
      <c r="M404" s="236"/>
      <c r="N404" s="236"/>
    </row>
    <row r="405" spans="1:14" x14ac:dyDescent="0.2">
      <c r="A405" s="237" t="str">
        <f>name!E$9</f>
        <v>Caring, leisure and other service occupations</v>
      </c>
      <c r="B405" s="302">
        <v>5.8929853580325431E-2</v>
      </c>
      <c r="C405" s="302">
        <v>2.906312921682732E-2</v>
      </c>
      <c r="D405" s="302">
        <f t="shared" si="154"/>
        <v>8.7992982797152758E-2</v>
      </c>
      <c r="E405" s="303"/>
      <c r="F405" s="302">
        <v>4.166424481828248E-2</v>
      </c>
      <c r="G405" s="302">
        <v>3.7076693818336219E-2</v>
      </c>
      <c r="H405" s="302">
        <f t="shared" si="155"/>
        <v>7.8740938636618699E-2</v>
      </c>
      <c r="I405" s="303"/>
      <c r="J405" s="302">
        <v>3.8119589154569325E-2</v>
      </c>
      <c r="K405" s="302">
        <v>5.1922474526285546E-2</v>
      </c>
      <c r="L405" s="302">
        <f t="shared" si="156"/>
        <v>9.0042063680854878E-2</v>
      </c>
      <c r="M405" s="236"/>
      <c r="N405" s="236"/>
    </row>
    <row r="406" spans="1:14" x14ac:dyDescent="0.2">
      <c r="A406" s="237" t="str">
        <f>name!E$10</f>
        <v>Sales and customer service occupations</v>
      </c>
      <c r="B406" s="302">
        <v>0.14446107233698405</v>
      </c>
      <c r="C406" s="302">
        <v>0.17266317194155761</v>
      </c>
      <c r="D406" s="302">
        <f t="shared" si="154"/>
        <v>0.31712424427854169</v>
      </c>
      <c r="E406" s="303"/>
      <c r="F406" s="302">
        <v>0.11880340364063154</v>
      </c>
      <c r="G406" s="302">
        <v>0.17933508203741041</v>
      </c>
      <c r="H406" s="302">
        <f t="shared" si="155"/>
        <v>0.29813848567804196</v>
      </c>
      <c r="I406" s="303"/>
      <c r="J406" s="302">
        <v>0.11965510329145679</v>
      </c>
      <c r="K406" s="302">
        <v>0.1858455502141057</v>
      </c>
      <c r="L406" s="302">
        <f t="shared" si="156"/>
        <v>0.30550065350556249</v>
      </c>
      <c r="M406" s="236"/>
      <c r="N406" s="236"/>
    </row>
    <row r="407" spans="1:14" x14ac:dyDescent="0.2">
      <c r="A407" s="237" t="str">
        <f>name!E$11</f>
        <v>Process, plant and machine operatives</v>
      </c>
      <c r="B407" s="302">
        <v>0.40701153632034615</v>
      </c>
      <c r="C407" s="302">
        <v>1.2404542422388143</v>
      </c>
      <c r="D407" s="302">
        <f t="shared" si="154"/>
        <v>1.6474657785591604</v>
      </c>
      <c r="E407" s="303"/>
      <c r="F407" s="302">
        <v>0.30553845169412169</v>
      </c>
      <c r="G407" s="302">
        <v>1.1390478666098172</v>
      </c>
      <c r="H407" s="302">
        <f t="shared" si="155"/>
        <v>1.4445863183039389</v>
      </c>
      <c r="I407" s="303"/>
      <c r="J407" s="302">
        <v>0.40999037976322167</v>
      </c>
      <c r="K407" s="302">
        <v>1.1665165374930218</v>
      </c>
      <c r="L407" s="302">
        <f t="shared" si="156"/>
        <v>1.5765069172562434</v>
      </c>
      <c r="M407" s="236"/>
      <c r="N407" s="236"/>
    </row>
    <row r="408" spans="1:14" x14ac:dyDescent="0.2">
      <c r="A408" s="237" t="str">
        <f>name!E$12</f>
        <v>Elementary occupations</v>
      </c>
      <c r="B408" s="302">
        <v>0.12497654212547071</v>
      </c>
      <c r="C408" s="302">
        <v>0.30967917364029379</v>
      </c>
      <c r="D408" s="302">
        <f t="shared" si="154"/>
        <v>0.43465571576576451</v>
      </c>
      <c r="E408" s="303"/>
      <c r="F408" s="302">
        <v>6.9979196576168648E-2</v>
      </c>
      <c r="G408" s="302">
        <v>0.27121392596069666</v>
      </c>
      <c r="H408" s="302">
        <f t="shared" si="155"/>
        <v>0.34119312253686529</v>
      </c>
      <c r="I408" s="303"/>
      <c r="J408" s="302">
        <v>4.1662342792950204E-2</v>
      </c>
      <c r="K408" s="302">
        <v>0.17919736533355379</v>
      </c>
      <c r="L408" s="302">
        <f t="shared" si="156"/>
        <v>0.22085970812650399</v>
      </c>
      <c r="M408" s="236"/>
      <c r="N408" s="236"/>
    </row>
    <row r="409" spans="1:14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  <c r="N409" s="236"/>
    </row>
    <row r="410" spans="1:14" x14ac:dyDescent="0.2">
      <c r="A410" s="244" t="s">
        <v>32</v>
      </c>
      <c r="B410" s="311">
        <f>SUM(B400:B408)</f>
        <v>2.14200000000816</v>
      </c>
      <c r="C410" s="311">
        <f t="shared" ref="C410:D410" si="157">SUM(C400:C408)</f>
        <v>8.8089999999646338</v>
      </c>
      <c r="D410" s="311">
        <f t="shared" si="157"/>
        <v>10.950999999972792</v>
      </c>
      <c r="E410" s="311"/>
      <c r="F410" s="311">
        <f t="shared" ref="F410:H410" si="158">SUM(F400:F408)</f>
        <v>1.8119999999911078</v>
      </c>
      <c r="G410" s="311">
        <f t="shared" si="158"/>
        <v>10.300999999973399</v>
      </c>
      <c r="H410" s="311">
        <f t="shared" si="158"/>
        <v>12.112999999964508</v>
      </c>
      <c r="I410" s="311"/>
      <c r="J410" s="311">
        <f t="shared" ref="J410:L410" si="159">SUM(J400:J408)</f>
        <v>1.6899999999958633</v>
      </c>
      <c r="K410" s="311">
        <f t="shared" si="159"/>
        <v>9.8769999999872926</v>
      </c>
      <c r="L410" s="311">
        <f t="shared" si="159"/>
        <v>11.566999999983153</v>
      </c>
      <c r="M410" s="236"/>
      <c r="N410" s="236"/>
    </row>
    <row r="411" spans="1:14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  <c r="N411" s="236"/>
    </row>
    <row r="412" spans="1:14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56" t="s">
        <v>35</v>
      </c>
      <c r="M412" s="236"/>
      <c r="N412" s="236"/>
    </row>
    <row r="413" spans="1:14" x14ac:dyDescent="0.2">
      <c r="A413" s="242"/>
      <c r="B413" s="250"/>
      <c r="C413" s="250"/>
      <c r="D413" s="250"/>
      <c r="E413" s="250"/>
      <c r="F413" s="250"/>
      <c r="G413" s="250"/>
      <c r="H413" s="250"/>
      <c r="I413" s="250"/>
      <c r="J413" s="250"/>
      <c r="K413" s="250"/>
      <c r="L413" s="236"/>
      <c r="M413" s="236"/>
      <c r="N413" s="236"/>
    </row>
    <row r="414" spans="1:14" x14ac:dyDescent="0.2">
      <c r="A414" s="241" t="str">
        <f>name!A27</f>
        <v>Electricity, gas, etc</v>
      </c>
      <c r="B414" s="372">
        <f>B$6</f>
        <v>2015</v>
      </c>
      <c r="C414" s="372"/>
      <c r="D414" s="372"/>
      <c r="E414" s="253"/>
      <c r="F414" s="372">
        <f>F397</f>
        <v>2020</v>
      </c>
      <c r="G414" s="372"/>
      <c r="H414" s="372"/>
      <c r="I414" s="253"/>
      <c r="J414" s="372">
        <f>J397</f>
        <v>2035</v>
      </c>
      <c r="K414" s="372"/>
      <c r="L414" s="372"/>
      <c r="M414" s="236"/>
      <c r="N414" s="236"/>
    </row>
    <row r="415" spans="1:14" x14ac:dyDescent="0.2">
      <c r="A415" s="254"/>
      <c r="B415" s="255" t="s">
        <v>352</v>
      </c>
      <c r="C415" s="255" t="s">
        <v>353</v>
      </c>
      <c r="D415" s="255" t="s">
        <v>32</v>
      </c>
      <c r="E415" s="255"/>
      <c r="F415" s="255" t="s">
        <v>352</v>
      </c>
      <c r="G415" s="255" t="s">
        <v>353</v>
      </c>
      <c r="H415" s="255" t="s">
        <v>32</v>
      </c>
      <c r="I415" s="255"/>
      <c r="J415" s="255" t="s">
        <v>352</v>
      </c>
      <c r="K415" s="255" t="s">
        <v>353</v>
      </c>
      <c r="L415" s="255" t="s">
        <v>32</v>
      </c>
      <c r="M415" s="236"/>
      <c r="N415" s="236"/>
    </row>
    <row r="416" spans="1:14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  <c r="N416" s="236"/>
    </row>
    <row r="417" spans="1:14" x14ac:dyDescent="0.2">
      <c r="A417" s="237" t="str">
        <f>name!E$4</f>
        <v>Managers, directors and senior officials</v>
      </c>
      <c r="B417" s="302">
        <v>0.50303801976562379</v>
      </c>
      <c r="C417" s="302">
        <v>1.2599553433338504</v>
      </c>
      <c r="D417" s="302">
        <f>SUM(B417:C417)</f>
        <v>1.7629933630994743</v>
      </c>
      <c r="E417" s="303"/>
      <c r="F417" s="302">
        <v>0.54346476969920698</v>
      </c>
      <c r="G417" s="302">
        <v>1.0631440849258638</v>
      </c>
      <c r="H417" s="302">
        <f>SUM(F417:G417)</f>
        <v>1.6066088546250707</v>
      </c>
      <c r="I417" s="303"/>
      <c r="J417" s="302">
        <v>0.64140741331162598</v>
      </c>
      <c r="K417" s="302">
        <v>1.1230926380760549</v>
      </c>
      <c r="L417" s="302">
        <f>SUM(J417:K417)</f>
        <v>1.7645000513876807</v>
      </c>
      <c r="M417" s="236"/>
      <c r="N417" s="236"/>
    </row>
    <row r="418" spans="1:14" x14ac:dyDescent="0.2">
      <c r="A418" s="237" t="str">
        <f>name!E$5</f>
        <v>Professional occupations</v>
      </c>
      <c r="B418" s="302">
        <v>0.59103345142189045</v>
      </c>
      <c r="C418" s="302">
        <v>3.3543112029082987</v>
      </c>
      <c r="D418" s="302">
        <f t="shared" ref="D418:D425" si="160">SUM(B418:C418)</f>
        <v>3.9453446543301891</v>
      </c>
      <c r="E418" s="303"/>
      <c r="F418" s="302">
        <v>0.73360963172114435</v>
      </c>
      <c r="G418" s="302">
        <v>3.2854991581779065</v>
      </c>
      <c r="H418" s="302">
        <f t="shared" ref="H418:H425" si="161">SUM(F418:G418)</f>
        <v>4.0191087898990512</v>
      </c>
      <c r="I418" s="303"/>
      <c r="J418" s="302">
        <v>0.92955166041352233</v>
      </c>
      <c r="K418" s="302">
        <v>3.7997493338758987</v>
      </c>
      <c r="L418" s="302">
        <f t="shared" ref="L418:L425" si="162">SUM(J418:K418)</f>
        <v>4.7293009942894209</v>
      </c>
      <c r="M418" s="236"/>
      <c r="N418" s="236"/>
    </row>
    <row r="419" spans="1:14" x14ac:dyDescent="0.2">
      <c r="A419" s="237" t="str">
        <f>name!E$6</f>
        <v>Associate professional occupations</v>
      </c>
      <c r="B419" s="302">
        <v>0.53259091291408278</v>
      </c>
      <c r="C419" s="302">
        <v>1.5240386317490582</v>
      </c>
      <c r="D419" s="302">
        <f t="shared" si="160"/>
        <v>2.0566295446631409</v>
      </c>
      <c r="E419" s="303"/>
      <c r="F419" s="302">
        <v>0.55422413534157455</v>
      </c>
      <c r="G419" s="302">
        <v>1.5136934492681533</v>
      </c>
      <c r="H419" s="302">
        <f t="shared" si="161"/>
        <v>2.0679175846097277</v>
      </c>
      <c r="I419" s="303"/>
      <c r="J419" s="302">
        <v>0.56325661492600676</v>
      </c>
      <c r="K419" s="302">
        <v>1.3078383735871164</v>
      </c>
      <c r="L419" s="302">
        <f t="shared" si="162"/>
        <v>1.8710949885131232</v>
      </c>
      <c r="M419" s="236"/>
      <c r="N419" s="236"/>
    </row>
    <row r="420" spans="1:14" x14ac:dyDescent="0.2">
      <c r="A420" s="237" t="str">
        <f>name!E$7</f>
        <v>Administrative and secretarial occupations</v>
      </c>
      <c r="B420" s="302">
        <v>1.6370315576952135</v>
      </c>
      <c r="C420" s="302">
        <v>0.30235862206996272</v>
      </c>
      <c r="D420" s="302">
        <f t="shared" si="160"/>
        <v>1.9393901797651762</v>
      </c>
      <c r="E420" s="303"/>
      <c r="F420" s="302">
        <v>1.3146417968908815</v>
      </c>
      <c r="G420" s="302">
        <v>0.26079027555053741</v>
      </c>
      <c r="H420" s="302">
        <f t="shared" si="161"/>
        <v>1.5754320724414188</v>
      </c>
      <c r="I420" s="303"/>
      <c r="J420" s="302">
        <v>0.92297294631187932</v>
      </c>
      <c r="K420" s="302">
        <v>0.16212614682695867</v>
      </c>
      <c r="L420" s="302">
        <f t="shared" si="162"/>
        <v>1.085099093138838</v>
      </c>
      <c r="M420" s="236"/>
      <c r="N420" s="236"/>
    </row>
    <row r="421" spans="1:14" x14ac:dyDescent="0.2">
      <c r="A421" s="237" t="str">
        <f>name!E$8</f>
        <v>Skilled trades occupations</v>
      </c>
      <c r="B421" s="302">
        <v>4.0814043412295449E-2</v>
      </c>
      <c r="C421" s="302">
        <v>3.7408476774735897</v>
      </c>
      <c r="D421" s="302">
        <f t="shared" si="160"/>
        <v>3.7816617208858854</v>
      </c>
      <c r="E421" s="303"/>
      <c r="F421" s="302">
        <v>3.3542258896191397E-2</v>
      </c>
      <c r="G421" s="302">
        <v>2.3373097609889393</v>
      </c>
      <c r="H421" s="302">
        <f t="shared" si="161"/>
        <v>2.3708520198851306</v>
      </c>
      <c r="I421" s="303"/>
      <c r="J421" s="302">
        <v>5.4618446437561065E-2</v>
      </c>
      <c r="K421" s="302">
        <v>1.8893579913416676</v>
      </c>
      <c r="L421" s="302">
        <f t="shared" si="162"/>
        <v>1.9439764377792286</v>
      </c>
      <c r="M421" s="236"/>
      <c r="N421" s="236"/>
    </row>
    <row r="422" spans="1:14" x14ac:dyDescent="0.2">
      <c r="A422" s="237" t="str">
        <f>name!E$9</f>
        <v>Caring, leisure and other service occupations</v>
      </c>
      <c r="B422" s="302">
        <v>0.29734614837981593</v>
      </c>
      <c r="C422" s="302">
        <v>7.2559355223197994E-2</v>
      </c>
      <c r="D422" s="302">
        <f t="shared" si="160"/>
        <v>0.36990550360301394</v>
      </c>
      <c r="E422" s="303"/>
      <c r="F422" s="302">
        <v>0.22799867238007246</v>
      </c>
      <c r="G422" s="302">
        <v>5.2057873603437457E-2</v>
      </c>
      <c r="H422" s="302">
        <f t="shared" si="161"/>
        <v>0.28005654598350993</v>
      </c>
      <c r="I422" s="303"/>
      <c r="J422" s="302">
        <v>0.23945508380740371</v>
      </c>
      <c r="K422" s="302">
        <v>5.5074804534520135E-2</v>
      </c>
      <c r="L422" s="302">
        <f t="shared" si="162"/>
        <v>0.29452988834192384</v>
      </c>
      <c r="M422" s="236"/>
      <c r="N422" s="236"/>
    </row>
    <row r="423" spans="1:14" x14ac:dyDescent="0.2">
      <c r="A423" s="237" t="str">
        <f>name!E$10</f>
        <v>Sales and customer service occupations</v>
      </c>
      <c r="B423" s="302">
        <v>1.1289288592113229</v>
      </c>
      <c r="C423" s="302">
        <v>1.0096886272409542</v>
      </c>
      <c r="D423" s="302">
        <f t="shared" si="160"/>
        <v>2.1386174864522771</v>
      </c>
      <c r="E423" s="303"/>
      <c r="F423" s="302">
        <v>0.95497272448518222</v>
      </c>
      <c r="G423" s="302">
        <v>0.59673666095719924</v>
      </c>
      <c r="H423" s="302">
        <f t="shared" si="161"/>
        <v>1.5517093854423814</v>
      </c>
      <c r="I423" s="303"/>
      <c r="J423" s="302">
        <v>1.184264988583176</v>
      </c>
      <c r="K423" s="302">
        <v>0.63297127278104537</v>
      </c>
      <c r="L423" s="302">
        <f t="shared" si="162"/>
        <v>1.8172362613642212</v>
      </c>
      <c r="M423" s="236"/>
      <c r="N423" s="236"/>
    </row>
    <row r="424" spans="1:14" x14ac:dyDescent="0.2">
      <c r="A424" s="237" t="str">
        <f>name!E$11</f>
        <v>Process, plant and machine operatives</v>
      </c>
      <c r="B424" s="302">
        <v>1.7985000957718128E-2</v>
      </c>
      <c r="C424" s="302">
        <v>0.70962987108495823</v>
      </c>
      <c r="D424" s="302">
        <f t="shared" si="160"/>
        <v>0.72761487204267639</v>
      </c>
      <c r="E424" s="303"/>
      <c r="F424" s="302">
        <v>1.1632410949650403E-2</v>
      </c>
      <c r="G424" s="302">
        <v>0.42944707001932608</v>
      </c>
      <c r="H424" s="302">
        <f t="shared" si="161"/>
        <v>0.44107948096897648</v>
      </c>
      <c r="I424" s="303"/>
      <c r="J424" s="302">
        <v>1.5612759517133918E-2</v>
      </c>
      <c r="K424" s="302">
        <v>0.48827799572989999</v>
      </c>
      <c r="L424" s="302">
        <f t="shared" si="162"/>
        <v>0.50389075524703386</v>
      </c>
      <c r="M424" s="236"/>
      <c r="N424" s="236"/>
    </row>
    <row r="425" spans="1:14" x14ac:dyDescent="0.2">
      <c r="A425" s="237" t="str">
        <f>name!E$12</f>
        <v>Elementary occupations</v>
      </c>
      <c r="B425" s="302">
        <v>0.15423200625299638</v>
      </c>
      <c r="C425" s="302">
        <v>0.13061066893539838</v>
      </c>
      <c r="D425" s="302">
        <f t="shared" si="160"/>
        <v>0.28484267518839479</v>
      </c>
      <c r="E425" s="303"/>
      <c r="F425" s="302">
        <v>9.1913599651609418E-2</v>
      </c>
      <c r="G425" s="302">
        <v>5.0321666387203055E-2</v>
      </c>
      <c r="H425" s="302">
        <f t="shared" si="161"/>
        <v>0.14223526603881248</v>
      </c>
      <c r="I425" s="303"/>
      <c r="J425" s="302">
        <v>5.0860086621369253E-2</v>
      </c>
      <c r="K425" s="302">
        <v>2.4511443145774286E-2</v>
      </c>
      <c r="L425" s="302">
        <f t="shared" si="162"/>
        <v>7.5371529767143536E-2</v>
      </c>
      <c r="M425" s="236"/>
      <c r="N425" s="236"/>
    </row>
    <row r="426" spans="1:14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  <c r="N426" s="236"/>
    </row>
    <row r="427" spans="1:14" x14ac:dyDescent="0.2">
      <c r="A427" s="244" t="s">
        <v>32</v>
      </c>
      <c r="B427" s="311">
        <f>SUM(B417:B425)</f>
        <v>4.9030000000109597</v>
      </c>
      <c r="C427" s="311">
        <f t="shared" ref="C427:D427" si="163">SUM(C417:C425)</f>
        <v>12.104000000019269</v>
      </c>
      <c r="D427" s="311">
        <f t="shared" si="163"/>
        <v>17.007000000030228</v>
      </c>
      <c r="E427" s="311"/>
      <c r="F427" s="311">
        <f t="shared" ref="F427:H427" si="164">SUM(F417:F425)</f>
        <v>4.4660000000155131</v>
      </c>
      <c r="G427" s="311">
        <f t="shared" si="164"/>
        <v>9.5889999998785687</v>
      </c>
      <c r="H427" s="311">
        <f t="shared" si="164"/>
        <v>14.054999999894079</v>
      </c>
      <c r="I427" s="311"/>
      <c r="J427" s="311">
        <f t="shared" ref="J427:L427" si="165">SUM(J417:J425)</f>
        <v>4.6019999999296779</v>
      </c>
      <c r="K427" s="311">
        <f t="shared" si="165"/>
        <v>9.4829999998989365</v>
      </c>
      <c r="L427" s="311">
        <f t="shared" si="165"/>
        <v>14.084999999828613</v>
      </c>
      <c r="M427" s="236"/>
      <c r="N427" s="236"/>
    </row>
    <row r="428" spans="1:14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  <c r="N428" s="236"/>
    </row>
    <row r="429" spans="1:14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56" t="s">
        <v>35</v>
      </c>
      <c r="M429" s="236"/>
      <c r="N429" s="236"/>
    </row>
    <row r="430" spans="1:14" x14ac:dyDescent="0.2">
      <c r="A430" s="242"/>
      <c r="B430" s="250"/>
      <c r="C430" s="250"/>
      <c r="D430" s="250"/>
      <c r="E430" s="250"/>
      <c r="F430" s="250"/>
      <c r="G430" s="250"/>
      <c r="H430" s="250"/>
      <c r="I430" s="250"/>
      <c r="J430" s="250"/>
      <c r="K430" s="250"/>
      <c r="L430" s="236"/>
      <c r="M430" s="236"/>
      <c r="N430" s="236"/>
    </row>
    <row r="431" spans="1:14" x14ac:dyDescent="0.2">
      <c r="A431" s="241" t="str">
        <f>name!A28</f>
        <v>Water</v>
      </c>
      <c r="B431" s="372">
        <f>B$6</f>
        <v>2015</v>
      </c>
      <c r="C431" s="372"/>
      <c r="D431" s="372"/>
      <c r="E431" s="253"/>
      <c r="F431" s="372">
        <f>F414</f>
        <v>2020</v>
      </c>
      <c r="G431" s="372"/>
      <c r="H431" s="372"/>
      <c r="I431" s="253"/>
      <c r="J431" s="372">
        <f>J414</f>
        <v>2035</v>
      </c>
      <c r="K431" s="372"/>
      <c r="L431" s="372"/>
      <c r="M431" s="236"/>
      <c r="N431" s="236"/>
    </row>
    <row r="432" spans="1:14" x14ac:dyDescent="0.2">
      <c r="A432" s="254"/>
      <c r="B432" s="255" t="s">
        <v>352</v>
      </c>
      <c r="C432" s="255" t="s">
        <v>353</v>
      </c>
      <c r="D432" s="255" t="s">
        <v>32</v>
      </c>
      <c r="E432" s="255"/>
      <c r="F432" s="255" t="s">
        <v>352</v>
      </c>
      <c r="G432" s="255" t="s">
        <v>353</v>
      </c>
      <c r="H432" s="255" t="s">
        <v>32</v>
      </c>
      <c r="I432" s="255"/>
      <c r="J432" s="255" t="s">
        <v>352</v>
      </c>
      <c r="K432" s="255" t="s">
        <v>353</v>
      </c>
      <c r="L432" s="255" t="s">
        <v>32</v>
      </c>
      <c r="M432" s="236"/>
      <c r="N432" s="236"/>
    </row>
    <row r="433" spans="1:14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  <c r="N433" s="236"/>
    </row>
    <row r="434" spans="1:14" x14ac:dyDescent="0.2">
      <c r="A434" s="237" t="str">
        <f>name!E$4</f>
        <v>Managers, directors and senior officials</v>
      </c>
      <c r="B434" s="302">
        <v>4.3694774022158045E-2</v>
      </c>
      <c r="C434" s="302">
        <v>0.20484405680830792</v>
      </c>
      <c r="D434" s="302">
        <f>SUM(B434:C434)</f>
        <v>0.24853883083046596</v>
      </c>
      <c r="E434" s="303"/>
      <c r="F434" s="302">
        <v>6.3305086558112414E-2</v>
      </c>
      <c r="G434" s="302">
        <v>0.28861527909982415</v>
      </c>
      <c r="H434" s="302">
        <f>SUM(F434:G434)</f>
        <v>0.35192036565793655</v>
      </c>
      <c r="I434" s="303"/>
      <c r="J434" s="302">
        <v>7.8608288445548569E-2</v>
      </c>
      <c r="K434" s="302">
        <v>0.30730943245086362</v>
      </c>
      <c r="L434" s="302">
        <f>SUM(J434:K434)</f>
        <v>0.38591772089641219</v>
      </c>
      <c r="M434" s="236"/>
      <c r="N434" s="236"/>
    </row>
    <row r="435" spans="1:14" x14ac:dyDescent="0.2">
      <c r="A435" s="237" t="str">
        <f>name!E$5</f>
        <v>Professional occupations</v>
      </c>
      <c r="B435" s="302">
        <v>7.6674356630499735E-2</v>
      </c>
      <c r="C435" s="302">
        <v>0.37223657827465106</v>
      </c>
      <c r="D435" s="302">
        <f t="shared" ref="D435:D442" si="166">SUM(B435:C435)</f>
        <v>0.44891093490515077</v>
      </c>
      <c r="E435" s="303"/>
      <c r="F435" s="302">
        <v>0.11459636550775011</v>
      </c>
      <c r="G435" s="302">
        <v>0.56970674079033201</v>
      </c>
      <c r="H435" s="302">
        <f t="shared" ref="H435:H442" si="167">SUM(F435:G435)</f>
        <v>0.68430310629808211</v>
      </c>
      <c r="I435" s="303"/>
      <c r="J435" s="302">
        <v>0.17336407304249771</v>
      </c>
      <c r="K435" s="302">
        <v>0.71367931799492434</v>
      </c>
      <c r="L435" s="302">
        <f t="shared" ref="L435:L442" si="168">SUM(J435:K435)</f>
        <v>0.88704339103742202</v>
      </c>
      <c r="M435" s="236"/>
      <c r="N435" s="236"/>
    </row>
    <row r="436" spans="1:14" x14ac:dyDescent="0.2">
      <c r="A436" s="237" t="str">
        <f>name!E$6</f>
        <v>Associate professional occupations</v>
      </c>
      <c r="B436" s="302">
        <v>6.2054684869651086E-2</v>
      </c>
      <c r="C436" s="302">
        <v>0.20100805075917139</v>
      </c>
      <c r="D436" s="302">
        <f t="shared" si="166"/>
        <v>0.26306273562882249</v>
      </c>
      <c r="E436" s="303"/>
      <c r="F436" s="302">
        <v>8.1014858476834622E-2</v>
      </c>
      <c r="G436" s="302">
        <v>0.29690960371397096</v>
      </c>
      <c r="H436" s="302">
        <f t="shared" si="167"/>
        <v>0.37792446219080555</v>
      </c>
      <c r="I436" s="303"/>
      <c r="J436" s="302">
        <v>8.8319791626288738E-2</v>
      </c>
      <c r="K436" s="302">
        <v>0.28988836337505575</v>
      </c>
      <c r="L436" s="302">
        <f t="shared" si="168"/>
        <v>0.37820815500134447</v>
      </c>
      <c r="M436" s="236"/>
      <c r="N436" s="236"/>
    </row>
    <row r="437" spans="1:14" x14ac:dyDescent="0.2">
      <c r="A437" s="237" t="str">
        <f>name!E$7</f>
        <v>Administrative and secretarial occupations</v>
      </c>
      <c r="B437" s="302">
        <v>0.11701139497713504</v>
      </c>
      <c r="C437" s="302">
        <v>3.6864934636519291E-2</v>
      </c>
      <c r="D437" s="302">
        <f t="shared" si="166"/>
        <v>0.15387632961365433</v>
      </c>
      <c r="E437" s="303"/>
      <c r="F437" s="302">
        <v>0.12239739983445534</v>
      </c>
      <c r="G437" s="302">
        <v>5.1965773375124355E-2</v>
      </c>
      <c r="H437" s="302">
        <f t="shared" si="167"/>
        <v>0.1743631732095797</v>
      </c>
      <c r="I437" s="303"/>
      <c r="J437" s="302">
        <v>0.10088075622212288</v>
      </c>
      <c r="K437" s="302">
        <v>5.472032024465958E-2</v>
      </c>
      <c r="L437" s="302">
        <f t="shared" si="168"/>
        <v>0.15560107646678245</v>
      </c>
      <c r="M437" s="236"/>
      <c r="N437" s="236"/>
    </row>
    <row r="438" spans="1:14" x14ac:dyDescent="0.2">
      <c r="A438" s="237" t="str">
        <f>name!E$8</f>
        <v>Skilled trades occupations</v>
      </c>
      <c r="B438" s="302">
        <v>3.004656060191149E-3</v>
      </c>
      <c r="C438" s="302">
        <v>0.42302201138324502</v>
      </c>
      <c r="D438" s="302">
        <f t="shared" si="166"/>
        <v>0.42602666744343615</v>
      </c>
      <c r="E438" s="303"/>
      <c r="F438" s="302">
        <v>9.5795296616111494E-3</v>
      </c>
      <c r="G438" s="302">
        <v>0.42801062828545205</v>
      </c>
      <c r="H438" s="302">
        <f t="shared" si="167"/>
        <v>0.43759015794706319</v>
      </c>
      <c r="I438" s="303"/>
      <c r="J438" s="302">
        <v>1.4006173543348677E-2</v>
      </c>
      <c r="K438" s="302">
        <v>0.38506191699593623</v>
      </c>
      <c r="L438" s="302">
        <f t="shared" si="168"/>
        <v>0.39906809053928488</v>
      </c>
      <c r="M438" s="236"/>
      <c r="N438" s="236"/>
    </row>
    <row r="439" spans="1:14" x14ac:dyDescent="0.2">
      <c r="A439" s="237" t="str">
        <f>name!E$9</f>
        <v>Caring, leisure and other service occupations</v>
      </c>
      <c r="B439" s="302">
        <v>2.2563944050085698E-2</v>
      </c>
      <c r="C439" s="302">
        <v>4.1621178984329633E-3</v>
      </c>
      <c r="D439" s="302">
        <f t="shared" si="166"/>
        <v>2.6726061948518662E-2</v>
      </c>
      <c r="E439" s="303"/>
      <c r="F439" s="302">
        <v>2.77194920847312E-2</v>
      </c>
      <c r="G439" s="302">
        <v>5.5799733764706188E-3</v>
      </c>
      <c r="H439" s="302">
        <f t="shared" si="167"/>
        <v>3.329946546120182E-2</v>
      </c>
      <c r="I439" s="303"/>
      <c r="J439" s="302">
        <v>3.2945455407978302E-2</v>
      </c>
      <c r="K439" s="302">
        <v>6.7750256197809146E-3</v>
      </c>
      <c r="L439" s="302">
        <f t="shared" si="168"/>
        <v>3.9720481027759214E-2</v>
      </c>
      <c r="M439" s="236"/>
      <c r="N439" s="236"/>
    </row>
    <row r="440" spans="1:14" x14ac:dyDescent="0.2">
      <c r="A440" s="237" t="str">
        <f>name!E$10</f>
        <v>Sales and customer service occupations</v>
      </c>
      <c r="B440" s="302">
        <v>7.2658999905264324E-2</v>
      </c>
      <c r="C440" s="302">
        <v>4.1047333015829801E-2</v>
      </c>
      <c r="D440" s="302">
        <f t="shared" si="166"/>
        <v>0.11370633292109412</v>
      </c>
      <c r="E440" s="303"/>
      <c r="F440" s="302">
        <v>8.7135804171150355E-2</v>
      </c>
      <c r="G440" s="302">
        <v>5.4044332357011823E-2</v>
      </c>
      <c r="H440" s="302">
        <f t="shared" si="167"/>
        <v>0.14118013652816219</v>
      </c>
      <c r="I440" s="303"/>
      <c r="J440" s="302">
        <v>0.10459246351797932</v>
      </c>
      <c r="K440" s="302">
        <v>5.9603827328101391E-2</v>
      </c>
      <c r="L440" s="302">
        <f t="shared" si="168"/>
        <v>0.16419629084608073</v>
      </c>
      <c r="M440" s="236"/>
      <c r="N440" s="236"/>
    </row>
    <row r="441" spans="1:14" x14ac:dyDescent="0.2">
      <c r="A441" s="237" t="str">
        <f>name!E$11</f>
        <v>Process, plant and machine operatives</v>
      </c>
      <c r="B441" s="302">
        <v>1.5448180465086065E-3</v>
      </c>
      <c r="C441" s="302">
        <v>0.31288545287351405</v>
      </c>
      <c r="D441" s="302">
        <f t="shared" si="166"/>
        <v>0.31443027092002268</v>
      </c>
      <c r="E441" s="303"/>
      <c r="F441" s="302">
        <v>2.0457939198631841E-3</v>
      </c>
      <c r="G441" s="302">
        <v>0.31100893566146476</v>
      </c>
      <c r="H441" s="302">
        <f t="shared" si="167"/>
        <v>0.31305472958132796</v>
      </c>
      <c r="I441" s="303"/>
      <c r="J441" s="302">
        <v>2.5919594219153785E-3</v>
      </c>
      <c r="K441" s="302">
        <v>0.32820523481843511</v>
      </c>
      <c r="L441" s="302">
        <f t="shared" si="168"/>
        <v>0.33079719424035048</v>
      </c>
      <c r="M441" s="236"/>
      <c r="N441" s="236"/>
    </row>
    <row r="442" spans="1:14" x14ac:dyDescent="0.2">
      <c r="A442" s="237" t="str">
        <f>name!E$12</f>
        <v>Elementary occupations</v>
      </c>
      <c r="B442" s="302">
        <v>3.5792371436340037E-2</v>
      </c>
      <c r="C442" s="302">
        <v>4.0929464347039202E-2</v>
      </c>
      <c r="D442" s="302">
        <f t="shared" si="166"/>
        <v>7.6721835783379239E-2</v>
      </c>
      <c r="E442" s="303"/>
      <c r="F442" s="302">
        <v>3.8205669784074026E-2</v>
      </c>
      <c r="G442" s="302">
        <v>3.4158733324369382E-2</v>
      </c>
      <c r="H442" s="302">
        <f t="shared" si="167"/>
        <v>7.2364403108443415E-2</v>
      </c>
      <c r="I442" s="303"/>
      <c r="J442" s="302">
        <v>4.2691038770046166E-2</v>
      </c>
      <c r="K442" s="302">
        <v>2.2756561154864234E-2</v>
      </c>
      <c r="L442" s="302">
        <f t="shared" si="168"/>
        <v>6.5447599924910393E-2</v>
      </c>
      <c r="M442" s="236"/>
      <c r="N442" s="236"/>
    </row>
    <row r="443" spans="1:14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  <c r="N443" s="236"/>
    </row>
    <row r="444" spans="1:14" x14ac:dyDescent="0.2">
      <c r="A444" s="244" t="s">
        <v>32</v>
      </c>
      <c r="B444" s="311">
        <f>SUM(B434:B442)</f>
        <v>0.43499999999783368</v>
      </c>
      <c r="C444" s="311">
        <f t="shared" ref="C444:D444" si="169">SUM(C434:C442)</f>
        <v>1.6369999999967109</v>
      </c>
      <c r="D444" s="311">
        <f t="shared" si="169"/>
        <v>2.071999999994544</v>
      </c>
      <c r="E444" s="311"/>
      <c r="F444" s="311">
        <f t="shared" ref="F444:H444" si="170">SUM(F434:F442)</f>
        <v>0.5459999999985824</v>
      </c>
      <c r="G444" s="311">
        <f t="shared" si="170"/>
        <v>2.0399999999840204</v>
      </c>
      <c r="H444" s="311">
        <f t="shared" si="170"/>
        <v>2.5859999999826022</v>
      </c>
      <c r="I444" s="311"/>
      <c r="J444" s="311">
        <f t="shared" ref="J444:L444" si="171">SUM(J434:J442)</f>
        <v>0.63799999999772572</v>
      </c>
      <c r="K444" s="311">
        <f t="shared" si="171"/>
        <v>2.1679999999826212</v>
      </c>
      <c r="L444" s="311">
        <f t="shared" si="171"/>
        <v>2.8059999999803469</v>
      </c>
      <c r="M444" s="236"/>
      <c r="N444" s="236"/>
    </row>
    <row r="445" spans="1:14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  <c r="N445" s="236"/>
    </row>
    <row r="446" spans="1:14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56" t="s">
        <v>35</v>
      </c>
      <c r="M446" s="236"/>
      <c r="N446" s="236"/>
    </row>
    <row r="447" spans="1:14" x14ac:dyDescent="0.2">
      <c r="A447" s="242"/>
      <c r="B447" s="250"/>
      <c r="C447" s="250"/>
      <c r="D447" s="250"/>
      <c r="E447" s="250"/>
      <c r="F447" s="250"/>
      <c r="G447" s="250"/>
      <c r="H447" s="250"/>
      <c r="I447" s="250"/>
      <c r="J447" s="250"/>
      <c r="K447" s="250"/>
      <c r="L447" s="236"/>
      <c r="M447" s="236"/>
      <c r="N447" s="236"/>
    </row>
    <row r="448" spans="1:14" x14ac:dyDescent="0.2">
      <c r="A448" s="241" t="str">
        <f>name!A29</f>
        <v>Sewerage</v>
      </c>
      <c r="B448" s="372">
        <f>B$6</f>
        <v>2015</v>
      </c>
      <c r="C448" s="372"/>
      <c r="D448" s="372"/>
      <c r="E448" s="253"/>
      <c r="F448" s="372">
        <f>F431</f>
        <v>2020</v>
      </c>
      <c r="G448" s="372"/>
      <c r="H448" s="372"/>
      <c r="I448" s="253"/>
      <c r="J448" s="372">
        <f>J431</f>
        <v>2035</v>
      </c>
      <c r="K448" s="372"/>
      <c r="L448" s="372"/>
      <c r="M448" s="236"/>
      <c r="N448" s="236"/>
    </row>
    <row r="449" spans="1:14" x14ac:dyDescent="0.2">
      <c r="A449" s="254"/>
      <c r="B449" s="255" t="s">
        <v>352</v>
      </c>
      <c r="C449" s="255" t="s">
        <v>353</v>
      </c>
      <c r="D449" s="255" t="s">
        <v>32</v>
      </c>
      <c r="E449" s="255"/>
      <c r="F449" s="255" t="s">
        <v>352</v>
      </c>
      <c r="G449" s="255" t="s">
        <v>353</v>
      </c>
      <c r="H449" s="255" t="s">
        <v>32</v>
      </c>
      <c r="I449" s="255"/>
      <c r="J449" s="255" t="s">
        <v>352</v>
      </c>
      <c r="K449" s="255" t="s">
        <v>353</v>
      </c>
      <c r="L449" s="255" t="s">
        <v>32</v>
      </c>
      <c r="M449" s="236"/>
      <c r="N449" s="236"/>
    </row>
    <row r="450" spans="1:14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  <c r="N450" s="236"/>
    </row>
    <row r="451" spans="1:14" x14ac:dyDescent="0.2">
      <c r="A451" s="237" t="str">
        <f>name!E$4</f>
        <v>Managers, directors and senior officials</v>
      </c>
      <c r="B451" s="302">
        <v>5.0030608975531734E-3</v>
      </c>
      <c r="C451" s="302">
        <v>0.10807046629808795</v>
      </c>
      <c r="D451" s="302">
        <f>SUM(B451:C451)</f>
        <v>0.11307352719564112</v>
      </c>
      <c r="E451" s="303"/>
      <c r="F451" s="302">
        <v>1.2445013299215936E-2</v>
      </c>
      <c r="G451" s="302">
        <v>0.11737228358022458</v>
      </c>
      <c r="H451" s="302">
        <f>SUM(F451:G451)</f>
        <v>0.12981729687944052</v>
      </c>
      <c r="I451" s="303"/>
      <c r="J451" s="302">
        <v>1.4719576644407614E-2</v>
      </c>
      <c r="K451" s="302">
        <v>0.12303061575300095</v>
      </c>
      <c r="L451" s="302">
        <f>SUM(J451:K451)</f>
        <v>0.13775019239740857</v>
      </c>
      <c r="M451" s="236"/>
      <c r="N451" s="236"/>
    </row>
    <row r="452" spans="1:14" x14ac:dyDescent="0.2">
      <c r="A452" s="237" t="str">
        <f>name!E$5</f>
        <v>Professional occupations</v>
      </c>
      <c r="B452" s="302">
        <v>7.9044386340450454E-3</v>
      </c>
      <c r="C452" s="302">
        <v>9.1493818084100745E-2</v>
      </c>
      <c r="D452" s="302">
        <f t="shared" ref="D452:D459" si="172">SUM(B452:C452)</f>
        <v>9.9398256718145783E-2</v>
      </c>
      <c r="E452" s="303"/>
      <c r="F452" s="302">
        <v>1.9974891067997973E-2</v>
      </c>
      <c r="G452" s="302">
        <v>0.10777642929337347</v>
      </c>
      <c r="H452" s="302">
        <f t="shared" ref="H452:H459" si="173">SUM(F452:G452)</f>
        <v>0.12775132036137143</v>
      </c>
      <c r="I452" s="303"/>
      <c r="J452" s="302">
        <v>2.4967326725945413E-2</v>
      </c>
      <c r="K452" s="302">
        <v>0.12293992394753735</v>
      </c>
      <c r="L452" s="302">
        <f t="shared" ref="L452:L459" si="174">SUM(J452:K452)</f>
        <v>0.14790725067348276</v>
      </c>
      <c r="M452" s="236"/>
      <c r="N452" s="236"/>
    </row>
    <row r="453" spans="1:14" x14ac:dyDescent="0.2">
      <c r="A453" s="237" t="str">
        <f>name!E$6</f>
        <v>Associate professional occupations</v>
      </c>
      <c r="B453" s="302">
        <v>2.0064594913698827E-2</v>
      </c>
      <c r="C453" s="302">
        <v>7.8941404257091258E-2</v>
      </c>
      <c r="D453" s="302">
        <f t="shared" si="172"/>
        <v>9.9005999170790088E-2</v>
      </c>
      <c r="E453" s="303"/>
      <c r="F453" s="302">
        <v>4.427125130776452E-2</v>
      </c>
      <c r="G453" s="302">
        <v>8.4723247788043188E-2</v>
      </c>
      <c r="H453" s="302">
        <f t="shared" si="173"/>
        <v>0.12899449909580771</v>
      </c>
      <c r="I453" s="303"/>
      <c r="J453" s="302">
        <v>6.9784484475154909E-2</v>
      </c>
      <c r="K453" s="302">
        <v>8.0039872620066135E-2</v>
      </c>
      <c r="L453" s="302">
        <f t="shared" si="174"/>
        <v>0.14982435709522104</v>
      </c>
      <c r="M453" s="236"/>
      <c r="N453" s="236"/>
    </row>
    <row r="454" spans="1:14" x14ac:dyDescent="0.2">
      <c r="A454" s="237" t="str">
        <f>name!E$7</f>
        <v>Administrative and secretarial occupations</v>
      </c>
      <c r="B454" s="302">
        <v>2.6964436793037009E-2</v>
      </c>
      <c r="C454" s="302">
        <v>1.263688974872999E-2</v>
      </c>
      <c r="D454" s="302">
        <f t="shared" si="172"/>
        <v>3.9601326541766999E-2</v>
      </c>
      <c r="E454" s="303"/>
      <c r="F454" s="302">
        <v>4.2243624145994051E-2</v>
      </c>
      <c r="G454" s="302">
        <v>1.3723609186085081E-2</v>
      </c>
      <c r="H454" s="302">
        <f t="shared" si="173"/>
        <v>5.5967233332079133E-2</v>
      </c>
      <c r="I454" s="303"/>
      <c r="J454" s="302">
        <v>3.099153183911333E-2</v>
      </c>
      <c r="K454" s="302">
        <v>1.0553169239433046E-2</v>
      </c>
      <c r="L454" s="302">
        <f t="shared" si="174"/>
        <v>4.1544701078546374E-2</v>
      </c>
      <c r="M454" s="236"/>
      <c r="N454" s="236"/>
    </row>
    <row r="455" spans="1:14" x14ac:dyDescent="0.2">
      <c r="A455" s="237" t="str">
        <f>name!E$8</f>
        <v>Skilled trades occupations</v>
      </c>
      <c r="B455" s="302">
        <v>9.4046043497112341E-4</v>
      </c>
      <c r="C455" s="302">
        <v>9.8780596746206858E-2</v>
      </c>
      <c r="D455" s="302">
        <f t="shared" si="172"/>
        <v>9.9721057181177977E-2</v>
      </c>
      <c r="E455" s="303"/>
      <c r="F455" s="302">
        <v>3.9048796217150475E-3</v>
      </c>
      <c r="G455" s="302">
        <v>5.2749869904375385E-2</v>
      </c>
      <c r="H455" s="302">
        <f t="shared" si="173"/>
        <v>5.6654749526090432E-2</v>
      </c>
      <c r="I455" s="303"/>
      <c r="J455" s="302">
        <v>6.8369363834238916E-3</v>
      </c>
      <c r="K455" s="302">
        <v>4.2407225651889396E-2</v>
      </c>
      <c r="L455" s="302">
        <f t="shared" si="174"/>
        <v>4.9244162035313288E-2</v>
      </c>
      <c r="M455" s="236"/>
      <c r="N455" s="236"/>
    </row>
    <row r="456" spans="1:14" x14ac:dyDescent="0.2">
      <c r="A456" s="237" t="str">
        <f>name!E$9</f>
        <v>Caring, leisure and other service occupations</v>
      </c>
      <c r="B456" s="302">
        <v>6.3504619122435003E-3</v>
      </c>
      <c r="C456" s="302">
        <v>1.6003581468223543E-2</v>
      </c>
      <c r="D456" s="302">
        <f t="shared" si="172"/>
        <v>2.2354043380467044E-2</v>
      </c>
      <c r="E456" s="303"/>
      <c r="F456" s="302">
        <v>1.2861574392545125E-2</v>
      </c>
      <c r="G456" s="302">
        <v>1.8617778092753653E-2</v>
      </c>
      <c r="H456" s="302">
        <f t="shared" si="173"/>
        <v>3.1479352485298775E-2</v>
      </c>
      <c r="I456" s="303"/>
      <c r="J456" s="302">
        <v>1.6367272704004867E-2</v>
      </c>
      <c r="K456" s="302">
        <v>2.2189321681458773E-2</v>
      </c>
      <c r="L456" s="302">
        <f t="shared" si="174"/>
        <v>3.855659438546364E-2</v>
      </c>
      <c r="M456" s="236"/>
      <c r="N456" s="236"/>
    </row>
    <row r="457" spans="1:14" x14ac:dyDescent="0.2">
      <c r="A457" s="237" t="str">
        <f>name!E$10</f>
        <v>Sales and customer service occupations</v>
      </c>
      <c r="B457" s="302">
        <v>3.9819483628362974E-3</v>
      </c>
      <c r="C457" s="302">
        <v>1.7217348220578164E-2</v>
      </c>
      <c r="D457" s="302">
        <f t="shared" si="172"/>
        <v>2.1199296583414462E-2</v>
      </c>
      <c r="E457" s="303"/>
      <c r="F457" s="302">
        <v>6.9966345292734582E-3</v>
      </c>
      <c r="G457" s="302">
        <v>1.5884595544931674E-2</v>
      </c>
      <c r="H457" s="302">
        <f t="shared" si="173"/>
        <v>2.2881230074205131E-2</v>
      </c>
      <c r="I457" s="303"/>
      <c r="J457" s="302">
        <v>7.8054669627904971E-3</v>
      </c>
      <c r="K457" s="302">
        <v>1.8240263499920667E-2</v>
      </c>
      <c r="L457" s="302">
        <f t="shared" si="174"/>
        <v>2.6045730462711164E-2</v>
      </c>
      <c r="M457" s="236"/>
      <c r="N457" s="236"/>
    </row>
    <row r="458" spans="1:14" x14ac:dyDescent="0.2">
      <c r="A458" s="237" t="str">
        <f>name!E$11</f>
        <v>Process, plant and machine operatives</v>
      </c>
      <c r="B458" s="302">
        <v>1.5116984830118598E-3</v>
      </c>
      <c r="C458" s="302">
        <v>0.33385262044693931</v>
      </c>
      <c r="D458" s="302">
        <f t="shared" si="172"/>
        <v>0.33536431892995117</v>
      </c>
      <c r="E458" s="303"/>
      <c r="F458" s="302">
        <v>2.5340614578647138E-3</v>
      </c>
      <c r="G458" s="302">
        <v>0.30960284451703046</v>
      </c>
      <c r="H458" s="302">
        <f t="shared" si="173"/>
        <v>0.31213690597489518</v>
      </c>
      <c r="I458" s="303"/>
      <c r="J458" s="302">
        <v>3.2020015007221589E-3</v>
      </c>
      <c r="K458" s="302">
        <v>0.35948158523290907</v>
      </c>
      <c r="L458" s="302">
        <f t="shared" si="174"/>
        <v>0.36268358673363121</v>
      </c>
      <c r="M458" s="236"/>
      <c r="N458" s="236"/>
    </row>
    <row r="459" spans="1:14" x14ac:dyDescent="0.2">
      <c r="A459" s="237" t="str">
        <f>name!E$12</f>
        <v>Elementary occupations</v>
      </c>
      <c r="B459" s="302">
        <v>1.3278899568129634E-2</v>
      </c>
      <c r="C459" s="302">
        <v>0.25800327471968248</v>
      </c>
      <c r="D459" s="302">
        <f t="shared" si="172"/>
        <v>0.27128217428781209</v>
      </c>
      <c r="E459" s="303"/>
      <c r="F459" s="302">
        <v>1.7768070176634353E-2</v>
      </c>
      <c r="G459" s="302">
        <v>0.26054934209941033</v>
      </c>
      <c r="H459" s="302">
        <f t="shared" si="173"/>
        <v>0.27831741227604467</v>
      </c>
      <c r="I459" s="303"/>
      <c r="J459" s="302">
        <v>1.6325402764673334E-2</v>
      </c>
      <c r="K459" s="302">
        <v>0.26311802238359144</v>
      </c>
      <c r="L459" s="302">
        <f t="shared" si="174"/>
        <v>0.27944342514826476</v>
      </c>
      <c r="M459" s="236"/>
      <c r="N459" s="236"/>
    </row>
    <row r="460" spans="1:14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  <c r="N460" s="236"/>
    </row>
    <row r="461" spans="1:14" x14ac:dyDescent="0.2">
      <c r="A461" s="244" t="s">
        <v>32</v>
      </c>
      <c r="B461" s="311">
        <f>SUM(B451:B459)</f>
        <v>8.5999999999526469E-2</v>
      </c>
      <c r="C461" s="311">
        <f t="shared" ref="C461:D461" si="175">SUM(C451:C459)</f>
        <v>1.0149999999896404</v>
      </c>
      <c r="D461" s="311">
        <f t="shared" si="175"/>
        <v>1.1009999999891669</v>
      </c>
      <c r="E461" s="311"/>
      <c r="F461" s="311">
        <f t="shared" ref="F461:H461" si="176">SUM(F451:F459)</f>
        <v>0.16299999999900516</v>
      </c>
      <c r="G461" s="311">
        <f t="shared" si="176"/>
        <v>0.98100000000622778</v>
      </c>
      <c r="H461" s="311">
        <f t="shared" si="176"/>
        <v>1.1440000000052331</v>
      </c>
      <c r="I461" s="311"/>
      <c r="J461" s="311">
        <f t="shared" ref="J461:L461" si="177">SUM(J451:J459)</f>
        <v>0.19100000000023604</v>
      </c>
      <c r="K461" s="311">
        <f t="shared" si="177"/>
        <v>1.0420000000098069</v>
      </c>
      <c r="L461" s="311">
        <f t="shared" si="177"/>
        <v>1.233000000010043</v>
      </c>
      <c r="M461" s="236"/>
      <c r="N461" s="236"/>
    </row>
    <row r="462" spans="1:14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  <c r="N462" s="236"/>
    </row>
    <row r="463" spans="1:14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56" t="s">
        <v>35</v>
      </c>
      <c r="M463" s="236"/>
      <c r="N463" s="236"/>
    </row>
    <row r="464" spans="1:14" x14ac:dyDescent="0.2">
      <c r="A464" s="242"/>
      <c r="B464" s="250"/>
      <c r="C464" s="250"/>
      <c r="D464" s="250"/>
      <c r="E464" s="250"/>
      <c r="F464" s="250"/>
      <c r="G464" s="250"/>
      <c r="H464" s="250"/>
      <c r="I464" s="250"/>
      <c r="J464" s="250"/>
      <c r="K464" s="250"/>
      <c r="L464" s="236"/>
      <c r="M464" s="236"/>
      <c r="N464" s="236"/>
    </row>
    <row r="465" spans="1:14" x14ac:dyDescent="0.2">
      <c r="A465" s="241" t="str">
        <f>name!A30</f>
        <v>Waste management</v>
      </c>
      <c r="B465" s="372">
        <f>B$6</f>
        <v>2015</v>
      </c>
      <c r="C465" s="372"/>
      <c r="D465" s="372"/>
      <c r="E465" s="253"/>
      <c r="F465" s="372">
        <f>F448</f>
        <v>2020</v>
      </c>
      <c r="G465" s="372"/>
      <c r="H465" s="372"/>
      <c r="I465" s="253"/>
      <c r="J465" s="372">
        <f>J448</f>
        <v>2035</v>
      </c>
      <c r="K465" s="372"/>
      <c r="L465" s="372"/>
      <c r="M465" s="236"/>
      <c r="N465" s="236"/>
    </row>
    <row r="466" spans="1:14" x14ac:dyDescent="0.2">
      <c r="A466" s="254"/>
      <c r="B466" s="255" t="s">
        <v>352</v>
      </c>
      <c r="C466" s="255" t="s">
        <v>353</v>
      </c>
      <c r="D466" s="255" t="s">
        <v>32</v>
      </c>
      <c r="E466" s="255"/>
      <c r="F466" s="255" t="s">
        <v>352</v>
      </c>
      <c r="G466" s="255" t="s">
        <v>353</v>
      </c>
      <c r="H466" s="255" t="s">
        <v>32</v>
      </c>
      <c r="I466" s="255"/>
      <c r="J466" s="255" t="s">
        <v>352</v>
      </c>
      <c r="K466" s="255" t="s">
        <v>353</v>
      </c>
      <c r="L466" s="255" t="s">
        <v>32</v>
      </c>
      <c r="M466" s="236"/>
      <c r="N466" s="236"/>
    </row>
    <row r="467" spans="1:14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  <c r="N467" s="236"/>
    </row>
    <row r="468" spans="1:14" x14ac:dyDescent="0.2">
      <c r="A468" s="237" t="str">
        <f>name!E$4</f>
        <v>Managers, directors and senior officials</v>
      </c>
      <c r="B468" s="302">
        <v>0.17963599799454549</v>
      </c>
      <c r="C468" s="302">
        <v>0.91782948718023905</v>
      </c>
      <c r="D468" s="302">
        <f>SUM(B468:C468)</f>
        <v>1.0974654851747845</v>
      </c>
      <c r="E468" s="303"/>
      <c r="F468" s="302">
        <v>0.21937082827679058</v>
      </c>
      <c r="G468" s="302">
        <v>0.96593022726272737</v>
      </c>
      <c r="H468" s="302">
        <f>SUM(F468:G468)</f>
        <v>1.185301055539518</v>
      </c>
      <c r="I468" s="303"/>
      <c r="J468" s="302">
        <v>0.25203245882523773</v>
      </c>
      <c r="K468" s="302">
        <v>1.042291180917791</v>
      </c>
      <c r="L468" s="302">
        <f>SUM(J468:K468)</f>
        <v>1.2943236397430287</v>
      </c>
      <c r="M468" s="236"/>
      <c r="N468" s="236"/>
    </row>
    <row r="469" spans="1:14" x14ac:dyDescent="0.2">
      <c r="A469" s="237" t="str">
        <f>name!E$5</f>
        <v>Professional occupations</v>
      </c>
      <c r="B469" s="302">
        <v>0.24215265535520117</v>
      </c>
      <c r="C469" s="302">
        <v>0.52995570322372842</v>
      </c>
      <c r="D469" s="302">
        <f t="shared" ref="D469:D476" si="178">SUM(B469:C469)</f>
        <v>0.77210835857892957</v>
      </c>
      <c r="E469" s="303"/>
      <c r="F469" s="302">
        <v>0.33424648349179703</v>
      </c>
      <c r="G469" s="302">
        <v>0.66431049218020033</v>
      </c>
      <c r="H469" s="302">
        <f t="shared" ref="H469:H476" si="179">SUM(F469:G469)</f>
        <v>0.99855697567199742</v>
      </c>
      <c r="I469" s="303"/>
      <c r="J469" s="302">
        <v>0.43435530456964772</v>
      </c>
      <c r="K469" s="302">
        <v>0.70900465428721693</v>
      </c>
      <c r="L469" s="302">
        <f t="shared" ref="L469:L476" si="180">SUM(J469:K469)</f>
        <v>1.1433599588568646</v>
      </c>
      <c r="M469" s="236"/>
      <c r="N469" s="236"/>
    </row>
    <row r="470" spans="1:14" x14ac:dyDescent="0.2">
      <c r="A470" s="237" t="str">
        <f>name!E$6</f>
        <v>Associate professional occupations</v>
      </c>
      <c r="B470" s="302">
        <v>0.47353196516635537</v>
      </c>
      <c r="C470" s="302">
        <v>0.47711837100282128</v>
      </c>
      <c r="D470" s="302">
        <f t="shared" si="178"/>
        <v>0.95065033616917671</v>
      </c>
      <c r="E470" s="303"/>
      <c r="F470" s="302">
        <v>0.66526314668069719</v>
      </c>
      <c r="G470" s="302">
        <v>0.53711444655875262</v>
      </c>
      <c r="H470" s="302">
        <f t="shared" si="179"/>
        <v>1.2023775932394498</v>
      </c>
      <c r="I470" s="303"/>
      <c r="J470" s="302">
        <v>1.1384014292270537</v>
      </c>
      <c r="K470" s="302">
        <v>0.47980329226946722</v>
      </c>
      <c r="L470" s="302">
        <f t="shared" si="180"/>
        <v>1.6182047214965209</v>
      </c>
      <c r="M470" s="236"/>
      <c r="N470" s="236"/>
    </row>
    <row r="471" spans="1:14" x14ac:dyDescent="0.2">
      <c r="A471" s="237" t="str">
        <f>name!E$7</f>
        <v>Administrative and secretarial occupations</v>
      </c>
      <c r="B471" s="302">
        <v>0.67021052360249556</v>
      </c>
      <c r="C471" s="302">
        <v>0.25429122253284953</v>
      </c>
      <c r="D471" s="302">
        <f t="shared" si="178"/>
        <v>0.92450174613534508</v>
      </c>
      <c r="E471" s="303"/>
      <c r="F471" s="302">
        <v>0.63062199417429454</v>
      </c>
      <c r="G471" s="302">
        <v>0.29836127789844052</v>
      </c>
      <c r="H471" s="302">
        <f t="shared" si="179"/>
        <v>0.92898327207273512</v>
      </c>
      <c r="I471" s="303"/>
      <c r="J471" s="302">
        <v>0.45889210480787446</v>
      </c>
      <c r="K471" s="302">
        <v>0.48096362798771053</v>
      </c>
      <c r="L471" s="302">
        <f t="shared" si="180"/>
        <v>0.93985573279558499</v>
      </c>
      <c r="M471" s="236"/>
      <c r="N471" s="236"/>
    </row>
    <row r="472" spans="1:14" x14ac:dyDescent="0.2">
      <c r="A472" s="237" t="str">
        <f>name!E$8</f>
        <v>Skilled trades occupations</v>
      </c>
      <c r="B472" s="302">
        <v>4.2217891918486808E-2</v>
      </c>
      <c r="C472" s="302">
        <v>0.83807207210744206</v>
      </c>
      <c r="D472" s="302">
        <f t="shared" si="178"/>
        <v>0.88028996402592885</v>
      </c>
      <c r="E472" s="303"/>
      <c r="F472" s="302">
        <v>5.8758834126922579E-2</v>
      </c>
      <c r="G472" s="302">
        <v>0.57461724709385731</v>
      </c>
      <c r="H472" s="302">
        <f t="shared" si="179"/>
        <v>0.63337608122077993</v>
      </c>
      <c r="I472" s="303"/>
      <c r="J472" s="302">
        <v>9.7212092882202172E-2</v>
      </c>
      <c r="K472" s="302">
        <v>0.47783877207615905</v>
      </c>
      <c r="L472" s="302">
        <f t="shared" si="180"/>
        <v>0.57505086495836122</v>
      </c>
      <c r="M472" s="236"/>
      <c r="N472" s="236"/>
    </row>
    <row r="473" spans="1:14" x14ac:dyDescent="0.2">
      <c r="A473" s="237" t="str">
        <f>name!E$9</f>
        <v>Caring, leisure and other service occupations</v>
      </c>
      <c r="B473" s="302">
        <v>0.21595120496200387</v>
      </c>
      <c r="C473" s="302">
        <v>9.2491867316729551E-2</v>
      </c>
      <c r="D473" s="302">
        <f t="shared" si="178"/>
        <v>0.30844307227873341</v>
      </c>
      <c r="E473" s="303"/>
      <c r="F473" s="302">
        <v>0.21940455360591235</v>
      </c>
      <c r="G473" s="302">
        <v>0.10305724200548448</v>
      </c>
      <c r="H473" s="302">
        <f t="shared" si="179"/>
        <v>0.32246179561139682</v>
      </c>
      <c r="I473" s="303"/>
      <c r="J473" s="302">
        <v>0.30367020266197037</v>
      </c>
      <c r="K473" s="302">
        <v>0.10657537509271255</v>
      </c>
      <c r="L473" s="302">
        <f t="shared" si="180"/>
        <v>0.4102455777546829</v>
      </c>
      <c r="M473" s="236"/>
      <c r="N473" s="236"/>
    </row>
    <row r="474" spans="1:14" x14ac:dyDescent="0.2">
      <c r="A474" s="237" t="str">
        <f>name!E$10</f>
        <v>Sales and customer service occupations</v>
      </c>
      <c r="B474" s="302">
        <v>0.13033177818946692</v>
      </c>
      <c r="C474" s="302">
        <v>0.21354434071137646</v>
      </c>
      <c r="D474" s="302">
        <f t="shared" si="178"/>
        <v>0.34387611890084335</v>
      </c>
      <c r="E474" s="303"/>
      <c r="F474" s="302">
        <v>0.1198967932696865</v>
      </c>
      <c r="G474" s="302">
        <v>0.20105102754602291</v>
      </c>
      <c r="H474" s="302">
        <f t="shared" si="179"/>
        <v>0.32094782081570938</v>
      </c>
      <c r="I474" s="303"/>
      <c r="J474" s="302">
        <v>0.125054465215304</v>
      </c>
      <c r="K474" s="302">
        <v>0.27436587030163367</v>
      </c>
      <c r="L474" s="302">
        <f t="shared" si="180"/>
        <v>0.39942033551693767</v>
      </c>
      <c r="M474" s="236"/>
      <c r="N474" s="236"/>
    </row>
    <row r="475" spans="1:14" x14ac:dyDescent="0.2">
      <c r="A475" s="237" t="str">
        <f>name!E$11</f>
        <v>Process, plant and machine operatives</v>
      </c>
      <c r="B475" s="302">
        <v>0.16280351995718495</v>
      </c>
      <c r="C475" s="302">
        <v>3.0348193120909426</v>
      </c>
      <c r="D475" s="302">
        <f t="shared" si="178"/>
        <v>3.1976228320481277</v>
      </c>
      <c r="E475" s="303"/>
      <c r="F475" s="302">
        <v>0.11526642103602724</v>
      </c>
      <c r="G475" s="302">
        <v>2.8130052923538047</v>
      </c>
      <c r="H475" s="302">
        <f t="shared" si="179"/>
        <v>2.9282717133898322</v>
      </c>
      <c r="I475" s="303"/>
      <c r="J475" s="302">
        <v>0.13477711672491985</v>
      </c>
      <c r="K475" s="302">
        <v>3.2446345636217213</v>
      </c>
      <c r="L475" s="302">
        <f t="shared" si="180"/>
        <v>3.379411680346641</v>
      </c>
      <c r="M475" s="236"/>
      <c r="N475" s="236"/>
    </row>
    <row r="476" spans="1:14" x14ac:dyDescent="0.2">
      <c r="A476" s="237" t="str">
        <f>name!E$12</f>
        <v>Elementary occupations</v>
      </c>
      <c r="B476" s="302">
        <v>0.30016446283674125</v>
      </c>
      <c r="C476" s="302">
        <v>1.7718776237439227</v>
      </c>
      <c r="D476" s="302">
        <f t="shared" si="178"/>
        <v>2.0720420865806641</v>
      </c>
      <c r="E476" s="303"/>
      <c r="F476" s="302">
        <v>0.23017094531871585</v>
      </c>
      <c r="G476" s="302">
        <v>1.6655527471460401</v>
      </c>
      <c r="H476" s="302">
        <f t="shared" si="179"/>
        <v>1.895723692464756</v>
      </c>
      <c r="I476" s="303"/>
      <c r="J476" s="302">
        <v>0.15260482509055065</v>
      </c>
      <c r="K476" s="302">
        <v>1.4945226635102469</v>
      </c>
      <c r="L476" s="302">
        <f t="shared" si="180"/>
        <v>1.6471274886007976</v>
      </c>
      <c r="M476" s="236"/>
      <c r="N476" s="236"/>
    </row>
    <row r="477" spans="1:14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  <c r="N477" s="236"/>
    </row>
    <row r="478" spans="1:14" x14ac:dyDescent="0.2">
      <c r="A478" s="244" t="s">
        <v>32</v>
      </c>
      <c r="B478" s="311">
        <f>SUM(B468:B476)</f>
        <v>2.4169999999824814</v>
      </c>
      <c r="C478" s="311">
        <f t="shared" ref="C478:D478" si="181">SUM(C468:C476)</f>
        <v>8.1299999999100514</v>
      </c>
      <c r="D478" s="311">
        <f t="shared" si="181"/>
        <v>10.546999999892533</v>
      </c>
      <c r="E478" s="311"/>
      <c r="F478" s="311">
        <f t="shared" ref="F478:H478" si="182">SUM(F468:F476)</f>
        <v>2.5929999999808437</v>
      </c>
      <c r="G478" s="311">
        <f t="shared" si="182"/>
        <v>7.8230000000453304</v>
      </c>
      <c r="H478" s="311">
        <f t="shared" si="182"/>
        <v>10.416000000026173</v>
      </c>
      <c r="I478" s="311"/>
      <c r="J478" s="311">
        <f t="shared" ref="J478:L478" si="183">SUM(J468:J476)</f>
        <v>3.0970000000047606</v>
      </c>
      <c r="K478" s="311">
        <f t="shared" si="183"/>
        <v>8.3100000000646599</v>
      </c>
      <c r="L478" s="311">
        <f t="shared" si="183"/>
        <v>11.40700000006942</v>
      </c>
      <c r="M478" s="236"/>
      <c r="N478" s="236"/>
    </row>
    <row r="479" spans="1:14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  <c r="N479" s="236"/>
    </row>
    <row r="480" spans="1:14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56" t="s">
        <v>35</v>
      </c>
      <c r="M480" s="236"/>
      <c r="N480" s="236"/>
    </row>
    <row r="481" spans="1:14" x14ac:dyDescent="0.2">
      <c r="A481" s="242"/>
      <c r="B481" s="250"/>
      <c r="C481" s="250"/>
      <c r="D481" s="250"/>
      <c r="E481" s="250"/>
      <c r="F481" s="250"/>
      <c r="G481" s="250"/>
      <c r="H481" s="250"/>
      <c r="I481" s="250"/>
      <c r="J481" s="250"/>
      <c r="K481" s="250"/>
      <c r="L481" s="236"/>
      <c r="M481" s="236"/>
      <c r="N481" s="236"/>
    </row>
    <row r="482" spans="1:14" x14ac:dyDescent="0.2">
      <c r="A482" s="241" t="str">
        <f>name!A31</f>
        <v>Construction</v>
      </c>
      <c r="B482" s="372">
        <f>B$6</f>
        <v>2015</v>
      </c>
      <c r="C482" s="372"/>
      <c r="D482" s="372"/>
      <c r="E482" s="253"/>
      <c r="F482" s="372">
        <f>F465</f>
        <v>2020</v>
      </c>
      <c r="G482" s="372"/>
      <c r="H482" s="372"/>
      <c r="I482" s="253"/>
      <c r="J482" s="372">
        <f>J465</f>
        <v>2035</v>
      </c>
      <c r="K482" s="372"/>
      <c r="L482" s="372"/>
      <c r="M482" s="236"/>
      <c r="N482" s="236"/>
    </row>
    <row r="483" spans="1:14" x14ac:dyDescent="0.2">
      <c r="A483" s="254"/>
      <c r="B483" s="255" t="s">
        <v>352</v>
      </c>
      <c r="C483" s="255" t="s">
        <v>353</v>
      </c>
      <c r="D483" s="255" t="s">
        <v>32</v>
      </c>
      <c r="E483" s="255"/>
      <c r="F483" s="255" t="s">
        <v>352</v>
      </c>
      <c r="G483" s="255" t="s">
        <v>353</v>
      </c>
      <c r="H483" s="255" t="s">
        <v>32</v>
      </c>
      <c r="I483" s="255"/>
      <c r="J483" s="255" t="s">
        <v>352</v>
      </c>
      <c r="K483" s="255" t="s">
        <v>353</v>
      </c>
      <c r="L483" s="255" t="s">
        <v>32</v>
      </c>
      <c r="M483" s="236"/>
      <c r="N483" s="236"/>
    </row>
    <row r="484" spans="1:14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  <c r="N484" s="236"/>
    </row>
    <row r="485" spans="1:14" x14ac:dyDescent="0.2">
      <c r="A485" s="237" t="str">
        <f>name!E$4</f>
        <v>Managers, directors and senior officials</v>
      </c>
      <c r="B485" s="302">
        <v>0.80927308918579011</v>
      </c>
      <c r="C485" s="302">
        <v>2.2741215560949795</v>
      </c>
      <c r="D485" s="302">
        <f>SUM(B485:C485)</f>
        <v>3.0833946452807695</v>
      </c>
      <c r="E485" s="303"/>
      <c r="F485" s="302">
        <v>1.3753786783132571</v>
      </c>
      <c r="G485" s="302">
        <v>3.2103418667980002</v>
      </c>
      <c r="H485" s="302">
        <f>SUM(F485:G485)</f>
        <v>4.5857205451112577</v>
      </c>
      <c r="I485" s="303"/>
      <c r="J485" s="302">
        <v>1.7596044877923709</v>
      </c>
      <c r="K485" s="302">
        <v>3.383860692327946</v>
      </c>
      <c r="L485" s="302">
        <f>SUM(J485:K485)</f>
        <v>5.1434651801203168</v>
      </c>
      <c r="M485" s="236"/>
      <c r="N485" s="236"/>
    </row>
    <row r="486" spans="1:14" x14ac:dyDescent="0.2">
      <c r="A486" s="237" t="str">
        <f>name!E$5</f>
        <v>Professional occupations</v>
      </c>
      <c r="B486" s="302">
        <v>0.91608638253087515</v>
      </c>
      <c r="C486" s="302">
        <v>3.6992796005027717</v>
      </c>
      <c r="D486" s="302">
        <f t="shared" ref="D486:D493" si="184">SUM(B486:C486)</f>
        <v>4.6153659830336471</v>
      </c>
      <c r="E486" s="303"/>
      <c r="F486" s="302">
        <v>1.3404808303912665</v>
      </c>
      <c r="G486" s="302">
        <v>5.2478081723499059</v>
      </c>
      <c r="H486" s="302">
        <f t="shared" ref="H486:H493" si="185">SUM(F486:G486)</f>
        <v>6.5882890027411722</v>
      </c>
      <c r="I486" s="303"/>
      <c r="J486" s="302">
        <v>1.8234982008762537</v>
      </c>
      <c r="K486" s="302">
        <v>6.3543579259436553</v>
      </c>
      <c r="L486" s="302">
        <f t="shared" ref="L486:L493" si="186">SUM(J486:K486)</f>
        <v>8.1778561268199095</v>
      </c>
      <c r="M486" s="236"/>
      <c r="N486" s="236"/>
    </row>
    <row r="487" spans="1:14" x14ac:dyDescent="0.2">
      <c r="A487" s="237" t="str">
        <f>name!E$6</f>
        <v>Associate professional occupations</v>
      </c>
      <c r="B487" s="302">
        <v>0.8474661538177779</v>
      </c>
      <c r="C487" s="302">
        <v>1.5532496307830614</v>
      </c>
      <c r="D487" s="302">
        <f t="shared" si="184"/>
        <v>2.4007157846008393</v>
      </c>
      <c r="E487" s="303"/>
      <c r="F487" s="302">
        <v>1.1359247067477189</v>
      </c>
      <c r="G487" s="302">
        <v>2.1559644937837539</v>
      </c>
      <c r="H487" s="302">
        <f t="shared" si="185"/>
        <v>3.2918892005314726</v>
      </c>
      <c r="I487" s="303"/>
      <c r="J487" s="302">
        <v>1.3936077625089993</v>
      </c>
      <c r="K487" s="302">
        <v>2.0884012750939647</v>
      </c>
      <c r="L487" s="302">
        <f t="shared" si="186"/>
        <v>3.482009037602964</v>
      </c>
      <c r="M487" s="236"/>
      <c r="N487" s="236"/>
    </row>
    <row r="488" spans="1:14" x14ac:dyDescent="0.2">
      <c r="A488" s="237" t="str">
        <f>name!E$7</f>
        <v>Administrative and secretarial occupations</v>
      </c>
      <c r="B488" s="302">
        <v>2.9602699029398041</v>
      </c>
      <c r="C488" s="302">
        <v>0.81121650076321894</v>
      </c>
      <c r="D488" s="302">
        <f t="shared" si="184"/>
        <v>3.7714864037030229</v>
      </c>
      <c r="E488" s="303"/>
      <c r="F488" s="302">
        <v>3.4483245323330536</v>
      </c>
      <c r="G488" s="302">
        <v>1.0760510847185683</v>
      </c>
      <c r="H488" s="302">
        <f t="shared" si="185"/>
        <v>4.5243756170516214</v>
      </c>
      <c r="I488" s="303"/>
      <c r="J488" s="302">
        <v>2.9810772789476578</v>
      </c>
      <c r="K488" s="302">
        <v>1.2631245721439064</v>
      </c>
      <c r="L488" s="302">
        <f t="shared" si="186"/>
        <v>4.2442018510915638</v>
      </c>
      <c r="M488" s="236"/>
      <c r="N488" s="236"/>
    </row>
    <row r="489" spans="1:14" x14ac:dyDescent="0.2">
      <c r="A489" s="237" t="str">
        <f>name!E$8</f>
        <v>Skilled trades occupations</v>
      </c>
      <c r="B489" s="302">
        <v>5.0966782623838192E-2</v>
      </c>
      <c r="C489" s="302">
        <v>11.43235745425935</v>
      </c>
      <c r="D489" s="302">
        <f t="shared" si="184"/>
        <v>11.483324236883188</v>
      </c>
      <c r="E489" s="303"/>
      <c r="F489" s="302">
        <v>8.860222674601223E-2</v>
      </c>
      <c r="G489" s="302">
        <v>11.071978945954365</v>
      </c>
      <c r="H489" s="302">
        <f t="shared" si="185"/>
        <v>11.160581172700377</v>
      </c>
      <c r="I489" s="303"/>
      <c r="J489" s="302">
        <v>0.16014347354347042</v>
      </c>
      <c r="K489" s="302">
        <v>10.724852203161507</v>
      </c>
      <c r="L489" s="302">
        <f t="shared" si="186"/>
        <v>10.884995676704978</v>
      </c>
      <c r="M489" s="236"/>
      <c r="N489" s="236"/>
    </row>
    <row r="490" spans="1:14" x14ac:dyDescent="0.2">
      <c r="A490" s="237" t="str">
        <f>name!E$9</f>
        <v>Caring, leisure and other service occupations</v>
      </c>
      <c r="B490" s="302">
        <v>4.0651463022556955E-2</v>
      </c>
      <c r="C490" s="302">
        <v>6.302658097804914E-2</v>
      </c>
      <c r="D490" s="302">
        <f t="shared" si="184"/>
        <v>0.1036780440006061</v>
      </c>
      <c r="E490" s="303"/>
      <c r="F490" s="302">
        <v>5.9610572535532438E-2</v>
      </c>
      <c r="G490" s="302">
        <v>8.5640511299451327E-2</v>
      </c>
      <c r="H490" s="302">
        <f t="shared" si="185"/>
        <v>0.14525108383498375</v>
      </c>
      <c r="I490" s="303"/>
      <c r="J490" s="302">
        <v>8.7353432074551998E-2</v>
      </c>
      <c r="K490" s="302">
        <v>9.3567741076271457E-2</v>
      </c>
      <c r="L490" s="302">
        <f t="shared" si="186"/>
        <v>0.18092117315082346</v>
      </c>
      <c r="M490" s="236"/>
      <c r="N490" s="236"/>
    </row>
    <row r="491" spans="1:14" x14ac:dyDescent="0.2">
      <c r="A491" s="237" t="str">
        <f>name!E$10</f>
        <v>Sales and customer service occupations</v>
      </c>
      <c r="B491" s="302">
        <v>0.44681525585525866</v>
      </c>
      <c r="C491" s="302">
        <v>0.41652752800393766</v>
      </c>
      <c r="D491" s="302">
        <f t="shared" si="184"/>
        <v>0.86334278385919627</v>
      </c>
      <c r="E491" s="303"/>
      <c r="F491" s="302">
        <v>0.5245181313581363</v>
      </c>
      <c r="G491" s="302">
        <v>0.51043405639118922</v>
      </c>
      <c r="H491" s="302">
        <f t="shared" si="185"/>
        <v>1.0349521877493255</v>
      </c>
      <c r="I491" s="303"/>
      <c r="J491" s="302">
        <v>0.59553435986070946</v>
      </c>
      <c r="K491" s="302">
        <v>0.64361875236966715</v>
      </c>
      <c r="L491" s="302">
        <f t="shared" si="186"/>
        <v>1.2391531122303765</v>
      </c>
      <c r="M491" s="236"/>
      <c r="N491" s="236"/>
    </row>
    <row r="492" spans="1:14" x14ac:dyDescent="0.2">
      <c r="A492" s="237" t="str">
        <f>name!E$11</f>
        <v>Process, plant and machine operatives</v>
      </c>
      <c r="B492" s="302">
        <v>6.5431229216742187E-2</v>
      </c>
      <c r="C492" s="302">
        <v>3.2805240871399337</v>
      </c>
      <c r="D492" s="302">
        <f t="shared" si="184"/>
        <v>3.345955316356676</v>
      </c>
      <c r="E492" s="303"/>
      <c r="F492" s="302">
        <v>7.1179496725680469E-2</v>
      </c>
      <c r="G492" s="302">
        <v>3.1957538479717527</v>
      </c>
      <c r="H492" s="302">
        <f t="shared" si="185"/>
        <v>3.2669333446974331</v>
      </c>
      <c r="I492" s="303"/>
      <c r="J492" s="302">
        <v>0.11284840150130998</v>
      </c>
      <c r="K492" s="302">
        <v>3.8603221140223152</v>
      </c>
      <c r="L492" s="302">
        <f t="shared" si="186"/>
        <v>3.9731705155236252</v>
      </c>
      <c r="M492" s="236"/>
      <c r="N492" s="236"/>
    </row>
    <row r="493" spans="1:14" x14ac:dyDescent="0.2">
      <c r="A493" s="237" t="str">
        <f>name!E$12</f>
        <v>Elementary occupations</v>
      </c>
      <c r="B493" s="302">
        <v>0.31703974078747893</v>
      </c>
      <c r="C493" s="302">
        <v>1.8296970608586143</v>
      </c>
      <c r="D493" s="302">
        <f t="shared" si="184"/>
        <v>2.1467368016460933</v>
      </c>
      <c r="E493" s="303"/>
      <c r="F493" s="302">
        <v>0.39998082480731034</v>
      </c>
      <c r="G493" s="302">
        <v>1.8290270205583077</v>
      </c>
      <c r="H493" s="302">
        <f t="shared" si="185"/>
        <v>2.2290078453656181</v>
      </c>
      <c r="I493" s="303"/>
      <c r="J493" s="302">
        <v>0.38533260287856003</v>
      </c>
      <c r="K493" s="302">
        <v>1.7868947233503729</v>
      </c>
      <c r="L493" s="302">
        <f t="shared" si="186"/>
        <v>2.1722273262289331</v>
      </c>
      <c r="M493" s="236"/>
      <c r="N493" s="236"/>
    </row>
    <row r="494" spans="1:14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  <c r="N494" s="236"/>
    </row>
    <row r="495" spans="1:14" x14ac:dyDescent="0.2">
      <c r="A495" s="244" t="s">
        <v>32</v>
      </c>
      <c r="B495" s="311">
        <f>SUM(B485:B493)</f>
        <v>6.4539999999801214</v>
      </c>
      <c r="C495" s="311">
        <f t="shared" ref="C495:D495" si="187">SUM(C485:C493)</f>
        <v>25.359999999383913</v>
      </c>
      <c r="D495" s="311">
        <f t="shared" si="187"/>
        <v>31.813999999364036</v>
      </c>
      <c r="E495" s="311"/>
      <c r="F495" s="311">
        <f t="shared" ref="F495:H495" si="188">SUM(F485:F493)</f>
        <v>8.4439999999579669</v>
      </c>
      <c r="G495" s="311">
        <f t="shared" si="188"/>
        <v>28.382999999825294</v>
      </c>
      <c r="H495" s="311">
        <f t="shared" si="188"/>
        <v>36.826999999783261</v>
      </c>
      <c r="I495" s="311"/>
      <c r="J495" s="311">
        <f t="shared" ref="J495:L495" si="189">SUM(J485:J493)</f>
        <v>9.2989999999838826</v>
      </c>
      <c r="K495" s="311">
        <f t="shared" si="189"/>
        <v>30.198999999489608</v>
      </c>
      <c r="L495" s="311">
        <f t="shared" si="189"/>
        <v>39.497999999473492</v>
      </c>
      <c r="M495" s="236"/>
      <c r="N495" s="236"/>
    </row>
    <row r="496" spans="1:14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  <c r="N496" s="236"/>
    </row>
    <row r="497" spans="1:14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56" t="s">
        <v>35</v>
      </c>
      <c r="M497" s="236"/>
      <c r="N497" s="236"/>
    </row>
    <row r="498" spans="1:14" x14ac:dyDescent="0.2">
      <c r="A498" s="242"/>
      <c r="B498" s="250"/>
      <c r="C498" s="250"/>
      <c r="D498" s="250"/>
      <c r="E498" s="250"/>
      <c r="F498" s="250"/>
      <c r="G498" s="250"/>
      <c r="H498" s="250"/>
      <c r="I498" s="250"/>
      <c r="J498" s="250"/>
      <c r="K498" s="250"/>
      <c r="L498" s="236"/>
      <c r="M498" s="236"/>
      <c r="N498" s="236"/>
    </row>
    <row r="499" spans="1:14" x14ac:dyDescent="0.2">
      <c r="A499" s="241" t="str">
        <f>name!A32</f>
        <v>Civil engineering</v>
      </c>
      <c r="B499" s="372">
        <f>B$6</f>
        <v>2015</v>
      </c>
      <c r="C499" s="372"/>
      <c r="D499" s="372"/>
      <c r="E499" s="253"/>
      <c r="F499" s="372">
        <f>F482</f>
        <v>2020</v>
      </c>
      <c r="G499" s="372"/>
      <c r="H499" s="372"/>
      <c r="I499" s="253"/>
      <c r="J499" s="372">
        <f>J482</f>
        <v>2035</v>
      </c>
      <c r="K499" s="372"/>
      <c r="L499" s="372"/>
      <c r="M499" s="236"/>
      <c r="N499" s="236"/>
    </row>
    <row r="500" spans="1:14" x14ac:dyDescent="0.2">
      <c r="A500" s="254"/>
      <c r="B500" s="255" t="s">
        <v>352</v>
      </c>
      <c r="C500" s="255" t="s">
        <v>353</v>
      </c>
      <c r="D500" s="255" t="s">
        <v>32</v>
      </c>
      <c r="E500" s="255"/>
      <c r="F500" s="255" t="s">
        <v>352</v>
      </c>
      <c r="G500" s="255" t="s">
        <v>353</v>
      </c>
      <c r="H500" s="255" t="s">
        <v>32</v>
      </c>
      <c r="I500" s="255"/>
      <c r="J500" s="255" t="s">
        <v>352</v>
      </c>
      <c r="K500" s="255" t="s">
        <v>353</v>
      </c>
      <c r="L500" s="255" t="s">
        <v>32</v>
      </c>
      <c r="M500" s="236"/>
      <c r="N500" s="236"/>
    </row>
    <row r="501" spans="1:14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  <c r="N501" s="236"/>
    </row>
    <row r="502" spans="1:14" x14ac:dyDescent="0.2">
      <c r="A502" s="237" t="str">
        <f>name!E$4</f>
        <v>Managers, directors and senior officials</v>
      </c>
      <c r="B502" s="302">
        <v>0.30411657959790334</v>
      </c>
      <c r="C502" s="302">
        <v>1.9129338999977652</v>
      </c>
      <c r="D502" s="302">
        <f>SUM(B502:C502)</f>
        <v>2.2170504795956685</v>
      </c>
      <c r="E502" s="303"/>
      <c r="F502" s="302">
        <v>0.21406732055756408</v>
      </c>
      <c r="G502" s="302">
        <v>1.8080014494341177</v>
      </c>
      <c r="H502" s="302">
        <f>SUM(F502:G502)</f>
        <v>2.0220687699916819</v>
      </c>
      <c r="I502" s="303"/>
      <c r="J502" s="302">
        <v>0.29839142513163569</v>
      </c>
      <c r="K502" s="302">
        <v>1.8997381281899677</v>
      </c>
      <c r="L502" s="302">
        <f>SUM(J502:K502)</f>
        <v>2.1981295533216034</v>
      </c>
      <c r="M502" s="236"/>
      <c r="N502" s="236"/>
    </row>
    <row r="503" spans="1:14" x14ac:dyDescent="0.2">
      <c r="A503" s="237" t="str">
        <f>name!E$5</f>
        <v>Professional occupations</v>
      </c>
      <c r="B503" s="302">
        <v>0.30965804506556543</v>
      </c>
      <c r="C503" s="302">
        <v>3.1068256574221449</v>
      </c>
      <c r="D503" s="302">
        <f t="shared" ref="D503:D510" si="190">SUM(B503:C503)</f>
        <v>3.4164837024877102</v>
      </c>
      <c r="E503" s="303"/>
      <c r="F503" s="302">
        <v>0.24997399009190369</v>
      </c>
      <c r="G503" s="302">
        <v>3.0488108792029438</v>
      </c>
      <c r="H503" s="302">
        <f t="shared" ref="H503:H510" si="191">SUM(F503:G503)</f>
        <v>3.2987848692948476</v>
      </c>
      <c r="I503" s="303"/>
      <c r="J503" s="302">
        <v>0.35062126528984078</v>
      </c>
      <c r="K503" s="302">
        <v>3.7013624485423753</v>
      </c>
      <c r="L503" s="302">
        <f t="shared" ref="L503:L510" si="192">SUM(J503:K503)</f>
        <v>4.0519837138322163</v>
      </c>
      <c r="M503" s="236"/>
      <c r="N503" s="236"/>
    </row>
    <row r="504" spans="1:14" x14ac:dyDescent="0.2">
      <c r="A504" s="237" t="str">
        <f>name!E$6</f>
        <v>Associate professional occupations</v>
      </c>
      <c r="B504" s="302">
        <v>0.30820979392543046</v>
      </c>
      <c r="C504" s="302">
        <v>1.3001317686744389</v>
      </c>
      <c r="D504" s="302">
        <f t="shared" si="190"/>
        <v>1.6083415625998694</v>
      </c>
      <c r="E504" s="303"/>
      <c r="F504" s="302">
        <v>0.20239838569954036</v>
      </c>
      <c r="G504" s="302">
        <v>1.2187317423908053</v>
      </c>
      <c r="H504" s="302">
        <f t="shared" si="191"/>
        <v>1.4211301280903457</v>
      </c>
      <c r="I504" s="303"/>
      <c r="J504" s="302">
        <v>0.25591266865121237</v>
      </c>
      <c r="K504" s="302">
        <v>1.1929403896969275</v>
      </c>
      <c r="L504" s="302">
        <f t="shared" si="192"/>
        <v>1.4488530583481398</v>
      </c>
      <c r="M504" s="236"/>
      <c r="N504" s="236"/>
    </row>
    <row r="505" spans="1:14" x14ac:dyDescent="0.2">
      <c r="A505" s="237" t="str">
        <f>name!E$7</f>
        <v>Administrative and secretarial occupations</v>
      </c>
      <c r="B505" s="302">
        <v>1.228600926483487</v>
      </c>
      <c r="C505" s="302">
        <v>0.66989928944261856</v>
      </c>
      <c r="D505" s="302">
        <f t="shared" si="190"/>
        <v>1.8985002159261055</v>
      </c>
      <c r="E505" s="303"/>
      <c r="F505" s="302">
        <v>0.52774097512073803</v>
      </c>
      <c r="G505" s="302">
        <v>0.54770263385877649</v>
      </c>
      <c r="H505" s="302">
        <f t="shared" si="191"/>
        <v>1.0754436089795145</v>
      </c>
      <c r="I505" s="303"/>
      <c r="J505" s="302">
        <v>0.44435197695851542</v>
      </c>
      <c r="K505" s="302">
        <v>0.64956435688749803</v>
      </c>
      <c r="L505" s="302">
        <f t="shared" si="192"/>
        <v>1.0939163338460134</v>
      </c>
      <c r="M505" s="236"/>
      <c r="N505" s="236"/>
    </row>
    <row r="506" spans="1:14" x14ac:dyDescent="0.2">
      <c r="A506" s="237" t="str">
        <f>name!E$8</f>
        <v>Skilled trades occupations</v>
      </c>
      <c r="B506" s="302">
        <v>1.8808369655393519E-2</v>
      </c>
      <c r="C506" s="302">
        <v>9.7457366453723004</v>
      </c>
      <c r="D506" s="302">
        <f t="shared" si="190"/>
        <v>9.7645450150276947</v>
      </c>
      <c r="E506" s="303"/>
      <c r="F506" s="302">
        <v>1.3717647475656871E-2</v>
      </c>
      <c r="G506" s="302">
        <v>6.2076646752015714</v>
      </c>
      <c r="H506" s="302">
        <f t="shared" si="191"/>
        <v>6.2213823226772282</v>
      </c>
      <c r="I506" s="303"/>
      <c r="J506" s="302">
        <v>2.7398096536542675E-2</v>
      </c>
      <c r="K506" s="302">
        <v>5.9038399853012775</v>
      </c>
      <c r="L506" s="302">
        <f t="shared" si="192"/>
        <v>5.9312380818378205</v>
      </c>
      <c r="M506" s="236"/>
      <c r="N506" s="236"/>
    </row>
    <row r="507" spans="1:14" x14ac:dyDescent="0.2">
      <c r="A507" s="237" t="str">
        <f>name!E$9</f>
        <v>Caring, leisure and other service occupations</v>
      </c>
      <c r="B507" s="302">
        <v>1.5992216981136346E-2</v>
      </c>
      <c r="C507" s="302">
        <v>5.2022000596081322E-2</v>
      </c>
      <c r="D507" s="302">
        <f t="shared" si="190"/>
        <v>6.8014217577217664E-2</v>
      </c>
      <c r="E507" s="303"/>
      <c r="F507" s="302">
        <v>8.4453458651757921E-3</v>
      </c>
      <c r="G507" s="302">
        <v>4.3123918282329018E-2</v>
      </c>
      <c r="H507" s="302">
        <f t="shared" si="191"/>
        <v>5.1569264147504811E-2</v>
      </c>
      <c r="I507" s="303"/>
      <c r="J507" s="302">
        <v>1.3750696122066197E-2</v>
      </c>
      <c r="K507" s="302">
        <v>4.9044941817503206E-2</v>
      </c>
      <c r="L507" s="302">
        <f t="shared" si="192"/>
        <v>6.279563793956941E-2</v>
      </c>
      <c r="M507" s="236"/>
      <c r="N507" s="236"/>
    </row>
    <row r="508" spans="1:14" x14ac:dyDescent="0.2">
      <c r="A508" s="237" t="str">
        <f>name!E$10</f>
        <v>Sales and customer service occupations</v>
      </c>
      <c r="B508" s="302">
        <v>0.17807680099459014</v>
      </c>
      <c r="C508" s="302">
        <v>0.34479654794163</v>
      </c>
      <c r="D508" s="302">
        <f t="shared" si="190"/>
        <v>0.52287334893622017</v>
      </c>
      <c r="E508" s="303"/>
      <c r="F508" s="302">
        <v>8.4322440149416436E-2</v>
      </c>
      <c r="G508" s="302">
        <v>0.25485160888406894</v>
      </c>
      <c r="H508" s="302">
        <f t="shared" si="191"/>
        <v>0.33917404903348536</v>
      </c>
      <c r="I508" s="303"/>
      <c r="J508" s="302">
        <v>9.7637432779530686E-2</v>
      </c>
      <c r="K508" s="302">
        <v>0.3151680175895466</v>
      </c>
      <c r="L508" s="302">
        <f t="shared" si="192"/>
        <v>0.41280545036907729</v>
      </c>
      <c r="M508" s="236"/>
      <c r="N508" s="236"/>
    </row>
    <row r="509" spans="1:14" x14ac:dyDescent="0.2">
      <c r="A509" s="237" t="str">
        <f>name!E$11</f>
        <v>Process, plant and machine operatives</v>
      </c>
      <c r="B509" s="302">
        <v>2.385866342567965E-2</v>
      </c>
      <c r="C509" s="302">
        <v>2.7576703860225509</v>
      </c>
      <c r="D509" s="302">
        <f t="shared" si="190"/>
        <v>2.7815290494482303</v>
      </c>
      <c r="E509" s="303"/>
      <c r="F509" s="302">
        <v>1.1130231606244474E-2</v>
      </c>
      <c r="G509" s="302">
        <v>1.8273788979400314</v>
      </c>
      <c r="H509" s="302">
        <f t="shared" si="191"/>
        <v>1.8385091295462759</v>
      </c>
      <c r="I509" s="303"/>
      <c r="J509" s="302">
        <v>1.7527458028348566E-2</v>
      </c>
      <c r="K509" s="302">
        <v>2.2017047609198404</v>
      </c>
      <c r="L509" s="302">
        <f t="shared" si="192"/>
        <v>2.2192322189481888</v>
      </c>
      <c r="M509" s="236"/>
      <c r="N509" s="236"/>
    </row>
    <row r="510" spans="1:14" x14ac:dyDescent="0.2">
      <c r="A510" s="237" t="str">
        <f>name!E$12</f>
        <v>Elementary occupations</v>
      </c>
      <c r="B510" s="302">
        <v>0.15967860387568761</v>
      </c>
      <c r="C510" s="302">
        <v>1.5319838040007066</v>
      </c>
      <c r="D510" s="302">
        <f t="shared" si="190"/>
        <v>1.6916624078763942</v>
      </c>
      <c r="E510" s="303"/>
      <c r="F510" s="302">
        <v>4.5203663421854286E-2</v>
      </c>
      <c r="G510" s="302">
        <v>0.97073419471012856</v>
      </c>
      <c r="H510" s="302">
        <f t="shared" si="191"/>
        <v>1.0159378581319829</v>
      </c>
      <c r="I510" s="303"/>
      <c r="J510" s="302">
        <v>5.2408980503372039E-2</v>
      </c>
      <c r="K510" s="302">
        <v>0.96863697077574007</v>
      </c>
      <c r="L510" s="302">
        <f t="shared" si="192"/>
        <v>1.0210459512791121</v>
      </c>
      <c r="M510" s="236"/>
      <c r="N510" s="236"/>
    </row>
    <row r="511" spans="1:14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  <c r="N511" s="236"/>
    </row>
    <row r="512" spans="1:14" x14ac:dyDescent="0.2">
      <c r="A512" s="244" t="s">
        <v>32</v>
      </c>
      <c r="B512" s="311">
        <f>SUM(B502:B510)</f>
        <v>2.5470000000048731</v>
      </c>
      <c r="C512" s="311">
        <f t="shared" ref="C512:D512" si="193">SUM(C502:C510)</f>
        <v>21.421999999470238</v>
      </c>
      <c r="D512" s="311">
        <f t="shared" si="193"/>
        <v>23.968999999475109</v>
      </c>
      <c r="E512" s="311"/>
      <c r="F512" s="311">
        <f t="shared" ref="F512:H512" si="194">SUM(F502:F510)</f>
        <v>1.3569999999880942</v>
      </c>
      <c r="G512" s="311">
        <f t="shared" si="194"/>
        <v>15.926999999904773</v>
      </c>
      <c r="H512" s="311">
        <f t="shared" si="194"/>
        <v>17.283999999892867</v>
      </c>
      <c r="I512" s="311"/>
      <c r="J512" s="311">
        <f t="shared" ref="J512:L512" si="195">SUM(J502:J510)</f>
        <v>1.5580000000010643</v>
      </c>
      <c r="K512" s="311">
        <f t="shared" si="195"/>
        <v>16.881999999720673</v>
      </c>
      <c r="L512" s="311">
        <f t="shared" si="195"/>
        <v>18.439999999721742</v>
      </c>
      <c r="M512" s="236"/>
      <c r="N512" s="236"/>
    </row>
    <row r="513" spans="1:14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  <c r="N513" s="236"/>
    </row>
    <row r="514" spans="1:14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56" t="s">
        <v>35</v>
      </c>
      <c r="M514" s="236"/>
      <c r="N514" s="236"/>
    </row>
    <row r="515" spans="1:14" x14ac:dyDescent="0.2">
      <c r="A515" s="242"/>
      <c r="B515" s="250"/>
      <c r="C515" s="250"/>
      <c r="D515" s="250"/>
      <c r="E515" s="250"/>
      <c r="F515" s="250"/>
      <c r="G515" s="250"/>
      <c r="H515" s="250"/>
      <c r="I515" s="250"/>
      <c r="J515" s="250"/>
      <c r="K515" s="250"/>
      <c r="L515" s="236"/>
      <c r="M515" s="236"/>
      <c r="N515" s="236"/>
    </row>
    <row r="516" spans="1:14" x14ac:dyDescent="0.2">
      <c r="A516" s="241" t="str">
        <f>name!A33</f>
        <v>Specialised construction</v>
      </c>
      <c r="B516" s="372">
        <f>B$6</f>
        <v>2015</v>
      </c>
      <c r="C516" s="372"/>
      <c r="D516" s="372"/>
      <c r="E516" s="253"/>
      <c r="F516" s="372">
        <f>F499</f>
        <v>2020</v>
      </c>
      <c r="G516" s="372"/>
      <c r="H516" s="372"/>
      <c r="I516" s="253"/>
      <c r="J516" s="372">
        <f>J499</f>
        <v>2035</v>
      </c>
      <c r="K516" s="372"/>
      <c r="L516" s="372"/>
      <c r="M516" s="236"/>
      <c r="N516" s="236"/>
    </row>
    <row r="517" spans="1:14" x14ac:dyDescent="0.2">
      <c r="A517" s="254"/>
      <c r="B517" s="255" t="s">
        <v>352</v>
      </c>
      <c r="C517" s="255" t="s">
        <v>353</v>
      </c>
      <c r="D517" s="255" t="s">
        <v>32</v>
      </c>
      <c r="E517" s="255"/>
      <c r="F517" s="255" t="s">
        <v>352</v>
      </c>
      <c r="G517" s="255" t="s">
        <v>353</v>
      </c>
      <c r="H517" s="255" t="s">
        <v>32</v>
      </c>
      <c r="I517" s="255"/>
      <c r="J517" s="255" t="s">
        <v>352</v>
      </c>
      <c r="K517" s="255" t="s">
        <v>353</v>
      </c>
      <c r="L517" s="255" t="s">
        <v>32</v>
      </c>
      <c r="M517" s="236"/>
      <c r="N517" s="236"/>
    </row>
    <row r="518" spans="1:14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  <c r="N518" s="236"/>
    </row>
    <row r="519" spans="1:14" x14ac:dyDescent="0.2">
      <c r="A519" s="237" t="str">
        <f>name!E$4</f>
        <v>Managers, directors and senior officials</v>
      </c>
      <c r="B519" s="302">
        <v>1.507999037072062</v>
      </c>
      <c r="C519" s="302">
        <v>6.9240173871900295</v>
      </c>
      <c r="D519" s="302">
        <f>SUM(B519:C519)</f>
        <v>8.4320164242620912</v>
      </c>
      <c r="E519" s="303"/>
      <c r="F519" s="302">
        <v>1.925348163344196</v>
      </c>
      <c r="G519" s="302">
        <v>9.1844520778447478</v>
      </c>
      <c r="H519" s="302">
        <f>SUM(F519:G519)</f>
        <v>11.109800241188944</v>
      </c>
      <c r="I519" s="303"/>
      <c r="J519" s="302">
        <v>2.4710469023147232</v>
      </c>
      <c r="K519" s="302">
        <v>9.6705482992068212</v>
      </c>
      <c r="L519" s="302">
        <f>SUM(J519:K519)</f>
        <v>12.141595201521545</v>
      </c>
      <c r="M519" s="236"/>
      <c r="N519" s="236"/>
    </row>
    <row r="520" spans="1:14" x14ac:dyDescent="0.2">
      <c r="A520" s="237" t="str">
        <f>name!E$5</f>
        <v>Professional occupations</v>
      </c>
      <c r="B520" s="302">
        <v>1.5634514682381158</v>
      </c>
      <c r="C520" s="302">
        <v>11.227507206295618</v>
      </c>
      <c r="D520" s="302">
        <f t="shared" ref="D520:D527" si="196">SUM(B520:C520)</f>
        <v>12.790958674533734</v>
      </c>
      <c r="E520" s="303"/>
      <c r="F520" s="302">
        <v>1.9828256608793215</v>
      </c>
      <c r="G520" s="302">
        <v>15.158209206641182</v>
      </c>
      <c r="H520" s="302">
        <f t="shared" ref="H520:H527" si="197">SUM(F520:G520)</f>
        <v>17.141034867520503</v>
      </c>
      <c r="I520" s="303"/>
      <c r="J520" s="302">
        <v>2.6990862397863045</v>
      </c>
      <c r="K520" s="302">
        <v>18.364725500408909</v>
      </c>
      <c r="L520" s="302">
        <f t="shared" ref="L520:L527" si="198">SUM(J520:K520)</f>
        <v>21.063811740195213</v>
      </c>
      <c r="M520" s="236"/>
      <c r="N520" s="236"/>
    </row>
    <row r="521" spans="1:14" x14ac:dyDescent="0.2">
      <c r="A521" s="237" t="str">
        <f>name!E$6</f>
        <v>Associate professional occupations</v>
      </c>
      <c r="B521" s="302">
        <v>1.552201546411567</v>
      </c>
      <c r="C521" s="302">
        <v>4.7102184054908998</v>
      </c>
      <c r="D521" s="302">
        <f t="shared" si="196"/>
        <v>6.2624199519024666</v>
      </c>
      <c r="E521" s="303"/>
      <c r="F521" s="302">
        <v>1.71173784942359</v>
      </c>
      <c r="G521" s="302">
        <v>6.1643859343744882</v>
      </c>
      <c r="H521" s="302">
        <f t="shared" si="197"/>
        <v>7.8761237837980786</v>
      </c>
      <c r="I521" s="303"/>
      <c r="J521" s="302">
        <v>2.0991160095933892</v>
      </c>
      <c r="K521" s="302">
        <v>5.9930111750872674</v>
      </c>
      <c r="L521" s="302">
        <f t="shared" si="198"/>
        <v>8.0921271846806562</v>
      </c>
      <c r="M521" s="236"/>
      <c r="N521" s="236"/>
    </row>
    <row r="522" spans="1:14" x14ac:dyDescent="0.2">
      <c r="A522" s="237" t="str">
        <f>name!E$7</f>
        <v>Administrative and secretarial occupations</v>
      </c>
      <c r="B522" s="302">
        <v>6.15835484127087</v>
      </c>
      <c r="C522" s="302">
        <v>2.466145871981765</v>
      </c>
      <c r="D522" s="302">
        <f t="shared" si="196"/>
        <v>8.624500713252635</v>
      </c>
      <c r="E522" s="303"/>
      <c r="F522" s="302">
        <v>5.3478463612944394</v>
      </c>
      <c r="G522" s="302">
        <v>2.9680022068537033</v>
      </c>
      <c r="H522" s="302">
        <f t="shared" si="197"/>
        <v>8.3158485681481427</v>
      </c>
      <c r="I522" s="303"/>
      <c r="J522" s="302">
        <v>4.7899689254381936</v>
      </c>
      <c r="K522" s="302">
        <v>3.4961722202023036</v>
      </c>
      <c r="L522" s="302">
        <f t="shared" si="198"/>
        <v>8.2861411456404976</v>
      </c>
      <c r="M522" s="236"/>
      <c r="N522" s="236"/>
    </row>
    <row r="523" spans="1:14" x14ac:dyDescent="0.2">
      <c r="A523" s="237" t="str">
        <f>name!E$8</f>
        <v>Skilled trades occupations</v>
      </c>
      <c r="B523" s="302">
        <v>9.1917816635617447E-2</v>
      </c>
      <c r="C523" s="302">
        <v>35.255609756289928</v>
      </c>
      <c r="D523" s="302">
        <f t="shared" si="196"/>
        <v>35.347527572925543</v>
      </c>
      <c r="E523" s="303"/>
      <c r="F523" s="302">
        <v>0.11213737168871864</v>
      </c>
      <c r="G523" s="302">
        <v>31.748380094142508</v>
      </c>
      <c r="H523" s="302">
        <f t="shared" si="197"/>
        <v>31.860517465831226</v>
      </c>
      <c r="I523" s="303"/>
      <c r="J523" s="302">
        <v>0.20189180572493182</v>
      </c>
      <c r="K523" s="302">
        <v>30.578952784401469</v>
      </c>
      <c r="L523" s="302">
        <f t="shared" si="198"/>
        <v>30.780844590126399</v>
      </c>
      <c r="M523" s="236"/>
      <c r="N523" s="236"/>
    </row>
    <row r="524" spans="1:14" x14ac:dyDescent="0.2">
      <c r="A524" s="237" t="str">
        <f>name!E$9</f>
        <v>Caring, leisure and other service occupations</v>
      </c>
      <c r="B524" s="302">
        <v>7.8243533202345256E-2</v>
      </c>
      <c r="C524" s="302">
        <v>0.19166264464837177</v>
      </c>
      <c r="D524" s="302">
        <f t="shared" si="196"/>
        <v>0.26990617785071702</v>
      </c>
      <c r="E524" s="303"/>
      <c r="F524" s="302">
        <v>7.3537703632518561E-2</v>
      </c>
      <c r="G524" s="302">
        <v>0.23541271964177002</v>
      </c>
      <c r="H524" s="302">
        <f t="shared" si="197"/>
        <v>0.30895042327428857</v>
      </c>
      <c r="I524" s="303"/>
      <c r="J524" s="302">
        <v>9.5588285573492165E-2</v>
      </c>
      <c r="K524" s="302">
        <v>0.26071224581189972</v>
      </c>
      <c r="L524" s="302">
        <f t="shared" si="198"/>
        <v>0.35630053138539186</v>
      </c>
      <c r="M524" s="236"/>
      <c r="N524" s="236"/>
    </row>
    <row r="525" spans="1:14" x14ac:dyDescent="0.2">
      <c r="A525" s="237" t="str">
        <f>name!E$10</f>
        <v>Sales and customer service occupations</v>
      </c>
      <c r="B525" s="302">
        <v>0.89566912236086182</v>
      </c>
      <c r="C525" s="302">
        <v>1.2700228696927902</v>
      </c>
      <c r="D525" s="302">
        <f t="shared" si="196"/>
        <v>2.1656919920536519</v>
      </c>
      <c r="E525" s="303"/>
      <c r="F525" s="302">
        <v>0.83053453311214642</v>
      </c>
      <c r="G525" s="302">
        <v>1.4004495675198956</v>
      </c>
      <c r="H525" s="302">
        <f t="shared" si="197"/>
        <v>2.2309841006320421</v>
      </c>
      <c r="I525" s="303"/>
      <c r="J525" s="302">
        <v>0.93602888408065088</v>
      </c>
      <c r="K525" s="302">
        <v>1.7543846118790358</v>
      </c>
      <c r="L525" s="302">
        <f t="shared" si="198"/>
        <v>2.6904134959596866</v>
      </c>
      <c r="M525" s="236"/>
      <c r="N525" s="236"/>
    </row>
    <row r="526" spans="1:14" x14ac:dyDescent="0.2">
      <c r="A526" s="237" t="str">
        <f>name!E$11</f>
        <v>Process, plant and machine operatives</v>
      </c>
      <c r="B526" s="302">
        <v>0.11895823181294615</v>
      </c>
      <c r="C526" s="302">
        <v>9.9730118252359645</v>
      </c>
      <c r="D526" s="302">
        <f t="shared" si="196"/>
        <v>10.091970057048911</v>
      </c>
      <c r="E526" s="303"/>
      <c r="F526" s="302">
        <v>9.5892360533710669E-2</v>
      </c>
      <c r="G526" s="302">
        <v>9.1886835396568785</v>
      </c>
      <c r="H526" s="302">
        <f t="shared" si="197"/>
        <v>9.284575900190589</v>
      </c>
      <c r="I526" s="303"/>
      <c r="J526" s="302">
        <v>0.1444597487605567</v>
      </c>
      <c r="K526" s="302">
        <v>11.094437855439562</v>
      </c>
      <c r="L526" s="302">
        <f t="shared" si="198"/>
        <v>11.238897604200119</v>
      </c>
      <c r="M526" s="236"/>
      <c r="N526" s="236"/>
    </row>
    <row r="527" spans="1:14" x14ac:dyDescent="0.2">
      <c r="A527" s="237" t="str">
        <f>name!E$12</f>
        <v>Elementary occupations</v>
      </c>
      <c r="B527" s="302">
        <v>0.76820440301552284</v>
      </c>
      <c r="C527" s="302">
        <v>5.5958040312659607</v>
      </c>
      <c r="D527" s="302">
        <f t="shared" si="196"/>
        <v>6.3640084342814838</v>
      </c>
      <c r="E527" s="303"/>
      <c r="F527" s="302">
        <v>0.53713999604835105</v>
      </c>
      <c r="G527" s="302">
        <v>5.1310246528256229</v>
      </c>
      <c r="H527" s="302">
        <f t="shared" si="197"/>
        <v>5.6681646488739741</v>
      </c>
      <c r="I527" s="303"/>
      <c r="J527" s="302">
        <v>0.50081319867775609</v>
      </c>
      <c r="K527" s="302">
        <v>5.056055306103608</v>
      </c>
      <c r="L527" s="302">
        <f t="shared" si="198"/>
        <v>5.556868504781364</v>
      </c>
      <c r="M527" s="236"/>
      <c r="N527" s="236"/>
    </row>
    <row r="528" spans="1:14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  <c r="N528" s="236"/>
    </row>
    <row r="529" spans="1:14" x14ac:dyDescent="0.2">
      <c r="A529" s="244" t="s">
        <v>32</v>
      </c>
      <c r="B529" s="311">
        <f>SUM(B519:B527)</f>
        <v>12.735000000019911</v>
      </c>
      <c r="C529" s="311">
        <f t="shared" ref="C529:D529" si="199">SUM(C519:C527)</f>
        <v>77.61399999809133</v>
      </c>
      <c r="D529" s="311">
        <f t="shared" si="199"/>
        <v>90.348999998111239</v>
      </c>
      <c r="E529" s="311"/>
      <c r="F529" s="311">
        <f t="shared" ref="F529:H529" si="200">SUM(F519:F527)</f>
        <v>12.616999999956994</v>
      </c>
      <c r="G529" s="311">
        <f t="shared" si="200"/>
        <v>81.178999999500803</v>
      </c>
      <c r="H529" s="311">
        <f t="shared" si="200"/>
        <v>93.795999999457777</v>
      </c>
      <c r="I529" s="311"/>
      <c r="J529" s="311">
        <f t="shared" ref="J529:L529" si="201">SUM(J519:J527)</f>
        <v>13.937999999949998</v>
      </c>
      <c r="K529" s="311">
        <f t="shared" si="201"/>
        <v>86.268999998540878</v>
      </c>
      <c r="L529" s="311">
        <f t="shared" si="201"/>
        <v>100.20699999849087</v>
      </c>
      <c r="M529" s="236"/>
      <c r="N529" s="236"/>
    </row>
    <row r="530" spans="1:14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  <c r="N530" s="236"/>
    </row>
    <row r="531" spans="1:14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56" t="s">
        <v>35</v>
      </c>
      <c r="M531" s="236"/>
      <c r="N531" s="236"/>
    </row>
    <row r="532" spans="1:14" x14ac:dyDescent="0.2">
      <c r="A532" s="242"/>
      <c r="B532" s="250"/>
      <c r="C532" s="250"/>
      <c r="D532" s="250"/>
      <c r="E532" s="250"/>
      <c r="F532" s="250"/>
      <c r="G532" s="250"/>
      <c r="H532" s="250"/>
      <c r="I532" s="250"/>
      <c r="J532" s="250"/>
      <c r="K532" s="250"/>
      <c r="L532" s="236"/>
      <c r="M532" s="236"/>
      <c r="N532" s="236"/>
    </row>
    <row r="533" spans="1:14" x14ac:dyDescent="0.2">
      <c r="A533" s="241" t="str">
        <f>name!A34</f>
        <v>Motor vehicle trade</v>
      </c>
      <c r="B533" s="372">
        <f>B$6</f>
        <v>2015</v>
      </c>
      <c r="C533" s="372"/>
      <c r="D533" s="372"/>
      <c r="E533" s="253"/>
      <c r="F533" s="372">
        <f>F516</f>
        <v>2020</v>
      </c>
      <c r="G533" s="372"/>
      <c r="H533" s="372"/>
      <c r="I533" s="253"/>
      <c r="J533" s="372">
        <f>J516</f>
        <v>2035</v>
      </c>
      <c r="K533" s="372"/>
      <c r="L533" s="372"/>
      <c r="M533" s="236"/>
      <c r="N533" s="236"/>
    </row>
    <row r="534" spans="1:14" x14ac:dyDescent="0.2">
      <c r="A534" s="254"/>
      <c r="B534" s="255" t="s">
        <v>352</v>
      </c>
      <c r="C534" s="255" t="s">
        <v>353</v>
      </c>
      <c r="D534" s="255" t="s">
        <v>32</v>
      </c>
      <c r="E534" s="255"/>
      <c r="F534" s="255" t="s">
        <v>352</v>
      </c>
      <c r="G534" s="255" t="s">
        <v>353</v>
      </c>
      <c r="H534" s="255" t="s">
        <v>32</v>
      </c>
      <c r="I534" s="255"/>
      <c r="J534" s="255" t="s">
        <v>352</v>
      </c>
      <c r="K534" s="255" t="s">
        <v>353</v>
      </c>
      <c r="L534" s="255" t="s">
        <v>32</v>
      </c>
      <c r="M534" s="236"/>
      <c r="N534" s="236"/>
    </row>
    <row r="535" spans="1:14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  <c r="N535" s="236"/>
    </row>
    <row r="536" spans="1:14" x14ac:dyDescent="0.2">
      <c r="A536" s="237" t="str">
        <f>name!E$4</f>
        <v>Managers, directors and senior officials</v>
      </c>
      <c r="B536" s="302">
        <v>0.34459572148392387</v>
      </c>
      <c r="C536" s="302">
        <v>4.0304446905761049</v>
      </c>
      <c r="D536" s="302">
        <f>SUM(B536:C536)</f>
        <v>4.375040412060029</v>
      </c>
      <c r="E536" s="303"/>
      <c r="F536" s="302">
        <v>0.41671497756171483</v>
      </c>
      <c r="G536" s="302">
        <v>4.9133412196802686</v>
      </c>
      <c r="H536" s="302">
        <f>SUM(F536:G536)</f>
        <v>5.3300561972419835</v>
      </c>
      <c r="I536" s="303"/>
      <c r="J536" s="302">
        <v>0.55711877108271901</v>
      </c>
      <c r="K536" s="302">
        <v>6.2588475427901322</v>
      </c>
      <c r="L536" s="302">
        <f>SUM(J536:K536)</f>
        <v>6.8159663138728508</v>
      </c>
      <c r="M536" s="236"/>
      <c r="N536" s="236"/>
    </row>
    <row r="537" spans="1:14" x14ac:dyDescent="0.2">
      <c r="A537" s="237" t="str">
        <f>name!E$5</f>
        <v>Professional occupations</v>
      </c>
      <c r="B537" s="302">
        <v>0.26316138925674065</v>
      </c>
      <c r="C537" s="302">
        <v>1.623796125341928</v>
      </c>
      <c r="D537" s="302">
        <f t="shared" ref="D537:D544" si="202">SUM(B537:C537)</f>
        <v>1.8869575145986686</v>
      </c>
      <c r="E537" s="303"/>
      <c r="F537" s="302">
        <v>0.32725641040220887</v>
      </c>
      <c r="G537" s="302">
        <v>2.1741431016907757</v>
      </c>
      <c r="H537" s="302">
        <f t="shared" ref="H537:H544" si="203">SUM(F537:G537)</f>
        <v>2.5013995120929846</v>
      </c>
      <c r="I537" s="303"/>
      <c r="J537" s="302">
        <v>0.44907489407743806</v>
      </c>
      <c r="K537" s="302">
        <v>3.0202600040760843</v>
      </c>
      <c r="L537" s="302">
        <f t="shared" ref="L537:L544" si="204">SUM(J537:K537)</f>
        <v>3.4693348981535221</v>
      </c>
      <c r="M537" s="236"/>
      <c r="N537" s="236"/>
    </row>
    <row r="538" spans="1:14" x14ac:dyDescent="0.2">
      <c r="A538" s="237" t="str">
        <f>name!E$6</f>
        <v>Associate professional occupations</v>
      </c>
      <c r="B538" s="302">
        <v>0.52853943949313409</v>
      </c>
      <c r="C538" s="302">
        <v>1.9759808442144244</v>
      </c>
      <c r="D538" s="302">
        <f t="shared" si="202"/>
        <v>2.5045202837075586</v>
      </c>
      <c r="E538" s="303"/>
      <c r="F538" s="302">
        <v>0.53789220173176977</v>
      </c>
      <c r="G538" s="302">
        <v>2.2708282776292634</v>
      </c>
      <c r="H538" s="302">
        <f t="shared" si="203"/>
        <v>2.8087204793610332</v>
      </c>
      <c r="I538" s="303"/>
      <c r="J538" s="302">
        <v>0.64270212786122871</v>
      </c>
      <c r="K538" s="302">
        <v>2.4989657650747579</v>
      </c>
      <c r="L538" s="302">
        <f t="shared" si="204"/>
        <v>3.1416678929359865</v>
      </c>
      <c r="M538" s="236"/>
      <c r="N538" s="236"/>
    </row>
    <row r="539" spans="1:14" x14ac:dyDescent="0.2">
      <c r="A539" s="237" t="str">
        <f>name!E$7</f>
        <v>Administrative and secretarial occupations</v>
      </c>
      <c r="B539" s="302">
        <v>2.7177017627099178</v>
      </c>
      <c r="C539" s="302">
        <v>2.2716317738381333</v>
      </c>
      <c r="D539" s="302">
        <f t="shared" si="202"/>
        <v>4.9893335365480507</v>
      </c>
      <c r="E539" s="303"/>
      <c r="F539" s="302">
        <v>2.2711473689964619</v>
      </c>
      <c r="G539" s="302">
        <v>2.308849578302627</v>
      </c>
      <c r="H539" s="302">
        <f t="shared" si="203"/>
        <v>4.5799969472990885</v>
      </c>
      <c r="I539" s="303"/>
      <c r="J539" s="302">
        <v>2.0315331113584767</v>
      </c>
      <c r="K539" s="302">
        <v>3.2060147801991761</v>
      </c>
      <c r="L539" s="302">
        <f t="shared" si="204"/>
        <v>5.2375478915576528</v>
      </c>
      <c r="M539" s="236"/>
      <c r="N539" s="236"/>
    </row>
    <row r="540" spans="1:14" x14ac:dyDescent="0.2">
      <c r="A540" s="237" t="str">
        <f>name!E$8</f>
        <v>Skilled trades occupations</v>
      </c>
      <c r="B540" s="302">
        <v>0.17194373345308703</v>
      </c>
      <c r="C540" s="302">
        <v>17.538796356053044</v>
      </c>
      <c r="D540" s="302">
        <f t="shared" si="202"/>
        <v>17.710740089506132</v>
      </c>
      <c r="E540" s="303"/>
      <c r="F540" s="302">
        <v>0.17237563607798626</v>
      </c>
      <c r="G540" s="302">
        <v>15.353013291933612</v>
      </c>
      <c r="H540" s="302">
        <f t="shared" si="203"/>
        <v>15.525388928011598</v>
      </c>
      <c r="I540" s="303"/>
      <c r="J540" s="302">
        <v>0.25135753811706302</v>
      </c>
      <c r="K540" s="302">
        <v>15.350386156751489</v>
      </c>
      <c r="L540" s="302">
        <f t="shared" si="204"/>
        <v>15.601743694868551</v>
      </c>
      <c r="M540" s="236"/>
      <c r="N540" s="236"/>
    </row>
    <row r="541" spans="1:14" x14ac:dyDescent="0.2">
      <c r="A541" s="237" t="str">
        <f>name!E$9</f>
        <v>Caring, leisure and other service occupations</v>
      </c>
      <c r="B541" s="302">
        <v>0.66094936578620689</v>
      </c>
      <c r="C541" s="302">
        <v>0.11388830441919771</v>
      </c>
      <c r="D541" s="302">
        <f t="shared" si="202"/>
        <v>0.77483767020540462</v>
      </c>
      <c r="E541" s="303"/>
      <c r="F541" s="302">
        <v>0.59513409054582955</v>
      </c>
      <c r="G541" s="302">
        <v>0.13010669244703374</v>
      </c>
      <c r="H541" s="302">
        <f t="shared" si="203"/>
        <v>0.72524078299286332</v>
      </c>
      <c r="I541" s="303"/>
      <c r="J541" s="302">
        <v>0.85843111277921569</v>
      </c>
      <c r="K541" s="302">
        <v>0.19650830284565415</v>
      </c>
      <c r="L541" s="302">
        <f t="shared" si="204"/>
        <v>1.0549394156248699</v>
      </c>
      <c r="M541" s="236"/>
      <c r="N541" s="236"/>
    </row>
    <row r="542" spans="1:14" x14ac:dyDescent="0.2">
      <c r="A542" s="237" t="str">
        <f>name!E$10</f>
        <v>Sales and customer service occupations</v>
      </c>
      <c r="B542" s="302">
        <v>2.6228792757687218</v>
      </c>
      <c r="C542" s="302">
        <v>3.5126666543403657</v>
      </c>
      <c r="D542" s="302">
        <f t="shared" si="202"/>
        <v>6.1355459301090871</v>
      </c>
      <c r="E542" s="303"/>
      <c r="F542" s="302">
        <v>1.9500136504020638</v>
      </c>
      <c r="G542" s="302">
        <v>3.2029009875871894</v>
      </c>
      <c r="H542" s="302">
        <f t="shared" si="203"/>
        <v>5.1529146379892534</v>
      </c>
      <c r="I542" s="303"/>
      <c r="J542" s="302">
        <v>2.0266353145259886</v>
      </c>
      <c r="K542" s="302">
        <v>3.1272344086659949</v>
      </c>
      <c r="L542" s="302">
        <f t="shared" si="204"/>
        <v>5.153869723191983</v>
      </c>
      <c r="M542" s="236"/>
      <c r="N542" s="236"/>
    </row>
    <row r="543" spans="1:14" x14ac:dyDescent="0.2">
      <c r="A543" s="237" t="str">
        <f>name!E$11</f>
        <v>Process, plant and machine operatives</v>
      </c>
      <c r="B543" s="302">
        <v>0.27574329860081781</v>
      </c>
      <c r="C543" s="302">
        <v>3.1233919398832244</v>
      </c>
      <c r="D543" s="302">
        <f t="shared" si="202"/>
        <v>3.3991352384840421</v>
      </c>
      <c r="E543" s="303"/>
      <c r="F543" s="302">
        <v>0.18632839701071402</v>
      </c>
      <c r="G543" s="302">
        <v>2.5068097518223214</v>
      </c>
      <c r="H543" s="302">
        <f t="shared" si="203"/>
        <v>2.6931381488330355</v>
      </c>
      <c r="I543" s="303"/>
      <c r="J543" s="302">
        <v>0.3429392402664041</v>
      </c>
      <c r="K543" s="302">
        <v>3.0581299082336462</v>
      </c>
      <c r="L543" s="302">
        <f t="shared" si="204"/>
        <v>3.4010691485000502</v>
      </c>
      <c r="M543" s="236"/>
      <c r="N543" s="236"/>
    </row>
    <row r="544" spans="1:14" x14ac:dyDescent="0.2">
      <c r="A544" s="237" t="str">
        <f>name!E$12</f>
        <v>Elementary occupations</v>
      </c>
      <c r="B544" s="302">
        <v>0.57448601364559349</v>
      </c>
      <c r="C544" s="302">
        <v>1.3984033109504794</v>
      </c>
      <c r="D544" s="302">
        <f t="shared" si="202"/>
        <v>1.972889324596073</v>
      </c>
      <c r="E544" s="303"/>
      <c r="F544" s="302">
        <v>0.39413726739073734</v>
      </c>
      <c r="G544" s="302">
        <v>1.1060070990977655</v>
      </c>
      <c r="H544" s="302">
        <f t="shared" si="203"/>
        <v>1.5001443664885028</v>
      </c>
      <c r="I544" s="303"/>
      <c r="J544" s="302">
        <v>0.36520788982877112</v>
      </c>
      <c r="K544" s="302">
        <v>0.99665313163449387</v>
      </c>
      <c r="L544" s="302">
        <f t="shared" si="204"/>
        <v>1.3618610214632649</v>
      </c>
      <c r="M544" s="236"/>
      <c r="N544" s="236"/>
    </row>
    <row r="545" spans="1:14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  <c r="N545" s="236"/>
    </row>
    <row r="546" spans="1:14" x14ac:dyDescent="0.2">
      <c r="A546" s="244" t="s">
        <v>32</v>
      </c>
      <c r="B546" s="311">
        <f>SUM(B536:B544)</f>
        <v>8.1600000001981439</v>
      </c>
      <c r="C546" s="311">
        <f t="shared" ref="C546:D546" si="205">SUM(C536:C544)</f>
        <v>35.588999999616902</v>
      </c>
      <c r="D546" s="311">
        <f t="shared" si="205"/>
        <v>43.748999999815048</v>
      </c>
      <c r="E546" s="311"/>
      <c r="F546" s="311">
        <f t="shared" ref="F546:H546" si="206">SUM(F536:F544)</f>
        <v>6.8510000001194866</v>
      </c>
      <c r="G546" s="311">
        <f t="shared" si="206"/>
        <v>33.96600000019086</v>
      </c>
      <c r="H546" s="311">
        <f t="shared" si="206"/>
        <v>40.817000000310344</v>
      </c>
      <c r="I546" s="311"/>
      <c r="J546" s="311">
        <f t="shared" ref="J546:L546" si="207">SUM(J536:J544)</f>
        <v>7.5249999998973056</v>
      </c>
      <c r="K546" s="311">
        <f t="shared" si="207"/>
        <v>37.713000000271428</v>
      </c>
      <c r="L546" s="311">
        <f t="shared" si="207"/>
        <v>45.238000000168725</v>
      </c>
      <c r="M546" s="236"/>
      <c r="N546" s="236"/>
    </row>
    <row r="547" spans="1:14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  <c r="N547" s="236"/>
    </row>
    <row r="548" spans="1:14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56" t="s">
        <v>35</v>
      </c>
      <c r="M548" s="236"/>
      <c r="N548" s="236"/>
    </row>
    <row r="549" spans="1:14" x14ac:dyDescent="0.2">
      <c r="A549" s="242"/>
      <c r="B549" s="250"/>
      <c r="C549" s="250"/>
      <c r="D549" s="250"/>
      <c r="E549" s="250"/>
      <c r="F549" s="250"/>
      <c r="G549" s="250"/>
      <c r="H549" s="250"/>
      <c r="I549" s="250"/>
      <c r="J549" s="250"/>
      <c r="K549" s="250"/>
      <c r="L549" s="236"/>
      <c r="M549" s="236"/>
      <c r="N549" s="236"/>
    </row>
    <row r="550" spans="1:14" x14ac:dyDescent="0.2">
      <c r="A550" s="241" t="str">
        <f>name!A35</f>
        <v>Wholesale trade</v>
      </c>
      <c r="B550" s="372">
        <f>B$6</f>
        <v>2015</v>
      </c>
      <c r="C550" s="372"/>
      <c r="D550" s="372"/>
      <c r="E550" s="253"/>
      <c r="F550" s="372">
        <f>F533</f>
        <v>2020</v>
      </c>
      <c r="G550" s="372"/>
      <c r="H550" s="372"/>
      <c r="I550" s="253"/>
      <c r="J550" s="372">
        <f>J533</f>
        <v>2035</v>
      </c>
      <c r="K550" s="372"/>
      <c r="L550" s="372"/>
      <c r="M550" s="236"/>
      <c r="N550" s="236"/>
    </row>
    <row r="551" spans="1:14" x14ac:dyDescent="0.2">
      <c r="A551" s="254"/>
      <c r="B551" s="255" t="s">
        <v>352</v>
      </c>
      <c r="C551" s="255" t="s">
        <v>353</v>
      </c>
      <c r="D551" s="255" t="s">
        <v>32</v>
      </c>
      <c r="E551" s="255"/>
      <c r="F551" s="255" t="s">
        <v>352</v>
      </c>
      <c r="G551" s="255" t="s">
        <v>353</v>
      </c>
      <c r="H551" s="255" t="s">
        <v>32</v>
      </c>
      <c r="I551" s="255"/>
      <c r="J551" s="255" t="s">
        <v>352</v>
      </c>
      <c r="K551" s="255" t="s">
        <v>353</v>
      </c>
      <c r="L551" s="255" t="s">
        <v>32</v>
      </c>
      <c r="M551" s="236"/>
      <c r="N551" s="236"/>
    </row>
    <row r="552" spans="1:14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  <c r="N552" s="236"/>
    </row>
    <row r="553" spans="1:14" x14ac:dyDescent="0.2">
      <c r="A553" s="237" t="str">
        <f>name!E$4</f>
        <v>Managers, directors and senior officials</v>
      </c>
      <c r="B553" s="302">
        <v>2.3818633133763703</v>
      </c>
      <c r="C553" s="302">
        <v>12.245540417732506</v>
      </c>
      <c r="D553" s="302">
        <f>SUM(B553:C553)</f>
        <v>14.627403731108878</v>
      </c>
      <c r="E553" s="303"/>
      <c r="F553" s="302">
        <v>3.6331161997645518</v>
      </c>
      <c r="G553" s="302">
        <v>18.822585004608236</v>
      </c>
      <c r="H553" s="302">
        <f>SUM(F553:G553)</f>
        <v>22.455701204372787</v>
      </c>
      <c r="I553" s="303"/>
      <c r="J553" s="302">
        <v>4.6642875185474058</v>
      </c>
      <c r="K553" s="302">
        <v>19.21084545313078</v>
      </c>
      <c r="L553" s="302">
        <f>SUM(J553:K553)</f>
        <v>23.875132971678184</v>
      </c>
      <c r="M553" s="236"/>
      <c r="N553" s="236"/>
    </row>
    <row r="554" spans="1:14" x14ac:dyDescent="0.2">
      <c r="A554" s="237" t="str">
        <f>name!E$5</f>
        <v>Professional occupations</v>
      </c>
      <c r="B554" s="302">
        <v>1.6677580842523352</v>
      </c>
      <c r="C554" s="302">
        <v>6.3960178782847414</v>
      </c>
      <c r="D554" s="302">
        <f t="shared" ref="D554:D561" si="208">SUM(B554:C554)</f>
        <v>8.0637759625370773</v>
      </c>
      <c r="E554" s="303"/>
      <c r="F554" s="302">
        <v>3.1432183521289425</v>
      </c>
      <c r="G554" s="302">
        <v>10.382672916477681</v>
      </c>
      <c r="H554" s="302">
        <f t="shared" ref="H554:H561" si="209">SUM(F554:G554)</f>
        <v>13.525891268606623</v>
      </c>
      <c r="I554" s="303"/>
      <c r="J554" s="302">
        <v>4.2717955751360304</v>
      </c>
      <c r="K554" s="302">
        <v>12.307164594367508</v>
      </c>
      <c r="L554" s="302">
        <f t="shared" ref="L554:L561" si="210">SUM(J554:K554)</f>
        <v>16.578960169503539</v>
      </c>
      <c r="M554" s="236"/>
      <c r="N554" s="236"/>
    </row>
    <row r="555" spans="1:14" x14ac:dyDescent="0.2">
      <c r="A555" s="237" t="str">
        <f>name!E$6</f>
        <v>Associate professional occupations</v>
      </c>
      <c r="B555" s="302">
        <v>3.4872539955908572</v>
      </c>
      <c r="C555" s="302">
        <v>7.2863556291798517</v>
      </c>
      <c r="D555" s="302">
        <f t="shared" si="208"/>
        <v>10.773609624770708</v>
      </c>
      <c r="E555" s="303"/>
      <c r="F555" s="302">
        <v>5.3015904962089495</v>
      </c>
      <c r="G555" s="302">
        <v>10.49147641341307</v>
      </c>
      <c r="H555" s="302">
        <f t="shared" si="209"/>
        <v>15.79306690962202</v>
      </c>
      <c r="I555" s="303"/>
      <c r="J555" s="302">
        <v>5.7733545327863522</v>
      </c>
      <c r="K555" s="302">
        <v>9.980518288012048</v>
      </c>
      <c r="L555" s="302">
        <f t="shared" si="210"/>
        <v>15.753872820798399</v>
      </c>
      <c r="M555" s="236"/>
      <c r="N555" s="236"/>
    </row>
    <row r="556" spans="1:14" x14ac:dyDescent="0.2">
      <c r="A556" s="237" t="str">
        <f>name!E$7</f>
        <v>Administrative and secretarial occupations</v>
      </c>
      <c r="B556" s="302">
        <v>9.4649392390891851</v>
      </c>
      <c r="C556" s="302">
        <v>4.1774727828576879</v>
      </c>
      <c r="D556" s="302">
        <f t="shared" si="208"/>
        <v>13.642412021946873</v>
      </c>
      <c r="E556" s="303"/>
      <c r="F556" s="302">
        <v>12.00297880269296</v>
      </c>
      <c r="G556" s="302">
        <v>5.7242087657096219</v>
      </c>
      <c r="H556" s="302">
        <f t="shared" si="209"/>
        <v>17.727187568402581</v>
      </c>
      <c r="I556" s="303"/>
      <c r="J556" s="302">
        <v>10.49178026126884</v>
      </c>
      <c r="K556" s="302">
        <v>6.1920144031451274</v>
      </c>
      <c r="L556" s="302">
        <f t="shared" si="210"/>
        <v>16.683794664413966</v>
      </c>
      <c r="M556" s="236"/>
      <c r="N556" s="236"/>
    </row>
    <row r="557" spans="1:14" x14ac:dyDescent="0.2">
      <c r="A557" s="237" t="str">
        <f>name!E$8</f>
        <v>Skilled trades occupations</v>
      </c>
      <c r="B557" s="302">
        <v>0.51555361839232794</v>
      </c>
      <c r="C557" s="302">
        <v>5.918875018789338</v>
      </c>
      <c r="D557" s="302">
        <f t="shared" si="208"/>
        <v>6.4344286371816661</v>
      </c>
      <c r="E557" s="303"/>
      <c r="F557" s="302">
        <v>0.57259685227014845</v>
      </c>
      <c r="G557" s="302">
        <v>6.3482857705901656</v>
      </c>
      <c r="H557" s="302">
        <f t="shared" si="209"/>
        <v>6.9208826228603142</v>
      </c>
      <c r="I557" s="303"/>
      <c r="J557" s="302">
        <v>0.8287126327211326</v>
      </c>
      <c r="K557" s="302">
        <v>6.1120038387426243</v>
      </c>
      <c r="L557" s="302">
        <f t="shared" si="210"/>
        <v>6.940716471463757</v>
      </c>
      <c r="M557" s="236"/>
      <c r="N557" s="236"/>
    </row>
    <row r="558" spans="1:14" x14ac:dyDescent="0.2">
      <c r="A558" s="237" t="str">
        <f>name!E$9</f>
        <v>Caring, leisure and other service occupations</v>
      </c>
      <c r="B558" s="302">
        <v>0.22488788179649133</v>
      </c>
      <c r="C558" s="302">
        <v>0.14217112416285366</v>
      </c>
      <c r="D558" s="302">
        <f t="shared" si="208"/>
        <v>0.36705900595934499</v>
      </c>
      <c r="E558" s="303"/>
      <c r="F558" s="302">
        <v>0.24888500125275964</v>
      </c>
      <c r="G558" s="302">
        <v>0.19463008980242452</v>
      </c>
      <c r="H558" s="302">
        <f t="shared" si="209"/>
        <v>0.44351509105518416</v>
      </c>
      <c r="I558" s="303"/>
      <c r="J558" s="302">
        <v>0.29229741133657999</v>
      </c>
      <c r="K558" s="302">
        <v>0.21395826865047884</v>
      </c>
      <c r="L558" s="302">
        <f t="shared" si="210"/>
        <v>0.50625567998705878</v>
      </c>
      <c r="M558" s="236"/>
      <c r="N558" s="236"/>
    </row>
    <row r="559" spans="1:14" x14ac:dyDescent="0.2">
      <c r="A559" s="237" t="str">
        <f>name!E$10</f>
        <v>Sales and customer service occupations</v>
      </c>
      <c r="B559" s="302">
        <v>5.4925205775635266</v>
      </c>
      <c r="C559" s="302">
        <v>3.834422283877605</v>
      </c>
      <c r="D559" s="302">
        <f t="shared" si="208"/>
        <v>9.3269428614411325</v>
      </c>
      <c r="E559" s="303"/>
      <c r="F559" s="302">
        <v>6.3339934433479579</v>
      </c>
      <c r="G559" s="302">
        <v>4.6134906824743105</v>
      </c>
      <c r="H559" s="302">
        <f t="shared" si="209"/>
        <v>10.947484125822267</v>
      </c>
      <c r="I559" s="303"/>
      <c r="J559" s="302">
        <v>6.6657495265753655</v>
      </c>
      <c r="K559" s="302">
        <v>4.3459353878448219</v>
      </c>
      <c r="L559" s="302">
        <f t="shared" si="210"/>
        <v>11.011684914420186</v>
      </c>
      <c r="M559" s="236"/>
      <c r="N559" s="236"/>
    </row>
    <row r="560" spans="1:14" x14ac:dyDescent="0.2">
      <c r="A560" s="237" t="str">
        <f>name!E$11</f>
        <v>Process, plant and machine operatives</v>
      </c>
      <c r="B560" s="302">
        <v>4.5407681637901547</v>
      </c>
      <c r="C560" s="302">
        <v>13.680944587135436</v>
      </c>
      <c r="D560" s="302">
        <f t="shared" si="208"/>
        <v>18.22171275092559</v>
      </c>
      <c r="E560" s="303"/>
      <c r="F560" s="302">
        <v>4.6924752593493348</v>
      </c>
      <c r="G560" s="302">
        <v>13.880437125131841</v>
      </c>
      <c r="H560" s="302">
        <f t="shared" si="209"/>
        <v>18.572912384481178</v>
      </c>
      <c r="I560" s="303"/>
      <c r="J560" s="302">
        <v>7.6199131306255845</v>
      </c>
      <c r="K560" s="302">
        <v>14.643620955261921</v>
      </c>
      <c r="L560" s="302">
        <f t="shared" si="210"/>
        <v>22.263534085887507</v>
      </c>
      <c r="M560" s="236"/>
      <c r="N560" s="236"/>
    </row>
    <row r="561" spans="1:14" x14ac:dyDescent="0.2">
      <c r="A561" s="237" t="str">
        <f>name!E$12</f>
        <v>Elementary occupations</v>
      </c>
      <c r="B561" s="302">
        <v>5.5974551267249035</v>
      </c>
      <c r="C561" s="302">
        <v>7.7802002774391239</v>
      </c>
      <c r="D561" s="302">
        <f t="shared" si="208"/>
        <v>13.377655404164027</v>
      </c>
      <c r="E561" s="303"/>
      <c r="F561" s="302">
        <v>5.6781455934372902</v>
      </c>
      <c r="G561" s="302">
        <v>7.2592132323588814</v>
      </c>
      <c r="H561" s="302">
        <f t="shared" si="209"/>
        <v>12.937358825796171</v>
      </c>
      <c r="I561" s="303"/>
      <c r="J561" s="302">
        <v>6.1771094102811457</v>
      </c>
      <c r="K561" s="302">
        <v>4.5669388115012941</v>
      </c>
      <c r="L561" s="302">
        <f t="shared" si="210"/>
        <v>10.744048221782439</v>
      </c>
      <c r="M561" s="236"/>
      <c r="N561" s="236"/>
    </row>
    <row r="562" spans="1:14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  <c r="N562" s="236"/>
    </row>
    <row r="563" spans="1:14" x14ac:dyDescent="0.2">
      <c r="A563" s="244" t="s">
        <v>32</v>
      </c>
      <c r="B563" s="311">
        <f>SUM(B553:B561)</f>
        <v>33.373000000576148</v>
      </c>
      <c r="C563" s="311">
        <f t="shared" ref="C563:D563" si="211">SUM(C553:C561)</f>
        <v>61.461999999459145</v>
      </c>
      <c r="D563" s="311">
        <f t="shared" si="211"/>
        <v>94.835000000035308</v>
      </c>
      <c r="E563" s="311"/>
      <c r="F563" s="311">
        <f t="shared" ref="F563:H563" si="212">SUM(F553:F561)</f>
        <v>41.607000000452892</v>
      </c>
      <c r="G563" s="311">
        <f t="shared" si="212"/>
        <v>77.71700000056623</v>
      </c>
      <c r="H563" s="311">
        <f t="shared" si="212"/>
        <v>119.32400000101913</v>
      </c>
      <c r="I563" s="311"/>
      <c r="J563" s="311">
        <f t="shared" ref="J563:L563" si="213">SUM(J553:J561)</f>
        <v>46.78499999927844</v>
      </c>
      <c r="K563" s="311">
        <f t="shared" si="213"/>
        <v>77.573000000656606</v>
      </c>
      <c r="L563" s="311">
        <f t="shared" si="213"/>
        <v>124.35799999993503</v>
      </c>
      <c r="M563" s="236"/>
      <c r="N563" s="236"/>
    </row>
    <row r="564" spans="1:14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  <c r="N564" s="236"/>
    </row>
    <row r="565" spans="1:14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56" t="s">
        <v>35</v>
      </c>
      <c r="M565" s="236"/>
      <c r="N565" s="236"/>
    </row>
    <row r="566" spans="1:14" x14ac:dyDescent="0.2">
      <c r="A566" s="242"/>
      <c r="B566" s="250"/>
      <c r="C566" s="250"/>
      <c r="D566" s="250"/>
      <c r="E566" s="250"/>
      <c r="F566" s="250"/>
      <c r="G566" s="250"/>
      <c r="H566" s="250"/>
      <c r="I566" s="250"/>
      <c r="J566" s="250"/>
      <c r="K566" s="250"/>
      <c r="L566" s="236"/>
      <c r="M566" s="236"/>
      <c r="N566" s="236"/>
    </row>
    <row r="567" spans="1:14" x14ac:dyDescent="0.2">
      <c r="A567" s="241" t="str">
        <f>name!A36</f>
        <v>Retail trade</v>
      </c>
      <c r="B567" s="372">
        <f>B$6</f>
        <v>2015</v>
      </c>
      <c r="C567" s="372"/>
      <c r="D567" s="372"/>
      <c r="E567" s="253"/>
      <c r="F567" s="372">
        <f>F550</f>
        <v>2020</v>
      </c>
      <c r="G567" s="372"/>
      <c r="H567" s="372"/>
      <c r="I567" s="253"/>
      <c r="J567" s="372">
        <f>J550</f>
        <v>2035</v>
      </c>
      <c r="K567" s="372"/>
      <c r="L567" s="372"/>
      <c r="M567" s="236"/>
      <c r="N567" s="236"/>
    </row>
    <row r="568" spans="1:14" x14ac:dyDescent="0.2">
      <c r="A568" s="254"/>
      <c r="B568" s="255" t="s">
        <v>352</v>
      </c>
      <c r="C568" s="255" t="s">
        <v>353</v>
      </c>
      <c r="D568" s="255" t="s">
        <v>32</v>
      </c>
      <c r="E568" s="255"/>
      <c r="F568" s="255" t="s">
        <v>352</v>
      </c>
      <c r="G568" s="255" t="s">
        <v>353</v>
      </c>
      <c r="H568" s="255" t="s">
        <v>32</v>
      </c>
      <c r="I568" s="255"/>
      <c r="J568" s="255" t="s">
        <v>352</v>
      </c>
      <c r="K568" s="255" t="s">
        <v>353</v>
      </c>
      <c r="L568" s="255" t="s">
        <v>32</v>
      </c>
      <c r="M568" s="236"/>
      <c r="N568" s="236"/>
    </row>
    <row r="569" spans="1:14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  <c r="N569" s="236"/>
    </row>
    <row r="570" spans="1:14" x14ac:dyDescent="0.2">
      <c r="A570" s="237" t="str">
        <f>name!E$4</f>
        <v>Managers, directors and senior officials</v>
      </c>
      <c r="B570" s="302">
        <v>8.2912807056147457</v>
      </c>
      <c r="C570" s="302">
        <v>13.770522822500748</v>
      </c>
      <c r="D570" s="302">
        <f>SUM(B570:C570)</f>
        <v>22.061803528115494</v>
      </c>
      <c r="E570" s="303"/>
      <c r="F570" s="302">
        <v>9.0857555929916689</v>
      </c>
      <c r="G570" s="302">
        <v>14.617817438576958</v>
      </c>
      <c r="H570" s="302">
        <f>SUM(F570:G570)</f>
        <v>23.703573031568627</v>
      </c>
      <c r="I570" s="303"/>
      <c r="J570" s="302">
        <v>12.744930963716106</v>
      </c>
      <c r="K570" s="302">
        <v>17.947144042615939</v>
      </c>
      <c r="L570" s="302">
        <f>SUM(J570:K570)</f>
        <v>30.692075006332047</v>
      </c>
      <c r="M570" s="236"/>
      <c r="N570" s="236"/>
    </row>
    <row r="571" spans="1:14" x14ac:dyDescent="0.2">
      <c r="A571" s="237" t="str">
        <f>name!E$5</f>
        <v>Professional occupations</v>
      </c>
      <c r="B571" s="302">
        <v>6.1870830454243242</v>
      </c>
      <c r="C571" s="302">
        <v>8.2559845767242628</v>
      </c>
      <c r="D571" s="302">
        <f t="shared" ref="D571:D578" si="214">SUM(B571:C571)</f>
        <v>14.443067622148586</v>
      </c>
      <c r="E571" s="303"/>
      <c r="F571" s="302">
        <v>7.3829676207377197</v>
      </c>
      <c r="G571" s="302">
        <v>9.4605329996924361</v>
      </c>
      <c r="H571" s="302">
        <f t="shared" ref="H571:H578" si="215">SUM(F571:G571)</f>
        <v>16.843500620430156</v>
      </c>
      <c r="I571" s="303"/>
      <c r="J571" s="302">
        <v>9.7891856297470881</v>
      </c>
      <c r="K571" s="302">
        <v>13.012312913192972</v>
      </c>
      <c r="L571" s="302">
        <f t="shared" ref="L571:L578" si="216">SUM(J571:K571)</f>
        <v>22.80149854294006</v>
      </c>
      <c r="M571" s="236"/>
      <c r="N571" s="236"/>
    </row>
    <row r="572" spans="1:14" x14ac:dyDescent="0.2">
      <c r="A572" s="237" t="str">
        <f>name!E$6</f>
        <v>Associate professional occupations</v>
      </c>
      <c r="B572" s="302">
        <v>7.2676010802317128</v>
      </c>
      <c r="C572" s="302">
        <v>6.2697319572755088</v>
      </c>
      <c r="D572" s="302">
        <f t="shared" si="214"/>
        <v>13.537333037507221</v>
      </c>
      <c r="E572" s="303"/>
      <c r="F572" s="302">
        <v>7.602800721849805</v>
      </c>
      <c r="G572" s="302">
        <v>6.5464912474758075</v>
      </c>
      <c r="H572" s="302">
        <f t="shared" si="215"/>
        <v>14.149291969325613</v>
      </c>
      <c r="I572" s="303"/>
      <c r="J572" s="302">
        <v>8.6946408381117859</v>
      </c>
      <c r="K572" s="302">
        <v>7.0732948784523488</v>
      </c>
      <c r="L572" s="302">
        <f t="shared" si="216"/>
        <v>15.767935716564136</v>
      </c>
      <c r="M572" s="236"/>
      <c r="N572" s="236"/>
    </row>
    <row r="573" spans="1:14" x14ac:dyDescent="0.2">
      <c r="A573" s="237" t="str">
        <f>name!E$7</f>
        <v>Administrative and secretarial occupations</v>
      </c>
      <c r="B573" s="302">
        <v>10.738602686539954</v>
      </c>
      <c r="C573" s="302">
        <v>4.0303762617213756</v>
      </c>
      <c r="D573" s="302">
        <f t="shared" si="214"/>
        <v>14.76897894826133</v>
      </c>
      <c r="E573" s="303"/>
      <c r="F573" s="302">
        <v>9.9445795793502683</v>
      </c>
      <c r="G573" s="302">
        <v>4.1483825966934198</v>
      </c>
      <c r="H573" s="302">
        <f t="shared" si="215"/>
        <v>14.092962176043688</v>
      </c>
      <c r="I573" s="303"/>
      <c r="J573" s="302">
        <v>10.461940697590087</v>
      </c>
      <c r="K573" s="302">
        <v>5.3790794687792438</v>
      </c>
      <c r="L573" s="302">
        <f t="shared" si="216"/>
        <v>15.841020166369331</v>
      </c>
      <c r="M573" s="236"/>
      <c r="N573" s="236"/>
    </row>
    <row r="574" spans="1:14" x14ac:dyDescent="0.2">
      <c r="A574" s="237" t="str">
        <f>name!E$8</f>
        <v>Skilled trades occupations</v>
      </c>
      <c r="B574" s="302">
        <v>3.0056603253706133</v>
      </c>
      <c r="C574" s="302">
        <v>7.6992178558662179</v>
      </c>
      <c r="D574" s="302">
        <f t="shared" si="214"/>
        <v>10.704878181236831</v>
      </c>
      <c r="E574" s="303"/>
      <c r="F574" s="302">
        <v>2.4202583829223578</v>
      </c>
      <c r="G574" s="302">
        <v>6.0149141484633359</v>
      </c>
      <c r="H574" s="302">
        <f t="shared" si="215"/>
        <v>8.4351725313856942</v>
      </c>
      <c r="I574" s="303"/>
      <c r="J574" s="302">
        <v>2.9396809829754726</v>
      </c>
      <c r="K574" s="302">
        <v>6.6044528172581405</v>
      </c>
      <c r="L574" s="302">
        <f t="shared" si="216"/>
        <v>9.5441338002336131</v>
      </c>
      <c r="M574" s="236"/>
      <c r="N574" s="236"/>
    </row>
    <row r="575" spans="1:14" x14ac:dyDescent="0.2">
      <c r="A575" s="237" t="str">
        <f>name!E$9</f>
        <v>Caring, leisure and other service occupations</v>
      </c>
      <c r="B575" s="302">
        <v>0.78685033085603995</v>
      </c>
      <c r="C575" s="302">
        <v>0.39672428548866301</v>
      </c>
      <c r="D575" s="302">
        <f t="shared" si="214"/>
        <v>1.183574616344703</v>
      </c>
      <c r="E575" s="303"/>
      <c r="F575" s="302">
        <v>0.65993607064159776</v>
      </c>
      <c r="G575" s="302">
        <v>0.4096819811449221</v>
      </c>
      <c r="H575" s="302">
        <f t="shared" si="215"/>
        <v>1.0696180517865199</v>
      </c>
      <c r="I575" s="303"/>
      <c r="J575" s="302">
        <v>0.86945610234134929</v>
      </c>
      <c r="K575" s="302">
        <v>0.54500004381890321</v>
      </c>
      <c r="L575" s="302">
        <f t="shared" si="216"/>
        <v>1.4144561461602525</v>
      </c>
      <c r="M575" s="236"/>
      <c r="N575" s="236"/>
    </row>
    <row r="576" spans="1:14" x14ac:dyDescent="0.2">
      <c r="A576" s="237" t="str">
        <f>name!E$10</f>
        <v>Sales and customer service occupations</v>
      </c>
      <c r="B576" s="302">
        <v>86.079964159458001</v>
      </c>
      <c r="C576" s="302">
        <v>32.401447220595998</v>
      </c>
      <c r="D576" s="302">
        <f t="shared" si="214"/>
        <v>118.481411380054</v>
      </c>
      <c r="E576" s="303"/>
      <c r="F576" s="302">
        <v>74.158689652440572</v>
      </c>
      <c r="G576" s="302">
        <v>29.827646634603887</v>
      </c>
      <c r="H576" s="302">
        <f t="shared" si="215"/>
        <v>103.98633628704445</v>
      </c>
      <c r="I576" s="303"/>
      <c r="J576" s="302">
        <v>63.951024983119218</v>
      </c>
      <c r="K576" s="302">
        <v>27.742959431601594</v>
      </c>
      <c r="L576" s="302">
        <f t="shared" si="216"/>
        <v>91.693984414720816</v>
      </c>
      <c r="M576" s="236"/>
      <c r="N576" s="236"/>
    </row>
    <row r="577" spans="1:14" x14ac:dyDescent="0.2">
      <c r="A577" s="237" t="str">
        <f>name!E$11</f>
        <v>Process, plant and machine operatives</v>
      </c>
      <c r="B577" s="302">
        <v>2.7633150216002429</v>
      </c>
      <c r="C577" s="302">
        <v>5.5846730931189033</v>
      </c>
      <c r="D577" s="302">
        <f t="shared" si="214"/>
        <v>8.347988114719147</v>
      </c>
      <c r="E577" s="303"/>
      <c r="F577" s="302">
        <v>2.4167527593149818</v>
      </c>
      <c r="G577" s="302">
        <v>4.5682287239399226</v>
      </c>
      <c r="H577" s="302">
        <f t="shared" si="215"/>
        <v>6.984981483254904</v>
      </c>
      <c r="I577" s="303"/>
      <c r="J577" s="302">
        <v>4.0361618946801761</v>
      </c>
      <c r="K577" s="302">
        <v>5.2657717019585739</v>
      </c>
      <c r="L577" s="302">
        <f t="shared" si="216"/>
        <v>9.3019335966387509</v>
      </c>
      <c r="M577" s="236"/>
      <c r="N577" s="236"/>
    </row>
    <row r="578" spans="1:14" x14ac:dyDescent="0.2">
      <c r="A578" s="237" t="str">
        <f>name!E$12</f>
        <v>Elementary occupations</v>
      </c>
      <c r="B578" s="302">
        <v>10.48564265094592</v>
      </c>
      <c r="C578" s="302">
        <v>11.025321926467694</v>
      </c>
      <c r="D578" s="302">
        <f t="shared" si="214"/>
        <v>21.510964577413613</v>
      </c>
      <c r="E578" s="303"/>
      <c r="F578" s="302">
        <v>8.3592596245196695</v>
      </c>
      <c r="G578" s="302">
        <v>7.9493042297751106</v>
      </c>
      <c r="H578" s="302">
        <f t="shared" si="215"/>
        <v>16.308563854294782</v>
      </c>
      <c r="I578" s="303"/>
      <c r="J578" s="302">
        <v>7.9649779061751103</v>
      </c>
      <c r="K578" s="302">
        <v>6.6329847028738529</v>
      </c>
      <c r="L578" s="302">
        <f t="shared" si="216"/>
        <v>14.597962609048963</v>
      </c>
      <c r="M578" s="236"/>
      <c r="N578" s="236"/>
    </row>
    <row r="579" spans="1:14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  <c r="N579" s="236"/>
    </row>
    <row r="580" spans="1:14" x14ac:dyDescent="0.2">
      <c r="A580" s="244" t="s">
        <v>32</v>
      </c>
      <c r="B580" s="311">
        <f>SUM(B570:B578)</f>
        <v>135.60600000604157</v>
      </c>
      <c r="C580" s="311">
        <f t="shared" ref="C580:D580" si="217">SUM(C570:C578)</f>
        <v>89.433999999759379</v>
      </c>
      <c r="D580" s="311">
        <f t="shared" si="217"/>
        <v>225.04000000580092</v>
      </c>
      <c r="E580" s="311"/>
      <c r="F580" s="311">
        <f t="shared" ref="F580:H580" si="218">SUM(F570:F578)</f>
        <v>122.03100000476864</v>
      </c>
      <c r="G580" s="311">
        <f t="shared" si="218"/>
        <v>83.543000000365794</v>
      </c>
      <c r="H580" s="311">
        <f t="shared" si="218"/>
        <v>205.57400000513445</v>
      </c>
      <c r="I580" s="311"/>
      <c r="J580" s="311">
        <f t="shared" ref="J580:L580" si="219">SUM(J570:J578)</f>
        <v>121.4519999984564</v>
      </c>
      <c r="K580" s="311">
        <f t="shared" si="219"/>
        <v>90.203000000551569</v>
      </c>
      <c r="L580" s="311">
        <f t="shared" si="219"/>
        <v>211.65499999900794</v>
      </c>
      <c r="M580" s="236"/>
      <c r="N580" s="236"/>
    </row>
    <row r="581" spans="1:14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  <c r="N581" s="236"/>
    </row>
    <row r="582" spans="1:14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56" t="s">
        <v>35</v>
      </c>
      <c r="M582" s="236"/>
      <c r="N582" s="236"/>
    </row>
    <row r="583" spans="1:14" x14ac:dyDescent="0.2">
      <c r="A583" s="242"/>
      <c r="B583" s="250"/>
      <c r="C583" s="250"/>
      <c r="D583" s="250"/>
      <c r="E583" s="250"/>
      <c r="F583" s="250"/>
      <c r="G583" s="250"/>
      <c r="H583" s="250"/>
      <c r="I583" s="250"/>
      <c r="J583" s="250"/>
      <c r="K583" s="250"/>
      <c r="L583" s="236"/>
      <c r="M583" s="236"/>
      <c r="N583" s="236"/>
    </row>
    <row r="584" spans="1:14" x14ac:dyDescent="0.2">
      <c r="A584" s="241" t="str">
        <f>name!A37</f>
        <v>Land transport, etc</v>
      </c>
      <c r="B584" s="372">
        <f>B$6</f>
        <v>2015</v>
      </c>
      <c r="C584" s="372"/>
      <c r="D584" s="372"/>
      <c r="E584" s="253"/>
      <c r="F584" s="372">
        <f>F567</f>
        <v>2020</v>
      </c>
      <c r="G584" s="372"/>
      <c r="H584" s="372"/>
      <c r="I584" s="253"/>
      <c r="J584" s="372">
        <f>J567</f>
        <v>2035</v>
      </c>
      <c r="K584" s="372"/>
      <c r="L584" s="372"/>
      <c r="M584" s="236"/>
      <c r="N584" s="236"/>
    </row>
    <row r="585" spans="1:14" x14ac:dyDescent="0.2">
      <c r="A585" s="254"/>
      <c r="B585" s="255" t="s">
        <v>352</v>
      </c>
      <c r="C585" s="255" t="s">
        <v>353</v>
      </c>
      <c r="D585" s="255" t="s">
        <v>32</v>
      </c>
      <c r="E585" s="255"/>
      <c r="F585" s="255" t="s">
        <v>352</v>
      </c>
      <c r="G585" s="255" t="s">
        <v>353</v>
      </c>
      <c r="H585" s="255" t="s">
        <v>32</v>
      </c>
      <c r="I585" s="255"/>
      <c r="J585" s="255" t="s">
        <v>352</v>
      </c>
      <c r="K585" s="255" t="s">
        <v>353</v>
      </c>
      <c r="L585" s="255" t="s">
        <v>32</v>
      </c>
      <c r="M585" s="236"/>
      <c r="N585" s="236"/>
    </row>
    <row r="586" spans="1:14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  <c r="N586" s="236"/>
    </row>
    <row r="587" spans="1:14" x14ac:dyDescent="0.2">
      <c r="A587" s="237" t="str">
        <f>name!E$4</f>
        <v>Managers, directors and senior officials</v>
      </c>
      <c r="B587" s="302">
        <v>0.40679899155456883</v>
      </c>
      <c r="C587" s="302">
        <v>2.6120736564950033</v>
      </c>
      <c r="D587" s="302">
        <f>SUM(B587:C587)</f>
        <v>3.0188726480495722</v>
      </c>
      <c r="E587" s="303"/>
      <c r="F587" s="302">
        <v>1.1060127304058152</v>
      </c>
      <c r="G587" s="302">
        <v>3.8131562360018796</v>
      </c>
      <c r="H587" s="302">
        <f>SUM(F587:G587)</f>
        <v>4.9191689664076943</v>
      </c>
      <c r="I587" s="303"/>
      <c r="J587" s="302">
        <v>1.2628294746274478</v>
      </c>
      <c r="K587" s="302">
        <v>3.9226521884950243</v>
      </c>
      <c r="L587" s="302">
        <f>SUM(J587:K587)</f>
        <v>5.1854816631224718</v>
      </c>
      <c r="M587" s="236"/>
      <c r="N587" s="236"/>
    </row>
    <row r="588" spans="1:14" x14ac:dyDescent="0.2">
      <c r="A588" s="237" t="str">
        <f>name!E$5</f>
        <v>Professional occupations</v>
      </c>
      <c r="B588" s="302">
        <v>0.44609685448030345</v>
      </c>
      <c r="C588" s="302">
        <v>1.6123294381695028</v>
      </c>
      <c r="D588" s="302">
        <f t="shared" ref="D588:D595" si="220">SUM(B588:C588)</f>
        <v>2.0584262926498065</v>
      </c>
      <c r="E588" s="303"/>
      <c r="F588" s="302">
        <v>1.0678680756197914</v>
      </c>
      <c r="G588" s="302">
        <v>2.6578734169777061</v>
      </c>
      <c r="H588" s="302">
        <f t="shared" ref="H588:H595" si="221">SUM(F588:G588)</f>
        <v>3.7257414925974972</v>
      </c>
      <c r="I588" s="303"/>
      <c r="J588" s="302">
        <v>1.2875108903430845</v>
      </c>
      <c r="K588" s="302">
        <v>2.9688956987216732</v>
      </c>
      <c r="L588" s="302">
        <f t="shared" ref="L588:L595" si="222">SUM(J588:K588)</f>
        <v>4.256406589064758</v>
      </c>
      <c r="M588" s="236"/>
      <c r="N588" s="236"/>
    </row>
    <row r="589" spans="1:14" x14ac:dyDescent="0.2">
      <c r="A589" s="237" t="str">
        <f>name!E$6</f>
        <v>Associate professional occupations</v>
      </c>
      <c r="B589" s="302">
        <v>0.53308402949118727</v>
      </c>
      <c r="C589" s="302">
        <v>1.6753412824280571</v>
      </c>
      <c r="D589" s="302">
        <f t="shared" si="220"/>
        <v>2.2084253119192443</v>
      </c>
      <c r="E589" s="303"/>
      <c r="F589" s="302">
        <v>1.0542214031401196</v>
      </c>
      <c r="G589" s="302">
        <v>2.6404552105158503</v>
      </c>
      <c r="H589" s="302">
        <f t="shared" si="221"/>
        <v>3.6946766136559699</v>
      </c>
      <c r="I589" s="303"/>
      <c r="J589" s="302">
        <v>1.0385665234090051</v>
      </c>
      <c r="K589" s="302">
        <v>2.3172592023884877</v>
      </c>
      <c r="L589" s="302">
        <f t="shared" si="222"/>
        <v>3.3558257257974926</v>
      </c>
      <c r="M589" s="236"/>
      <c r="N589" s="236"/>
    </row>
    <row r="590" spans="1:14" x14ac:dyDescent="0.2">
      <c r="A590" s="237" t="str">
        <f>name!E$7</f>
        <v>Administrative and secretarial occupations</v>
      </c>
      <c r="B590" s="302">
        <v>2.7791656903187318</v>
      </c>
      <c r="C590" s="302">
        <v>1.8764944304303697</v>
      </c>
      <c r="D590" s="302">
        <f t="shared" si="220"/>
        <v>4.6556601207491015</v>
      </c>
      <c r="E590" s="303"/>
      <c r="F590" s="302">
        <v>4.5471005081949682</v>
      </c>
      <c r="G590" s="302">
        <v>2.8853184227407707</v>
      </c>
      <c r="H590" s="302">
        <f t="shared" si="221"/>
        <v>7.4324189309357394</v>
      </c>
      <c r="I590" s="303"/>
      <c r="J590" s="302">
        <v>3.5188790754494352</v>
      </c>
      <c r="K590" s="302">
        <v>2.8095521267461123</v>
      </c>
      <c r="L590" s="302">
        <f t="shared" si="222"/>
        <v>6.3284312021955476</v>
      </c>
      <c r="M590" s="236"/>
      <c r="N590" s="236"/>
    </row>
    <row r="591" spans="1:14" x14ac:dyDescent="0.2">
      <c r="A591" s="237" t="str">
        <f>name!E$8</f>
        <v>Skilled trades occupations</v>
      </c>
      <c r="B591" s="302">
        <v>8.1545102497379465E-2</v>
      </c>
      <c r="C591" s="302">
        <v>4.2289772898862648</v>
      </c>
      <c r="D591" s="302">
        <f t="shared" si="220"/>
        <v>4.3105223923836444</v>
      </c>
      <c r="E591" s="303"/>
      <c r="F591" s="302">
        <v>0.15331039007042466</v>
      </c>
      <c r="G591" s="302">
        <v>4.2880704565470404</v>
      </c>
      <c r="H591" s="302">
        <f t="shared" si="221"/>
        <v>4.4413808466174647</v>
      </c>
      <c r="I591" s="303"/>
      <c r="J591" s="302">
        <v>0.2405974404150906</v>
      </c>
      <c r="K591" s="302">
        <v>3.2813373367834093</v>
      </c>
      <c r="L591" s="302">
        <f t="shared" si="222"/>
        <v>3.5219347771985001</v>
      </c>
      <c r="M591" s="236"/>
      <c r="N591" s="236"/>
    </row>
    <row r="592" spans="1:14" x14ac:dyDescent="0.2">
      <c r="A592" s="237" t="str">
        <f>name!E$9</f>
        <v>Caring, leisure and other service occupations</v>
      </c>
      <c r="B592" s="302">
        <v>0.83273456400726509</v>
      </c>
      <c r="C592" s="302">
        <v>0.51677299948910516</v>
      </c>
      <c r="D592" s="302">
        <f t="shared" si="220"/>
        <v>1.3495075634963702</v>
      </c>
      <c r="E592" s="303"/>
      <c r="F592" s="302">
        <v>1.316598391240378</v>
      </c>
      <c r="G592" s="302">
        <v>0.74631097191948159</v>
      </c>
      <c r="H592" s="302">
        <f t="shared" si="221"/>
        <v>2.0629093631598598</v>
      </c>
      <c r="I592" s="303"/>
      <c r="J592" s="302">
        <v>1.1757540409915197</v>
      </c>
      <c r="K592" s="302">
        <v>0.77470481116764267</v>
      </c>
      <c r="L592" s="302">
        <f t="shared" si="222"/>
        <v>1.9504588521591624</v>
      </c>
      <c r="M592" s="236"/>
      <c r="N592" s="236"/>
    </row>
    <row r="593" spans="1:14" x14ac:dyDescent="0.2">
      <c r="A593" s="237" t="str">
        <f>name!E$10</f>
        <v>Sales and customer service occupations</v>
      </c>
      <c r="B593" s="302">
        <v>0.3901088502870696</v>
      </c>
      <c r="C593" s="302">
        <v>0.40585059247721406</v>
      </c>
      <c r="D593" s="302">
        <f t="shared" si="220"/>
        <v>0.79595944276428365</v>
      </c>
      <c r="E593" s="303"/>
      <c r="F593" s="302">
        <v>0.67504388880587163</v>
      </c>
      <c r="G593" s="302">
        <v>0.53381934969255507</v>
      </c>
      <c r="H593" s="302">
        <f t="shared" si="221"/>
        <v>1.2088632384984268</v>
      </c>
      <c r="I593" s="303"/>
      <c r="J593" s="302">
        <v>0.74028025525808672</v>
      </c>
      <c r="K593" s="302">
        <v>0.61840157200778489</v>
      </c>
      <c r="L593" s="302">
        <f t="shared" si="222"/>
        <v>1.3586818272658716</v>
      </c>
      <c r="M593" s="236"/>
      <c r="N593" s="236"/>
    </row>
    <row r="594" spans="1:14" x14ac:dyDescent="0.2">
      <c r="A594" s="237" t="str">
        <f>name!E$11</f>
        <v>Process, plant and machine operatives</v>
      </c>
      <c r="B594" s="302">
        <v>1.3335071160031404</v>
      </c>
      <c r="C594" s="302">
        <v>29.962939320847788</v>
      </c>
      <c r="D594" s="302">
        <f t="shared" si="220"/>
        <v>31.296446436850928</v>
      </c>
      <c r="E594" s="303"/>
      <c r="F594" s="302">
        <v>2.4449136020453177</v>
      </c>
      <c r="G594" s="302">
        <v>38.650369467266252</v>
      </c>
      <c r="H594" s="302">
        <f t="shared" si="221"/>
        <v>41.09528306931157</v>
      </c>
      <c r="I594" s="303"/>
      <c r="J594" s="302">
        <v>3.6006771950186596</v>
      </c>
      <c r="K594" s="302">
        <v>37.038212939321518</v>
      </c>
      <c r="L594" s="302">
        <f t="shared" si="222"/>
        <v>40.63889013434018</v>
      </c>
      <c r="M594" s="236"/>
      <c r="N594" s="236"/>
    </row>
    <row r="595" spans="1:14" x14ac:dyDescent="0.2">
      <c r="A595" s="237" t="str">
        <f>name!E$12</f>
        <v>Elementary occupations</v>
      </c>
      <c r="B595" s="302">
        <v>0.41795880145278014</v>
      </c>
      <c r="C595" s="302">
        <v>1.6762209891752005</v>
      </c>
      <c r="D595" s="302">
        <f t="shared" si="220"/>
        <v>2.0941797906279804</v>
      </c>
      <c r="E595" s="303"/>
      <c r="F595" s="302">
        <v>0.65093101059913949</v>
      </c>
      <c r="G595" s="302">
        <v>1.7656264692921486</v>
      </c>
      <c r="H595" s="302">
        <f t="shared" si="221"/>
        <v>2.4165574798912881</v>
      </c>
      <c r="I595" s="303"/>
      <c r="J595" s="302">
        <v>0.57790510433397413</v>
      </c>
      <c r="K595" s="302">
        <v>1.1539841259700643</v>
      </c>
      <c r="L595" s="302">
        <f t="shared" si="222"/>
        <v>1.7318892303040383</v>
      </c>
      <c r="M595" s="236"/>
      <c r="N595" s="236"/>
    </row>
    <row r="596" spans="1:14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  <c r="N596" s="236"/>
    </row>
    <row r="597" spans="1:14" x14ac:dyDescent="0.2">
      <c r="A597" s="244" t="s">
        <v>32</v>
      </c>
      <c r="B597" s="311">
        <f>SUM(B587:B595)</f>
        <v>7.2210000000924266</v>
      </c>
      <c r="C597" s="311">
        <f t="shared" ref="C597:D597" si="223">SUM(C587:C595)</f>
        <v>44.566999999398504</v>
      </c>
      <c r="D597" s="311">
        <f t="shared" si="223"/>
        <v>51.787999999490935</v>
      </c>
      <c r="E597" s="311"/>
      <c r="F597" s="311">
        <f t="shared" ref="F597:H597" si="224">SUM(F587:F595)</f>
        <v>13.016000000121826</v>
      </c>
      <c r="G597" s="311">
        <f t="shared" si="224"/>
        <v>57.981000000953685</v>
      </c>
      <c r="H597" s="311">
        <f t="shared" si="224"/>
        <v>70.997000001075506</v>
      </c>
      <c r="I597" s="311"/>
      <c r="J597" s="311">
        <f t="shared" ref="J597:L597" si="225">SUM(J587:J595)</f>
        <v>13.442999999846304</v>
      </c>
      <c r="K597" s="311">
        <f t="shared" si="225"/>
        <v>54.885000001601718</v>
      </c>
      <c r="L597" s="311">
        <f t="shared" si="225"/>
        <v>68.328000001448018</v>
      </c>
      <c r="M597" s="236"/>
      <c r="N597" s="236"/>
    </row>
    <row r="598" spans="1:14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  <c r="N598" s="236"/>
    </row>
    <row r="599" spans="1:14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56" t="s">
        <v>35</v>
      </c>
      <c r="M599" s="236"/>
      <c r="N599" s="236"/>
    </row>
    <row r="600" spans="1:14" x14ac:dyDescent="0.2">
      <c r="A600" s="242"/>
      <c r="B600" s="250"/>
      <c r="C600" s="250"/>
      <c r="D600" s="250"/>
      <c r="E600" s="250"/>
      <c r="F600" s="250"/>
      <c r="G600" s="250"/>
      <c r="H600" s="250"/>
      <c r="I600" s="250"/>
      <c r="J600" s="250"/>
      <c r="K600" s="250"/>
      <c r="L600" s="236"/>
      <c r="M600" s="236"/>
      <c r="N600" s="236"/>
    </row>
    <row r="601" spans="1:14" x14ac:dyDescent="0.2">
      <c r="A601" s="241" t="str">
        <f>name!A38</f>
        <v>Water transport</v>
      </c>
      <c r="B601" s="372">
        <f>B$6</f>
        <v>2015</v>
      </c>
      <c r="C601" s="372"/>
      <c r="D601" s="372"/>
      <c r="E601" s="253"/>
      <c r="F601" s="372">
        <f>F584</f>
        <v>2020</v>
      </c>
      <c r="G601" s="372"/>
      <c r="H601" s="372"/>
      <c r="I601" s="253"/>
      <c r="J601" s="372">
        <f>J584</f>
        <v>2035</v>
      </c>
      <c r="K601" s="372"/>
      <c r="L601" s="372"/>
      <c r="M601" s="236"/>
      <c r="N601" s="236"/>
    </row>
    <row r="602" spans="1:14" x14ac:dyDescent="0.2">
      <c r="A602" s="254"/>
      <c r="B602" s="255" t="s">
        <v>352</v>
      </c>
      <c r="C602" s="255" t="s">
        <v>353</v>
      </c>
      <c r="D602" s="255" t="s">
        <v>32</v>
      </c>
      <c r="E602" s="255"/>
      <c r="F602" s="255" t="s">
        <v>352</v>
      </c>
      <c r="G602" s="255" t="s">
        <v>353</v>
      </c>
      <c r="H602" s="255" t="s">
        <v>32</v>
      </c>
      <c r="I602" s="255"/>
      <c r="J602" s="255" t="s">
        <v>352</v>
      </c>
      <c r="K602" s="255" t="s">
        <v>353</v>
      </c>
      <c r="L602" s="255" t="s">
        <v>32</v>
      </c>
      <c r="M602" s="236"/>
      <c r="N602" s="236"/>
    </row>
    <row r="603" spans="1:14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  <c r="N603" s="236"/>
    </row>
    <row r="604" spans="1:14" x14ac:dyDescent="0.2">
      <c r="A604" s="237" t="str">
        <f>name!E$4</f>
        <v>Managers, directors and senior officials</v>
      </c>
      <c r="B604" s="302">
        <v>2.2804203562576186E-4</v>
      </c>
      <c r="C604" s="302">
        <v>2.3072059087953533E-3</v>
      </c>
      <c r="D604" s="302">
        <f>SUM(B604:C604)</f>
        <v>2.5352479444211151E-3</v>
      </c>
      <c r="E604" s="303"/>
      <c r="F604" s="302">
        <v>3.4803553124094084E-4</v>
      </c>
      <c r="G604" s="302">
        <v>2.5741679893784893E-3</v>
      </c>
      <c r="H604" s="302">
        <f>SUM(F604:G604)</f>
        <v>2.9222035206194303E-3</v>
      </c>
      <c r="I604" s="303"/>
      <c r="J604" s="302">
        <v>3.8796097821278364E-4</v>
      </c>
      <c r="K604" s="302">
        <v>1.5050481182350517E-3</v>
      </c>
      <c r="L604" s="302">
        <f>SUM(J604:K604)</f>
        <v>1.8930090964478354E-3</v>
      </c>
      <c r="M604" s="236"/>
      <c r="N604" s="236"/>
    </row>
    <row r="605" spans="1:14" x14ac:dyDescent="0.2">
      <c r="A605" s="237" t="str">
        <f>name!E$5</f>
        <v>Professional occupations</v>
      </c>
      <c r="B605" s="302">
        <v>2.5990451467962892E-4</v>
      </c>
      <c r="C605" s="302">
        <v>3.0672241977114504E-3</v>
      </c>
      <c r="D605" s="302">
        <f t="shared" ref="D605:D612" si="226">SUM(B605:C605)</f>
        <v>3.3271287123910792E-3</v>
      </c>
      <c r="E605" s="303"/>
      <c r="F605" s="302">
        <v>7.7259491613916923E-4</v>
      </c>
      <c r="G605" s="302">
        <v>2.4141666378158879E-3</v>
      </c>
      <c r="H605" s="302">
        <f t="shared" ref="H605:H612" si="227">SUM(F605:G605)</f>
        <v>3.1867615539550569E-3</v>
      </c>
      <c r="I605" s="303"/>
      <c r="J605" s="302">
        <v>7.620150731554679E-4</v>
      </c>
      <c r="K605" s="302">
        <v>2.0923102545729834E-3</v>
      </c>
      <c r="L605" s="302">
        <f t="shared" ref="L605:L612" si="228">SUM(J605:K605)</f>
        <v>2.8543253277284512E-3</v>
      </c>
      <c r="M605" s="236"/>
      <c r="N605" s="236"/>
    </row>
    <row r="606" spans="1:14" x14ac:dyDescent="0.2">
      <c r="A606" s="237" t="str">
        <f>name!E$6</f>
        <v>Associate professional occupations</v>
      </c>
      <c r="B606" s="302">
        <v>2.6147717541700718E-4</v>
      </c>
      <c r="C606" s="302">
        <v>4.3541100628546464E-3</v>
      </c>
      <c r="D606" s="302">
        <f t="shared" si="226"/>
        <v>4.6155872382716533E-3</v>
      </c>
      <c r="E606" s="303"/>
      <c r="F606" s="302">
        <v>5.3988391850271291E-4</v>
      </c>
      <c r="G606" s="302">
        <v>2.9333872912281514E-3</v>
      </c>
      <c r="H606" s="302">
        <f t="shared" si="227"/>
        <v>3.4732712097308642E-3</v>
      </c>
      <c r="I606" s="303"/>
      <c r="J606" s="302">
        <v>5.7660900980486239E-4</v>
      </c>
      <c r="K606" s="302">
        <v>1.9127074806150688E-3</v>
      </c>
      <c r="L606" s="302">
        <f t="shared" si="228"/>
        <v>2.4893164904199313E-3</v>
      </c>
      <c r="M606" s="236"/>
      <c r="N606" s="236"/>
    </row>
    <row r="607" spans="1:14" x14ac:dyDescent="0.2">
      <c r="A607" s="237" t="str">
        <f>name!E$7</f>
        <v>Administrative and secretarial occupations</v>
      </c>
      <c r="B607" s="302">
        <v>1.7035161878368641E-3</v>
      </c>
      <c r="C607" s="302">
        <v>1.0581546556237228E-3</v>
      </c>
      <c r="D607" s="302">
        <f t="shared" si="226"/>
        <v>2.7616708434605869E-3</v>
      </c>
      <c r="E607" s="303"/>
      <c r="F607" s="302">
        <v>1.6819282824511895E-3</v>
      </c>
      <c r="G607" s="302">
        <v>7.1856145719613885E-4</v>
      </c>
      <c r="H607" s="302">
        <f t="shared" si="227"/>
        <v>2.4004897396473282E-3</v>
      </c>
      <c r="I607" s="303"/>
      <c r="J607" s="302">
        <v>8.4137160761700417E-4</v>
      </c>
      <c r="K607" s="302">
        <v>8.5625320398494229E-4</v>
      </c>
      <c r="L607" s="302">
        <f t="shared" si="228"/>
        <v>1.6976248116019465E-3</v>
      </c>
      <c r="M607" s="236"/>
      <c r="N607" s="236"/>
    </row>
    <row r="608" spans="1:14" x14ac:dyDescent="0.2">
      <c r="A608" s="237" t="str">
        <f>name!E$8</f>
        <v>Skilled trades occupations</v>
      </c>
      <c r="B608" s="302">
        <v>2.0010240369740061E-4</v>
      </c>
      <c r="C608" s="302">
        <v>8.1500422833445077E-4</v>
      </c>
      <c r="D608" s="302">
        <f t="shared" si="226"/>
        <v>1.0151066320318513E-3</v>
      </c>
      <c r="E608" s="303"/>
      <c r="F608" s="302">
        <v>1.5640042974636448E-4</v>
      </c>
      <c r="G608" s="302">
        <v>7.1570417746999947E-4</v>
      </c>
      <c r="H608" s="302">
        <f t="shared" si="227"/>
        <v>8.7210460721636395E-4</v>
      </c>
      <c r="I608" s="303"/>
      <c r="J608" s="302">
        <v>2.1946657341975829E-4</v>
      </c>
      <c r="K608" s="302">
        <v>3.400183880504443E-4</v>
      </c>
      <c r="L608" s="302">
        <f t="shared" si="228"/>
        <v>5.5948496147020257E-4</v>
      </c>
      <c r="M608" s="236"/>
      <c r="N608" s="236"/>
    </row>
    <row r="609" spans="1:14" x14ac:dyDescent="0.2">
      <c r="A609" s="237" t="str">
        <f>name!E$9</f>
        <v>Caring, leisure and other service occupations</v>
      </c>
      <c r="B609" s="302">
        <v>3.5263018352027595E-4</v>
      </c>
      <c r="C609" s="302">
        <v>2.6849061071519703E-4</v>
      </c>
      <c r="D609" s="302">
        <f t="shared" si="226"/>
        <v>6.2112079423547292E-4</v>
      </c>
      <c r="E609" s="303"/>
      <c r="F609" s="302">
        <v>7.1690293824355018E-4</v>
      </c>
      <c r="G609" s="302">
        <v>1.9909312616462455E-4</v>
      </c>
      <c r="H609" s="302">
        <f t="shared" si="227"/>
        <v>9.1599606440817473E-4</v>
      </c>
      <c r="I609" s="303"/>
      <c r="J609" s="302">
        <v>6.1711389011029165E-4</v>
      </c>
      <c r="K609" s="302">
        <v>1.8319435718969798E-4</v>
      </c>
      <c r="L609" s="302">
        <f t="shared" si="228"/>
        <v>8.0030824729998963E-4</v>
      </c>
      <c r="M609" s="236"/>
      <c r="N609" s="236"/>
    </row>
    <row r="610" spans="1:14" x14ac:dyDescent="0.2">
      <c r="A610" s="237" t="str">
        <f>name!E$10</f>
        <v>Sales and customer service occupations</v>
      </c>
      <c r="B610" s="302">
        <v>3.8253939165053746E-4</v>
      </c>
      <c r="C610" s="302">
        <v>4.2435760106988011E-4</v>
      </c>
      <c r="D610" s="302">
        <f t="shared" si="226"/>
        <v>8.0689699272041757E-4</v>
      </c>
      <c r="E610" s="303"/>
      <c r="F610" s="302">
        <v>8.7763591013096482E-4</v>
      </c>
      <c r="G610" s="302">
        <v>4.1033125220683918E-4</v>
      </c>
      <c r="H610" s="302">
        <f t="shared" si="227"/>
        <v>1.2879671623378039E-3</v>
      </c>
      <c r="I610" s="303"/>
      <c r="J610" s="302">
        <v>7.1637501316517826E-4</v>
      </c>
      <c r="K610" s="302">
        <v>3.412673257747979E-4</v>
      </c>
      <c r="L610" s="302">
        <f t="shared" si="228"/>
        <v>1.057642338939976E-3</v>
      </c>
      <c r="M610" s="236"/>
      <c r="N610" s="236"/>
    </row>
    <row r="611" spans="1:14" x14ac:dyDescent="0.2">
      <c r="A611" s="237" t="str">
        <f>name!E$11</f>
        <v>Process, plant and machine operatives</v>
      </c>
      <c r="B611" s="302">
        <v>1.8551126344790625E-4</v>
      </c>
      <c r="C611" s="302">
        <v>2.5314070400896701E-3</v>
      </c>
      <c r="D611" s="302">
        <f t="shared" si="226"/>
        <v>2.7169183035375766E-3</v>
      </c>
      <c r="E611" s="303"/>
      <c r="F611" s="302">
        <v>1.5385531798814284E-4</v>
      </c>
      <c r="G611" s="302">
        <v>1.4343040183230514E-3</v>
      </c>
      <c r="H611" s="302">
        <f t="shared" si="227"/>
        <v>1.5881593363111942E-3</v>
      </c>
      <c r="I611" s="303"/>
      <c r="J611" s="302">
        <v>3.8293141957337229E-4</v>
      </c>
      <c r="K611" s="302">
        <v>4.5091158137239838E-4</v>
      </c>
      <c r="L611" s="302">
        <f t="shared" si="228"/>
        <v>8.3384300094577072E-4</v>
      </c>
      <c r="M611" s="236"/>
      <c r="N611" s="236"/>
    </row>
    <row r="612" spans="1:14" x14ac:dyDescent="0.2">
      <c r="A612" s="237" t="str">
        <f>name!E$12</f>
        <v>Elementary occupations</v>
      </c>
      <c r="B612" s="302">
        <v>4.2627684422271009E-4</v>
      </c>
      <c r="C612" s="302">
        <v>1.1740456947372296E-3</v>
      </c>
      <c r="D612" s="302">
        <f t="shared" si="226"/>
        <v>1.6003225389599398E-3</v>
      </c>
      <c r="E612" s="303"/>
      <c r="F612" s="302">
        <v>7.527627556401863E-4</v>
      </c>
      <c r="G612" s="302">
        <v>6.0028405025005539E-4</v>
      </c>
      <c r="H612" s="302">
        <f t="shared" si="227"/>
        <v>1.3530468058902418E-3</v>
      </c>
      <c r="I612" s="303"/>
      <c r="J612" s="302">
        <v>4.9615643489161207E-4</v>
      </c>
      <c r="K612" s="302">
        <v>3.1828929020800875E-4</v>
      </c>
      <c r="L612" s="302">
        <f t="shared" si="228"/>
        <v>8.1444572509962077E-4</v>
      </c>
      <c r="M612" s="236"/>
      <c r="N612" s="236"/>
    </row>
    <row r="613" spans="1:14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  <c r="N613" s="236"/>
    </row>
    <row r="614" spans="1:14" x14ac:dyDescent="0.2">
      <c r="A614" s="244" t="s">
        <v>32</v>
      </c>
      <c r="B614" s="311">
        <f>SUM(B604:B612)</f>
        <v>4.0000000000980918E-3</v>
      </c>
      <c r="C614" s="311">
        <f t="shared" ref="C614:D614" si="229">SUM(C604:C612)</f>
        <v>1.59999999999316E-2</v>
      </c>
      <c r="D614" s="311">
        <f t="shared" si="229"/>
        <v>2.0000000000029692E-2</v>
      </c>
      <c r="E614" s="311"/>
      <c r="F614" s="311">
        <f t="shared" ref="F614:H614" si="230">SUM(F604:F612)</f>
        <v>6.0000000000832209E-3</v>
      </c>
      <c r="G614" s="311">
        <f t="shared" si="230"/>
        <v>1.2000000000033236E-2</v>
      </c>
      <c r="H614" s="311">
        <f t="shared" si="230"/>
        <v>1.8000000000116458E-2</v>
      </c>
      <c r="I614" s="311"/>
      <c r="J614" s="311">
        <f t="shared" ref="J614:L614" si="231">SUM(J604:J612)</f>
        <v>4.9999999999503306E-3</v>
      </c>
      <c r="K614" s="311">
        <f t="shared" si="231"/>
        <v>8.0000000000033933E-3</v>
      </c>
      <c r="L614" s="311">
        <f t="shared" si="231"/>
        <v>1.2999999999953724E-2</v>
      </c>
      <c r="M614" s="236"/>
      <c r="N614" s="236"/>
    </row>
    <row r="615" spans="1:14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  <c r="N615" s="236"/>
    </row>
    <row r="616" spans="1:14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56" t="s">
        <v>35</v>
      </c>
      <c r="M616" s="236"/>
      <c r="N616" s="236"/>
    </row>
    <row r="617" spans="1:14" x14ac:dyDescent="0.2">
      <c r="A617" s="242"/>
      <c r="B617" s="250"/>
      <c r="C617" s="250"/>
      <c r="D617" s="250"/>
      <c r="E617" s="250"/>
      <c r="F617" s="250"/>
      <c r="G617" s="250"/>
      <c r="H617" s="250"/>
      <c r="I617" s="250"/>
      <c r="J617" s="250"/>
      <c r="K617" s="250"/>
      <c r="L617" s="236"/>
      <c r="M617" s="236"/>
      <c r="N617" s="236"/>
    </row>
    <row r="618" spans="1:14" x14ac:dyDescent="0.2">
      <c r="A618" s="241" t="str">
        <f>name!A39</f>
        <v>Air transport</v>
      </c>
      <c r="B618" s="372">
        <f>B$6</f>
        <v>2015</v>
      </c>
      <c r="C618" s="372"/>
      <c r="D618" s="372"/>
      <c r="E618" s="253"/>
      <c r="F618" s="372">
        <f>F601</f>
        <v>2020</v>
      </c>
      <c r="G618" s="372"/>
      <c r="H618" s="372"/>
      <c r="I618" s="253"/>
      <c r="J618" s="372">
        <f>J601</f>
        <v>2035</v>
      </c>
      <c r="K618" s="372"/>
      <c r="L618" s="372"/>
      <c r="M618" s="236"/>
      <c r="N618" s="236"/>
    </row>
    <row r="619" spans="1:14" x14ac:dyDescent="0.2">
      <c r="A619" s="254"/>
      <c r="B619" s="255" t="s">
        <v>352</v>
      </c>
      <c r="C619" s="255" t="s">
        <v>353</v>
      </c>
      <c r="D619" s="255" t="s">
        <v>32</v>
      </c>
      <c r="E619" s="255"/>
      <c r="F619" s="255" t="s">
        <v>352</v>
      </c>
      <c r="G619" s="255" t="s">
        <v>353</v>
      </c>
      <c r="H619" s="255" t="s">
        <v>32</v>
      </c>
      <c r="I619" s="255"/>
      <c r="J619" s="255" t="s">
        <v>352</v>
      </c>
      <c r="K619" s="255" t="s">
        <v>353</v>
      </c>
      <c r="L619" s="255" t="s">
        <v>32</v>
      </c>
      <c r="M619" s="236"/>
      <c r="N619" s="236"/>
    </row>
    <row r="620" spans="1:14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  <c r="N620" s="236"/>
    </row>
    <row r="621" spans="1:14" x14ac:dyDescent="0.2">
      <c r="A621" s="237" t="str">
        <f>name!E$4</f>
        <v>Managers, directors and senior officials</v>
      </c>
      <c r="B621" s="302">
        <v>1.8216163406911876E-2</v>
      </c>
      <c r="C621" s="302">
        <v>9.2369954480318858E-2</v>
      </c>
      <c r="D621" s="302">
        <f>SUM(B621:C621)</f>
        <v>0.11058611788723073</v>
      </c>
      <c r="E621" s="303"/>
      <c r="F621" s="302">
        <v>1.6485195628727297E-2</v>
      </c>
      <c r="G621" s="302">
        <v>6.9258821649600871E-2</v>
      </c>
      <c r="H621" s="302">
        <f>SUM(F621:G621)</f>
        <v>8.5744017278328172E-2</v>
      </c>
      <c r="I621" s="303"/>
      <c r="J621" s="302">
        <v>2.626661145193392E-2</v>
      </c>
      <c r="K621" s="302">
        <v>9.0881606192091818E-2</v>
      </c>
      <c r="L621" s="302">
        <f>SUM(J621:K621)</f>
        <v>0.11714821764402573</v>
      </c>
      <c r="M621" s="236"/>
      <c r="N621" s="236"/>
    </row>
    <row r="622" spans="1:14" x14ac:dyDescent="0.2">
      <c r="A622" s="237" t="str">
        <f>name!E$5</f>
        <v>Professional occupations</v>
      </c>
      <c r="B622" s="302">
        <v>3.6002466834530518E-2</v>
      </c>
      <c r="C622" s="302">
        <v>0.16779290292873464</v>
      </c>
      <c r="D622" s="302">
        <f t="shared" ref="D622:D629" si="232">SUM(B622:C622)</f>
        <v>0.20379536976326515</v>
      </c>
      <c r="E622" s="303"/>
      <c r="F622" s="302">
        <v>3.788715360855207E-2</v>
      </c>
      <c r="G622" s="302">
        <v>0.13158020645848176</v>
      </c>
      <c r="H622" s="302">
        <f t="shared" ref="H622:H629" si="233">SUM(F622:G622)</f>
        <v>0.16946736006703383</v>
      </c>
      <c r="I622" s="303"/>
      <c r="J622" s="302">
        <v>6.2472340813464061E-2</v>
      </c>
      <c r="K622" s="302">
        <v>0.19432234412153007</v>
      </c>
      <c r="L622" s="302">
        <f t="shared" ref="L622:L629" si="234">SUM(J622:K622)</f>
        <v>0.25679468493499413</v>
      </c>
      <c r="M622" s="236"/>
      <c r="N622" s="236"/>
    </row>
    <row r="623" spans="1:14" x14ac:dyDescent="0.2">
      <c r="A623" s="237" t="str">
        <f>name!E$6</f>
        <v>Associate professional occupations</v>
      </c>
      <c r="B623" s="302">
        <v>5.9636357832902408E-2</v>
      </c>
      <c r="C623" s="302">
        <v>0.18848652701226823</v>
      </c>
      <c r="D623" s="302">
        <f t="shared" si="232"/>
        <v>0.24812288484517064</v>
      </c>
      <c r="E623" s="303"/>
      <c r="F623" s="302">
        <v>5.5796903260446569E-2</v>
      </c>
      <c r="G623" s="302">
        <v>0.13856116817150371</v>
      </c>
      <c r="H623" s="302">
        <f t="shared" si="233"/>
        <v>0.19435807143195027</v>
      </c>
      <c r="I623" s="303"/>
      <c r="J623" s="302">
        <v>8.04872844017024E-2</v>
      </c>
      <c r="K623" s="302">
        <v>0.15531628682814355</v>
      </c>
      <c r="L623" s="302">
        <f t="shared" si="234"/>
        <v>0.23580357122984597</v>
      </c>
      <c r="M623" s="236"/>
      <c r="N623" s="236"/>
    </row>
    <row r="624" spans="1:14" x14ac:dyDescent="0.2">
      <c r="A624" s="237" t="str">
        <f>name!E$7</f>
        <v>Administrative and secretarial occupations</v>
      </c>
      <c r="B624" s="302">
        <v>0.10865613709401288</v>
      </c>
      <c r="C624" s="302">
        <v>8.8844485410797536E-2</v>
      </c>
      <c r="D624" s="302">
        <f t="shared" si="232"/>
        <v>0.19750062250481043</v>
      </c>
      <c r="E624" s="303"/>
      <c r="F624" s="302">
        <v>8.1723133642234089E-2</v>
      </c>
      <c r="G624" s="302">
        <v>5.7731610253331608E-2</v>
      </c>
      <c r="H624" s="302">
        <f t="shared" si="233"/>
        <v>0.1394547438955657</v>
      </c>
      <c r="I624" s="303"/>
      <c r="J624" s="302">
        <v>0.1038039079772488</v>
      </c>
      <c r="K624" s="302">
        <v>9.066465197809126E-2</v>
      </c>
      <c r="L624" s="302">
        <f t="shared" si="234"/>
        <v>0.19446855995534007</v>
      </c>
      <c r="M624" s="236"/>
      <c r="N624" s="236"/>
    </row>
    <row r="625" spans="1:14" x14ac:dyDescent="0.2">
      <c r="A625" s="237" t="str">
        <f>name!E$8</f>
        <v>Skilled trades occupations</v>
      </c>
      <c r="B625" s="302">
        <v>6.5255445074385394E-3</v>
      </c>
      <c r="C625" s="302">
        <v>9.1864873987088758E-2</v>
      </c>
      <c r="D625" s="302">
        <f t="shared" si="232"/>
        <v>9.8390418494527301E-2</v>
      </c>
      <c r="E625" s="303"/>
      <c r="F625" s="302">
        <v>6.2787631392726036E-3</v>
      </c>
      <c r="G625" s="302">
        <v>5.5714376976612405E-2</v>
      </c>
      <c r="H625" s="302">
        <f t="shared" si="233"/>
        <v>6.1993140115885012E-2</v>
      </c>
      <c r="I625" s="303"/>
      <c r="J625" s="302">
        <v>1.4185028895246379E-2</v>
      </c>
      <c r="K625" s="302">
        <v>5.3742482279765511E-2</v>
      </c>
      <c r="L625" s="302">
        <f t="shared" si="234"/>
        <v>6.792751117501189E-2</v>
      </c>
      <c r="M625" s="236"/>
      <c r="N625" s="236"/>
    </row>
    <row r="626" spans="1:14" x14ac:dyDescent="0.2">
      <c r="A626" s="237" t="str">
        <f>name!E$9</f>
        <v>Caring, leisure and other service occupations</v>
      </c>
      <c r="B626" s="302">
        <v>0.30979934919386637</v>
      </c>
      <c r="C626" s="302">
        <v>4.375927981413591E-2</v>
      </c>
      <c r="D626" s="302">
        <f t="shared" si="232"/>
        <v>0.35355862900800228</v>
      </c>
      <c r="E626" s="303"/>
      <c r="F626" s="302">
        <v>0.20061619416241472</v>
      </c>
      <c r="G626" s="302">
        <v>2.8315545975154718E-2</v>
      </c>
      <c r="H626" s="302">
        <f t="shared" si="233"/>
        <v>0.22893174013756945</v>
      </c>
      <c r="I626" s="303"/>
      <c r="J626" s="302">
        <v>0.27382407345115717</v>
      </c>
      <c r="K626" s="302">
        <v>3.9923243586621505E-2</v>
      </c>
      <c r="L626" s="302">
        <f t="shared" si="234"/>
        <v>0.31374731703777869</v>
      </c>
      <c r="M626" s="236"/>
      <c r="N626" s="236"/>
    </row>
    <row r="627" spans="1:14" x14ac:dyDescent="0.2">
      <c r="A627" s="237" t="str">
        <f>name!E$10</f>
        <v>Sales and customer service occupations</v>
      </c>
      <c r="B627" s="302">
        <v>4.6263723696474975E-2</v>
      </c>
      <c r="C627" s="302">
        <v>2.7950532547768865E-2</v>
      </c>
      <c r="D627" s="302">
        <f t="shared" si="232"/>
        <v>7.421425624424384E-2</v>
      </c>
      <c r="E627" s="303"/>
      <c r="F627" s="302">
        <v>4.0578695636446102E-2</v>
      </c>
      <c r="G627" s="302">
        <v>1.9550556225572058E-2</v>
      </c>
      <c r="H627" s="302">
        <f t="shared" si="233"/>
        <v>6.012925186201816E-2</v>
      </c>
      <c r="I627" s="303"/>
      <c r="J627" s="302">
        <v>7.2432664071196279E-2</v>
      </c>
      <c r="K627" s="302">
        <v>3.6315735570076016E-2</v>
      </c>
      <c r="L627" s="302">
        <f t="shared" si="234"/>
        <v>0.10874839964127229</v>
      </c>
      <c r="M627" s="236"/>
      <c r="N627" s="236"/>
    </row>
    <row r="628" spans="1:14" x14ac:dyDescent="0.2">
      <c r="A628" s="237" t="str">
        <f>name!E$11</f>
        <v>Process, plant and machine operatives</v>
      </c>
      <c r="B628" s="302">
        <v>3.1560243240616966E-2</v>
      </c>
      <c r="C628" s="302">
        <v>6.2510410558067567E-2</v>
      </c>
      <c r="D628" s="302">
        <f t="shared" si="232"/>
        <v>9.4070653798684539E-2</v>
      </c>
      <c r="E628" s="303"/>
      <c r="F628" s="302">
        <v>1.8700690050085504E-2</v>
      </c>
      <c r="G628" s="302">
        <v>3.6411474002588581E-2</v>
      </c>
      <c r="H628" s="302">
        <f t="shared" si="233"/>
        <v>5.5112164052674086E-2</v>
      </c>
      <c r="I628" s="303"/>
      <c r="J628" s="302">
        <v>4.2057468144057891E-2</v>
      </c>
      <c r="K628" s="302">
        <v>4.6457000191066883E-2</v>
      </c>
      <c r="L628" s="302">
        <f t="shared" si="234"/>
        <v>8.8514468335124774E-2</v>
      </c>
      <c r="M628" s="236"/>
      <c r="N628" s="236"/>
    </row>
    <row r="629" spans="1:14" x14ac:dyDescent="0.2">
      <c r="A629" s="237" t="str">
        <f>name!E$12</f>
        <v>Elementary occupations</v>
      </c>
      <c r="B629" s="302">
        <v>8.0340014197010506E-2</v>
      </c>
      <c r="C629" s="302">
        <v>3.9421033258505628E-2</v>
      </c>
      <c r="D629" s="302">
        <f t="shared" si="232"/>
        <v>0.11976104745551613</v>
      </c>
      <c r="E629" s="303"/>
      <c r="F629" s="302">
        <v>4.7933270875214727E-2</v>
      </c>
      <c r="G629" s="302">
        <v>1.987624028746279E-2</v>
      </c>
      <c r="H629" s="302">
        <f t="shared" si="233"/>
        <v>6.7809511162677513E-2</v>
      </c>
      <c r="I629" s="303"/>
      <c r="J629" s="302">
        <v>4.9470620788815395E-2</v>
      </c>
      <c r="K629" s="302">
        <v>2.4376649252525591E-2</v>
      </c>
      <c r="L629" s="302">
        <f t="shared" si="234"/>
        <v>7.3847270041340979E-2</v>
      </c>
      <c r="M629" s="236"/>
      <c r="N629" s="236"/>
    </row>
    <row r="630" spans="1:14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  <c r="N630" s="236"/>
    </row>
    <row r="631" spans="1:14" x14ac:dyDescent="0.2">
      <c r="A631" s="244" t="s">
        <v>32</v>
      </c>
      <c r="B631" s="311">
        <f>SUM(B621:B629)</f>
        <v>0.69700000000376516</v>
      </c>
      <c r="C631" s="311">
        <f t="shared" ref="C631:D631" si="235">SUM(C621:C629)</f>
        <v>0.80299999999768601</v>
      </c>
      <c r="D631" s="311">
        <f t="shared" si="235"/>
        <v>1.5000000000014513</v>
      </c>
      <c r="E631" s="311"/>
      <c r="F631" s="311">
        <f t="shared" ref="F631:H631" si="236">SUM(F621:F629)</f>
        <v>0.50600000000339374</v>
      </c>
      <c r="G631" s="311">
        <f t="shared" si="236"/>
        <v>0.55700000000030858</v>
      </c>
      <c r="H631" s="311">
        <f t="shared" si="236"/>
        <v>1.0630000000037021</v>
      </c>
      <c r="I631" s="311"/>
      <c r="J631" s="311">
        <f t="shared" ref="J631:L631" si="237">SUM(J621:J629)</f>
        <v>0.72499999999482223</v>
      </c>
      <c r="K631" s="311">
        <f t="shared" si="237"/>
        <v>0.73199999999991228</v>
      </c>
      <c r="L631" s="311">
        <f t="shared" si="237"/>
        <v>1.4569999999947347</v>
      </c>
      <c r="M631" s="236"/>
      <c r="N631" s="236"/>
    </row>
    <row r="632" spans="1:14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  <c r="N632" s="236"/>
    </row>
    <row r="633" spans="1:14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56" t="s">
        <v>35</v>
      </c>
      <c r="M633" s="236"/>
      <c r="N633" s="236"/>
    </row>
    <row r="634" spans="1:14" x14ac:dyDescent="0.2">
      <c r="A634" s="242"/>
      <c r="B634" s="250"/>
      <c r="C634" s="250"/>
      <c r="D634" s="250"/>
      <c r="E634" s="250"/>
      <c r="F634" s="250"/>
      <c r="G634" s="250"/>
      <c r="H634" s="250"/>
      <c r="I634" s="250"/>
      <c r="J634" s="250"/>
      <c r="K634" s="250"/>
      <c r="L634" s="236"/>
      <c r="M634" s="236"/>
      <c r="N634" s="236"/>
    </row>
    <row r="635" spans="1:14" x14ac:dyDescent="0.2">
      <c r="A635" s="241" t="str">
        <f>name!A40</f>
        <v>Warehousing, etc</v>
      </c>
      <c r="B635" s="372">
        <f>B$6</f>
        <v>2015</v>
      </c>
      <c r="C635" s="372"/>
      <c r="D635" s="372"/>
      <c r="E635" s="253"/>
      <c r="F635" s="372">
        <f>F618</f>
        <v>2020</v>
      </c>
      <c r="G635" s="372"/>
      <c r="H635" s="372"/>
      <c r="I635" s="253"/>
      <c r="J635" s="372">
        <f>J618</f>
        <v>2035</v>
      </c>
      <c r="K635" s="372"/>
      <c r="L635" s="372"/>
      <c r="M635" s="236"/>
      <c r="N635" s="236"/>
    </row>
    <row r="636" spans="1:14" x14ac:dyDescent="0.2">
      <c r="A636" s="254"/>
      <c r="B636" s="255" t="s">
        <v>352</v>
      </c>
      <c r="C636" s="255" t="s">
        <v>353</v>
      </c>
      <c r="D636" s="255" t="s">
        <v>32</v>
      </c>
      <c r="E636" s="255"/>
      <c r="F636" s="255" t="s">
        <v>352</v>
      </c>
      <c r="G636" s="255" t="s">
        <v>353</v>
      </c>
      <c r="H636" s="255" t="s">
        <v>32</v>
      </c>
      <c r="I636" s="255"/>
      <c r="J636" s="255" t="s">
        <v>352</v>
      </c>
      <c r="K636" s="255" t="s">
        <v>353</v>
      </c>
      <c r="L636" s="255" t="s">
        <v>32</v>
      </c>
      <c r="M636" s="236"/>
      <c r="N636" s="236"/>
    </row>
    <row r="637" spans="1:14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  <c r="N637" s="236"/>
    </row>
    <row r="638" spans="1:14" x14ac:dyDescent="0.2">
      <c r="A638" s="237" t="str">
        <f>name!E$4</f>
        <v>Managers, directors and senior officials</v>
      </c>
      <c r="B638" s="302">
        <v>0.23623841428378034</v>
      </c>
      <c r="C638" s="302">
        <v>3.6365201824214015</v>
      </c>
      <c r="D638" s="302">
        <f>SUM(B638:C638)</f>
        <v>3.8727585967051819</v>
      </c>
      <c r="E638" s="303"/>
      <c r="F638" s="302">
        <v>0.47517356415554468</v>
      </c>
      <c r="G638" s="302">
        <v>6.1022765731047004</v>
      </c>
      <c r="H638" s="302">
        <f>SUM(F638:G638)</f>
        <v>6.5774501372602447</v>
      </c>
      <c r="I638" s="303"/>
      <c r="J638" s="302">
        <v>0.6774812113228097</v>
      </c>
      <c r="K638" s="302">
        <v>7.061982394283266</v>
      </c>
      <c r="L638" s="302">
        <f>SUM(J638:K638)</f>
        <v>7.7394636056060762</v>
      </c>
      <c r="M638" s="236"/>
      <c r="N638" s="236"/>
    </row>
    <row r="639" spans="1:14" x14ac:dyDescent="0.2">
      <c r="A639" s="237" t="str">
        <f>name!E$5</f>
        <v>Professional occupations</v>
      </c>
      <c r="B639" s="302">
        <v>0.19263857401621259</v>
      </c>
      <c r="C639" s="302">
        <v>2.4717340229135165</v>
      </c>
      <c r="D639" s="302">
        <f t="shared" ref="D639:D646" si="238">SUM(B639:C639)</f>
        <v>2.6643725969297289</v>
      </c>
      <c r="E639" s="303"/>
      <c r="F639" s="302">
        <v>0.45378316474620251</v>
      </c>
      <c r="G639" s="302">
        <v>4.4928271363107299</v>
      </c>
      <c r="H639" s="302">
        <f t="shared" ref="H639:H646" si="239">SUM(F639:G639)</f>
        <v>4.946610301056932</v>
      </c>
      <c r="I639" s="303"/>
      <c r="J639" s="302">
        <v>0.64692391177857245</v>
      </c>
      <c r="K639" s="302">
        <v>6.0122180088443624</v>
      </c>
      <c r="L639" s="302">
        <f t="shared" ref="L639:L646" si="240">SUM(J639:K639)</f>
        <v>6.6591419206229352</v>
      </c>
      <c r="M639" s="236"/>
      <c r="N639" s="236"/>
    </row>
    <row r="640" spans="1:14" x14ac:dyDescent="0.2">
      <c r="A640" s="237" t="str">
        <f>name!E$6</f>
        <v>Associate professional occupations</v>
      </c>
      <c r="B640" s="302">
        <v>0.2461711581949137</v>
      </c>
      <c r="C640" s="302">
        <v>2.2513406583884943</v>
      </c>
      <c r="D640" s="302">
        <f t="shared" si="238"/>
        <v>2.4975118165834078</v>
      </c>
      <c r="E640" s="303"/>
      <c r="F640" s="302">
        <v>0.47750225393074447</v>
      </c>
      <c r="G640" s="302">
        <v>3.7765216372498762</v>
      </c>
      <c r="H640" s="302">
        <f t="shared" si="239"/>
        <v>4.254023891180621</v>
      </c>
      <c r="I640" s="303"/>
      <c r="J640" s="302">
        <v>0.56395374530995401</v>
      </c>
      <c r="K640" s="302">
        <v>4.0026121300921069</v>
      </c>
      <c r="L640" s="302">
        <f t="shared" si="240"/>
        <v>4.5665658754020608</v>
      </c>
      <c r="M640" s="236"/>
      <c r="N640" s="236"/>
    </row>
    <row r="641" spans="1:14" x14ac:dyDescent="0.2">
      <c r="A641" s="237" t="str">
        <f>name!E$7</f>
        <v>Administrative and secretarial occupations</v>
      </c>
      <c r="B641" s="302">
        <v>1.5423599425564651</v>
      </c>
      <c r="C641" s="302">
        <v>2.3553331171821501</v>
      </c>
      <c r="D641" s="302">
        <f t="shared" si="238"/>
        <v>3.8976930597386152</v>
      </c>
      <c r="E641" s="303"/>
      <c r="F641" s="302">
        <v>2.351197770581483</v>
      </c>
      <c r="G641" s="302">
        <v>3.9437270051300581</v>
      </c>
      <c r="H641" s="302">
        <f t="shared" si="239"/>
        <v>6.2949247757115412</v>
      </c>
      <c r="I641" s="303"/>
      <c r="J641" s="302">
        <v>2.127450564542138</v>
      </c>
      <c r="K641" s="302">
        <v>4.6388748868360166</v>
      </c>
      <c r="L641" s="302">
        <f t="shared" si="240"/>
        <v>6.7663254513781546</v>
      </c>
      <c r="M641" s="236"/>
      <c r="N641" s="236"/>
    </row>
    <row r="642" spans="1:14" x14ac:dyDescent="0.2">
      <c r="A642" s="237" t="str">
        <f>name!E$8</f>
        <v>Skilled trades occupations</v>
      </c>
      <c r="B642" s="302">
        <v>3.6106245389183639E-2</v>
      </c>
      <c r="C642" s="302">
        <v>1.380238481925212</v>
      </c>
      <c r="D642" s="302">
        <f t="shared" si="238"/>
        <v>1.4163447273143956</v>
      </c>
      <c r="E642" s="303"/>
      <c r="F642" s="302">
        <v>5.4737682164677226E-2</v>
      </c>
      <c r="G642" s="302">
        <v>1.6266655012250535</v>
      </c>
      <c r="H642" s="302">
        <f t="shared" si="239"/>
        <v>1.6814031833897307</v>
      </c>
      <c r="I642" s="303"/>
      <c r="J642" s="302">
        <v>0.1036813306223177</v>
      </c>
      <c r="K642" s="302">
        <v>1.6678381345001951</v>
      </c>
      <c r="L642" s="302">
        <f t="shared" si="240"/>
        <v>1.7715194651225128</v>
      </c>
      <c r="M642" s="236"/>
      <c r="N642" s="236"/>
    </row>
    <row r="643" spans="1:14" x14ac:dyDescent="0.2">
      <c r="A643" s="237" t="str">
        <f>name!E$9</f>
        <v>Caring, leisure and other service occupations</v>
      </c>
      <c r="B643" s="302">
        <v>1.3780404445248675</v>
      </c>
      <c r="C643" s="302">
        <v>1.1691565359132563</v>
      </c>
      <c r="D643" s="302">
        <f t="shared" si="238"/>
        <v>2.547196980438124</v>
      </c>
      <c r="E643" s="303"/>
      <c r="F643" s="302">
        <v>1.5775524426598408</v>
      </c>
      <c r="G643" s="302">
        <v>1.8591010983917977</v>
      </c>
      <c r="H643" s="302">
        <f t="shared" si="239"/>
        <v>3.4366535410516388</v>
      </c>
      <c r="I643" s="303"/>
      <c r="J643" s="302">
        <v>1.535853201445764</v>
      </c>
      <c r="K643" s="302">
        <v>2.0961017658305652</v>
      </c>
      <c r="L643" s="302">
        <f t="shared" si="240"/>
        <v>3.6319549672763292</v>
      </c>
      <c r="M643" s="236"/>
      <c r="N643" s="236"/>
    </row>
    <row r="644" spans="1:14" x14ac:dyDescent="0.2">
      <c r="A644" s="237" t="str">
        <f>name!E$10</f>
        <v>Sales and customer service occupations</v>
      </c>
      <c r="B644" s="302">
        <v>0.51614972464833864</v>
      </c>
      <c r="C644" s="302">
        <v>3.4075578930950741</v>
      </c>
      <c r="D644" s="302">
        <f t="shared" si="238"/>
        <v>3.9237076177434127</v>
      </c>
      <c r="E644" s="303"/>
      <c r="F644" s="302">
        <v>0.83325703332356515</v>
      </c>
      <c r="G644" s="302">
        <v>5.4716178289116</v>
      </c>
      <c r="H644" s="302">
        <f t="shared" si="239"/>
        <v>6.3048748622351649</v>
      </c>
      <c r="I644" s="303"/>
      <c r="J644" s="302">
        <v>1.0008258388310181</v>
      </c>
      <c r="K644" s="302">
        <v>6.3077286616400707</v>
      </c>
      <c r="L644" s="302">
        <f t="shared" si="240"/>
        <v>7.3085545004710886</v>
      </c>
      <c r="M644" s="236"/>
      <c r="N644" s="236"/>
    </row>
    <row r="645" spans="1:14" x14ac:dyDescent="0.2">
      <c r="A645" s="237" t="str">
        <f>name!E$11</f>
        <v>Process, plant and machine operatives</v>
      </c>
      <c r="B645" s="302">
        <v>0.22284095932441317</v>
      </c>
      <c r="C645" s="302">
        <v>10.279107830052739</v>
      </c>
      <c r="D645" s="302">
        <f t="shared" si="238"/>
        <v>10.501948789377153</v>
      </c>
      <c r="E645" s="303"/>
      <c r="F645" s="302">
        <v>0.31541665859556839</v>
      </c>
      <c r="G645" s="302">
        <v>12.684222990818798</v>
      </c>
      <c r="H645" s="302">
        <f t="shared" si="239"/>
        <v>12.999639649414366</v>
      </c>
      <c r="I645" s="303"/>
      <c r="J645" s="302">
        <v>0.82994452630964544</v>
      </c>
      <c r="K645" s="302">
        <v>14.548292248146751</v>
      </c>
      <c r="L645" s="302">
        <f t="shared" si="240"/>
        <v>15.378236774456397</v>
      </c>
      <c r="M645" s="236"/>
      <c r="N645" s="236"/>
    </row>
    <row r="646" spans="1:14" x14ac:dyDescent="0.2">
      <c r="A646" s="237" t="str">
        <f>name!E$12</f>
        <v>Elementary occupations</v>
      </c>
      <c r="B646" s="302">
        <v>1.1984545371205702</v>
      </c>
      <c r="C646" s="302">
        <v>8.4050112777470538</v>
      </c>
      <c r="D646" s="302">
        <f t="shared" si="238"/>
        <v>9.603465814867624</v>
      </c>
      <c r="E646" s="303"/>
      <c r="F646" s="302">
        <v>1.5483794298868534</v>
      </c>
      <c r="G646" s="302">
        <v>9.3270402292269434</v>
      </c>
      <c r="H646" s="302">
        <f t="shared" si="239"/>
        <v>10.875419659113797</v>
      </c>
      <c r="I646" s="303"/>
      <c r="J646" s="302">
        <v>2.0608856696739521</v>
      </c>
      <c r="K646" s="302">
        <v>6.9823517703691946</v>
      </c>
      <c r="L646" s="302">
        <f t="shared" si="240"/>
        <v>9.0432374400431463</v>
      </c>
      <c r="M646" s="236"/>
      <c r="N646" s="236"/>
    </row>
    <row r="647" spans="1:14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  <c r="N647" s="236"/>
    </row>
    <row r="648" spans="1:14" x14ac:dyDescent="0.2">
      <c r="A648" s="244" t="s">
        <v>32</v>
      </c>
      <c r="B648" s="311">
        <f>SUM(B638:B646)</f>
        <v>5.569000000058745</v>
      </c>
      <c r="C648" s="311">
        <f t="shared" ref="C648:D648" si="241">SUM(C638:C646)</f>
        <v>35.355999999638897</v>
      </c>
      <c r="D648" s="311">
        <f t="shared" si="241"/>
        <v>40.924999999697647</v>
      </c>
      <c r="E648" s="311"/>
      <c r="F648" s="311">
        <f t="shared" ref="F648:H648" si="242">SUM(F638:F646)</f>
        <v>8.0870000000444797</v>
      </c>
      <c r="G648" s="311">
        <f t="shared" si="242"/>
        <v>49.284000000369559</v>
      </c>
      <c r="H648" s="311">
        <f t="shared" si="242"/>
        <v>57.371000000414035</v>
      </c>
      <c r="I648" s="311"/>
      <c r="J648" s="311">
        <f t="shared" ref="J648:L648" si="243">SUM(J638:J646)</f>
        <v>9.5469999998361725</v>
      </c>
      <c r="K648" s="311">
        <f t="shared" si="243"/>
        <v>53.318000000542526</v>
      </c>
      <c r="L648" s="311">
        <f t="shared" si="243"/>
        <v>62.8650000003787</v>
      </c>
      <c r="M648" s="236"/>
      <c r="N648" s="236"/>
    </row>
    <row r="649" spans="1:14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  <c r="N649" s="236"/>
    </row>
    <row r="650" spans="1:14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56" t="s">
        <v>35</v>
      </c>
      <c r="M650" s="236"/>
      <c r="N650" s="236"/>
    </row>
    <row r="651" spans="1:14" x14ac:dyDescent="0.2">
      <c r="A651" s="242"/>
      <c r="B651" s="250"/>
      <c r="C651" s="250"/>
      <c r="D651" s="250"/>
      <c r="E651" s="250"/>
      <c r="F651" s="250"/>
      <c r="G651" s="250"/>
      <c r="H651" s="250"/>
      <c r="I651" s="250"/>
      <c r="J651" s="250"/>
      <c r="K651" s="250"/>
      <c r="L651" s="236"/>
      <c r="M651" s="236"/>
      <c r="N651" s="236"/>
    </row>
    <row r="652" spans="1:14" x14ac:dyDescent="0.2">
      <c r="A652" s="241" t="str">
        <f>name!A41</f>
        <v>Postal and courier</v>
      </c>
      <c r="B652" s="372">
        <f>B$6</f>
        <v>2015</v>
      </c>
      <c r="C652" s="372"/>
      <c r="D652" s="372"/>
      <c r="E652" s="253"/>
      <c r="F652" s="372">
        <f>F635</f>
        <v>2020</v>
      </c>
      <c r="G652" s="372"/>
      <c r="H652" s="372"/>
      <c r="I652" s="253"/>
      <c r="J652" s="372">
        <f>J635</f>
        <v>2035</v>
      </c>
      <c r="K652" s="372"/>
      <c r="L652" s="372"/>
      <c r="M652" s="236"/>
      <c r="N652" s="236"/>
    </row>
    <row r="653" spans="1:14" x14ac:dyDescent="0.2">
      <c r="A653" s="254"/>
      <c r="B653" s="255" t="s">
        <v>352</v>
      </c>
      <c r="C653" s="255" t="s">
        <v>353</v>
      </c>
      <c r="D653" s="255" t="s">
        <v>32</v>
      </c>
      <c r="E653" s="255"/>
      <c r="F653" s="255" t="s">
        <v>352</v>
      </c>
      <c r="G653" s="255" t="s">
        <v>353</v>
      </c>
      <c r="H653" s="255" t="s">
        <v>32</v>
      </c>
      <c r="I653" s="255"/>
      <c r="J653" s="255" t="s">
        <v>352</v>
      </c>
      <c r="K653" s="255" t="s">
        <v>353</v>
      </c>
      <c r="L653" s="255" t="s">
        <v>32</v>
      </c>
      <c r="M653" s="236"/>
      <c r="N653" s="236"/>
    </row>
    <row r="654" spans="1:14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  <c r="N654" s="236"/>
    </row>
    <row r="655" spans="1:14" x14ac:dyDescent="0.2">
      <c r="A655" s="237" t="str">
        <f>name!E$4</f>
        <v>Managers, directors and senior officials</v>
      </c>
      <c r="B655" s="302">
        <v>0.9644792728995788</v>
      </c>
      <c r="C655" s="302">
        <v>1.0915253340228737</v>
      </c>
      <c r="D655" s="302">
        <f>SUM(B655:C655)</f>
        <v>2.0560046069224525</v>
      </c>
      <c r="E655" s="303"/>
      <c r="F655" s="302">
        <v>1.882933177063804</v>
      </c>
      <c r="G655" s="302">
        <v>1.6484308365795557</v>
      </c>
      <c r="H655" s="302">
        <f>SUM(F655:G655)</f>
        <v>3.5313640136433597</v>
      </c>
      <c r="I655" s="303"/>
      <c r="J655" s="302">
        <v>2.5685925359557982</v>
      </c>
      <c r="K655" s="302">
        <v>1.7729471852951391</v>
      </c>
      <c r="L655" s="302">
        <f>SUM(J655:K655)</f>
        <v>4.3415397212509372</v>
      </c>
      <c r="M655" s="236"/>
      <c r="N655" s="236"/>
    </row>
    <row r="656" spans="1:14" x14ac:dyDescent="0.2">
      <c r="A656" s="237" t="str">
        <f>name!E$5</f>
        <v>Professional occupations</v>
      </c>
      <c r="B656" s="302">
        <v>0.61060867024034604</v>
      </c>
      <c r="C656" s="302">
        <v>0.61376018672296184</v>
      </c>
      <c r="D656" s="302">
        <f t="shared" ref="D656:D663" si="244">SUM(B656:C656)</f>
        <v>1.224368856963308</v>
      </c>
      <c r="E656" s="303"/>
      <c r="F656" s="302">
        <v>1.243705261243897</v>
      </c>
      <c r="G656" s="302">
        <v>1.0526719444404782</v>
      </c>
      <c r="H656" s="302">
        <f t="shared" ref="H656:H663" si="245">SUM(F656:G656)</f>
        <v>2.296377205684375</v>
      </c>
      <c r="I656" s="303"/>
      <c r="J656" s="302">
        <v>1.7118692216130722</v>
      </c>
      <c r="K656" s="302">
        <v>1.3307022829874477</v>
      </c>
      <c r="L656" s="302">
        <f t="shared" ref="L656:L663" si="246">SUM(J656:K656)</f>
        <v>3.0425715046005202</v>
      </c>
      <c r="M656" s="236"/>
      <c r="N656" s="236"/>
    </row>
    <row r="657" spans="1:14" x14ac:dyDescent="0.2">
      <c r="A657" s="237" t="str">
        <f>name!E$6</f>
        <v>Associate professional occupations</v>
      </c>
      <c r="B657" s="302">
        <v>0.73612821520193383</v>
      </c>
      <c r="C657" s="302">
        <v>0.64630283151474621</v>
      </c>
      <c r="D657" s="302">
        <f t="shared" si="244"/>
        <v>1.38243104671668</v>
      </c>
      <c r="E657" s="303"/>
      <c r="F657" s="302">
        <v>1.2425972256292472</v>
      </c>
      <c r="G657" s="302">
        <v>0.96703041201723261</v>
      </c>
      <c r="H657" s="302">
        <f t="shared" si="245"/>
        <v>2.2096276376464798</v>
      </c>
      <c r="I657" s="303"/>
      <c r="J657" s="302">
        <v>1.4611967319563781</v>
      </c>
      <c r="K657" s="302">
        <v>1.0132064570362045</v>
      </c>
      <c r="L657" s="302">
        <f t="shared" si="246"/>
        <v>2.4744031889925826</v>
      </c>
      <c r="M657" s="236"/>
      <c r="N657" s="236"/>
    </row>
    <row r="658" spans="1:14" x14ac:dyDescent="0.2">
      <c r="A658" s="237" t="str">
        <f>name!E$7</f>
        <v>Administrative and secretarial occupations</v>
      </c>
      <c r="B658" s="302">
        <v>3.9606529232803265</v>
      </c>
      <c r="C658" s="302">
        <v>0.77655874659462998</v>
      </c>
      <c r="D658" s="302">
        <f t="shared" si="244"/>
        <v>4.7372116698749567</v>
      </c>
      <c r="E658" s="303"/>
      <c r="F658" s="302">
        <v>5.4120931222659516</v>
      </c>
      <c r="G658" s="302">
        <v>1.1377832864360991</v>
      </c>
      <c r="H658" s="302">
        <f t="shared" si="245"/>
        <v>6.5498764087020511</v>
      </c>
      <c r="I658" s="303"/>
      <c r="J658" s="302">
        <v>5.5885129615798483</v>
      </c>
      <c r="K658" s="302">
        <v>1.2808822848492962</v>
      </c>
      <c r="L658" s="302">
        <f t="shared" si="246"/>
        <v>6.8693952464291446</v>
      </c>
      <c r="M658" s="236"/>
      <c r="N658" s="236"/>
    </row>
    <row r="659" spans="1:14" x14ac:dyDescent="0.2">
      <c r="A659" s="237" t="str">
        <f>name!E$8</f>
        <v>Skilled trades occupations</v>
      </c>
      <c r="B659" s="302">
        <v>9.0415128059659081E-2</v>
      </c>
      <c r="C659" s="302">
        <v>1.1695811380205787</v>
      </c>
      <c r="D659" s="302">
        <f t="shared" si="244"/>
        <v>1.2599962660802377</v>
      </c>
      <c r="E659" s="303"/>
      <c r="F659" s="302">
        <v>0.13726879108872383</v>
      </c>
      <c r="G659" s="302">
        <v>1.7260475994821276</v>
      </c>
      <c r="H659" s="302">
        <f t="shared" si="245"/>
        <v>1.8633163905708514</v>
      </c>
      <c r="I659" s="303"/>
      <c r="J659" s="302">
        <v>0.33118944796964106</v>
      </c>
      <c r="K659" s="302">
        <v>1.9335379593574273</v>
      </c>
      <c r="L659" s="302">
        <f t="shared" si="246"/>
        <v>2.2647274073270682</v>
      </c>
      <c r="M659" s="236"/>
      <c r="N659" s="236"/>
    </row>
    <row r="660" spans="1:14" x14ac:dyDescent="0.2">
      <c r="A660" s="237" t="str">
        <f>name!E$9</f>
        <v>Caring, leisure and other service occupations</v>
      </c>
      <c r="B660" s="302">
        <v>0.2701127190813048</v>
      </c>
      <c r="C660" s="302">
        <v>0.29816278963279075</v>
      </c>
      <c r="D660" s="302">
        <f t="shared" si="244"/>
        <v>0.5682755087140956</v>
      </c>
      <c r="E660" s="303"/>
      <c r="F660" s="302">
        <v>0.35455986600363343</v>
      </c>
      <c r="G660" s="302">
        <v>0.47647426090185807</v>
      </c>
      <c r="H660" s="302">
        <f t="shared" si="245"/>
        <v>0.8310341269054915</v>
      </c>
      <c r="I660" s="303"/>
      <c r="J660" s="302">
        <v>0.39462224163187309</v>
      </c>
      <c r="K660" s="302">
        <v>0.67036935444058521</v>
      </c>
      <c r="L660" s="302">
        <f t="shared" si="246"/>
        <v>1.0649915960724583</v>
      </c>
      <c r="M660" s="236"/>
      <c r="N660" s="236"/>
    </row>
    <row r="661" spans="1:14" x14ac:dyDescent="0.2">
      <c r="A661" s="237" t="str">
        <f>name!E$10</f>
        <v>Sales and customer service occupations</v>
      </c>
      <c r="B661" s="302">
        <v>1.1300778322452039</v>
      </c>
      <c r="C661" s="302">
        <v>0.39956197800789567</v>
      </c>
      <c r="D661" s="302">
        <f t="shared" si="244"/>
        <v>1.5296398102530995</v>
      </c>
      <c r="E661" s="303"/>
      <c r="F661" s="302">
        <v>1.5609920360167124</v>
      </c>
      <c r="G661" s="302">
        <v>0.54651111468479541</v>
      </c>
      <c r="H661" s="302">
        <f t="shared" si="245"/>
        <v>2.1075031507015076</v>
      </c>
      <c r="I661" s="303"/>
      <c r="J661" s="302">
        <v>2.0715617828439346</v>
      </c>
      <c r="K661" s="302">
        <v>0.7880268278625786</v>
      </c>
      <c r="L661" s="302">
        <f t="shared" si="246"/>
        <v>2.8595886107065134</v>
      </c>
      <c r="M661" s="236"/>
      <c r="N661" s="236"/>
    </row>
    <row r="662" spans="1:14" x14ac:dyDescent="0.2">
      <c r="A662" s="237" t="str">
        <f>name!E$11</f>
        <v>Process, plant and machine operatives</v>
      </c>
      <c r="B662" s="302">
        <v>0.35291570191349947</v>
      </c>
      <c r="C662" s="302">
        <v>2.7515132853720905</v>
      </c>
      <c r="D662" s="302">
        <f t="shared" si="244"/>
        <v>3.1044289872855901</v>
      </c>
      <c r="E662" s="303"/>
      <c r="F662" s="302">
        <v>0.4769154627706606</v>
      </c>
      <c r="G662" s="302">
        <v>3.4741142908869787</v>
      </c>
      <c r="H662" s="302">
        <f t="shared" si="245"/>
        <v>3.9510297536576391</v>
      </c>
      <c r="I662" s="303"/>
      <c r="J662" s="302">
        <v>0.98121520650844085</v>
      </c>
      <c r="K662" s="302">
        <v>3.8619395130043079</v>
      </c>
      <c r="L662" s="302">
        <f t="shared" si="246"/>
        <v>4.8431547195127491</v>
      </c>
      <c r="M662" s="236"/>
      <c r="N662" s="236"/>
    </row>
    <row r="663" spans="1:14" x14ac:dyDescent="0.2">
      <c r="A663" s="237" t="str">
        <f>name!E$12</f>
        <v>Elementary occupations</v>
      </c>
      <c r="B663" s="302">
        <v>2.5966095372354339</v>
      </c>
      <c r="C663" s="302">
        <v>5.1100337099612636</v>
      </c>
      <c r="D663" s="302">
        <f t="shared" si="244"/>
        <v>7.7066432471966975</v>
      </c>
      <c r="E663" s="303"/>
      <c r="F663" s="302">
        <v>3.1509350580751905</v>
      </c>
      <c r="G663" s="302">
        <v>6.2789362547564336</v>
      </c>
      <c r="H663" s="302">
        <f t="shared" si="245"/>
        <v>9.4298713128316241</v>
      </c>
      <c r="I663" s="303"/>
      <c r="J663" s="302">
        <v>3.1682398697142213</v>
      </c>
      <c r="K663" s="302">
        <v>6.1153881354187858</v>
      </c>
      <c r="L663" s="302">
        <f t="shared" si="246"/>
        <v>9.2836280051330071</v>
      </c>
      <c r="M663" s="236"/>
      <c r="N663" s="236"/>
    </row>
    <row r="664" spans="1:14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  <c r="N664" s="236"/>
    </row>
    <row r="665" spans="1:14" x14ac:dyDescent="0.2">
      <c r="A665" s="244" t="s">
        <v>32</v>
      </c>
      <c r="B665" s="311">
        <f>SUM(B655:B663)</f>
        <v>10.712000000157285</v>
      </c>
      <c r="C665" s="311">
        <f t="shared" ref="C665:D665" si="247">SUM(C655:C663)</f>
        <v>12.85699999984983</v>
      </c>
      <c r="D665" s="311">
        <f t="shared" si="247"/>
        <v>23.569000000007119</v>
      </c>
      <c r="E665" s="311"/>
      <c r="F665" s="311">
        <f t="shared" ref="F665:H665" si="248">SUM(F655:F663)</f>
        <v>15.462000000157818</v>
      </c>
      <c r="G665" s="311">
        <f t="shared" si="248"/>
        <v>17.308000000185558</v>
      </c>
      <c r="H665" s="311">
        <f t="shared" si="248"/>
        <v>32.77000000034338</v>
      </c>
      <c r="I665" s="311"/>
      <c r="J665" s="311">
        <f t="shared" ref="J665:L665" si="249">SUM(J655:J663)</f>
        <v>18.27699999977321</v>
      </c>
      <c r="K665" s="311">
        <f t="shared" si="249"/>
        <v>18.767000000251773</v>
      </c>
      <c r="L665" s="311">
        <f t="shared" si="249"/>
        <v>37.04400000002498</v>
      </c>
      <c r="M665" s="236"/>
      <c r="N665" s="236"/>
    </row>
    <row r="666" spans="1:14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  <c r="N666" s="236"/>
    </row>
    <row r="667" spans="1:14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56" t="s">
        <v>35</v>
      </c>
      <c r="M667" s="236"/>
      <c r="N667" s="236"/>
    </row>
    <row r="668" spans="1:14" x14ac:dyDescent="0.2">
      <c r="A668" s="242"/>
      <c r="B668" s="250"/>
      <c r="C668" s="250"/>
      <c r="D668" s="250"/>
      <c r="E668" s="250"/>
      <c r="F668" s="250"/>
      <c r="G668" s="250"/>
      <c r="H668" s="250"/>
      <c r="I668" s="250"/>
      <c r="J668" s="250"/>
      <c r="K668" s="250"/>
      <c r="L668" s="236"/>
      <c r="M668" s="236"/>
      <c r="N668" s="236"/>
    </row>
    <row r="669" spans="1:14" x14ac:dyDescent="0.2">
      <c r="A669" s="241" t="str">
        <f>name!A42</f>
        <v>Accommodation</v>
      </c>
      <c r="B669" s="372">
        <f>B$6</f>
        <v>2015</v>
      </c>
      <c r="C669" s="372"/>
      <c r="D669" s="372"/>
      <c r="E669" s="253"/>
      <c r="F669" s="372">
        <f>F652</f>
        <v>2020</v>
      </c>
      <c r="G669" s="372"/>
      <c r="H669" s="372"/>
      <c r="I669" s="253"/>
      <c r="J669" s="372">
        <f>J652</f>
        <v>2035</v>
      </c>
      <c r="K669" s="372"/>
      <c r="L669" s="372"/>
      <c r="M669" s="236"/>
      <c r="N669" s="236"/>
    </row>
    <row r="670" spans="1:14" x14ac:dyDescent="0.2">
      <c r="A670" s="254"/>
      <c r="B670" s="255" t="s">
        <v>352</v>
      </c>
      <c r="C670" s="255" t="s">
        <v>353</v>
      </c>
      <c r="D670" s="255" t="s">
        <v>32</v>
      </c>
      <c r="E670" s="255"/>
      <c r="F670" s="255" t="s">
        <v>352</v>
      </c>
      <c r="G670" s="255" t="s">
        <v>353</v>
      </c>
      <c r="H670" s="255" t="s">
        <v>32</v>
      </c>
      <c r="I670" s="255"/>
      <c r="J670" s="255" t="s">
        <v>352</v>
      </c>
      <c r="K670" s="255" t="s">
        <v>353</v>
      </c>
      <c r="L670" s="255" t="s">
        <v>32</v>
      </c>
      <c r="M670" s="236"/>
      <c r="N670" s="236"/>
    </row>
    <row r="671" spans="1:14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  <c r="N671" s="236"/>
    </row>
    <row r="672" spans="1:14" x14ac:dyDescent="0.2">
      <c r="A672" s="237" t="str">
        <f>name!E$4</f>
        <v>Managers, directors and senior officials</v>
      </c>
      <c r="B672" s="302">
        <v>2.3646005308180875</v>
      </c>
      <c r="C672" s="302">
        <v>1.8050346558636834</v>
      </c>
      <c r="D672" s="302">
        <f>SUM(B672:C672)</f>
        <v>4.1696351866817709</v>
      </c>
      <c r="E672" s="303"/>
      <c r="F672" s="302">
        <v>2.3772383698373796</v>
      </c>
      <c r="G672" s="302">
        <v>1.7915115484173925</v>
      </c>
      <c r="H672" s="302">
        <f>SUM(F672:G672)</f>
        <v>4.1687499182547718</v>
      </c>
      <c r="I672" s="303"/>
      <c r="J672" s="302">
        <v>3.3098070380913098</v>
      </c>
      <c r="K672" s="302">
        <v>2.5907006514194446</v>
      </c>
      <c r="L672" s="302">
        <f>SUM(J672:K672)</f>
        <v>5.9005076895107544</v>
      </c>
      <c r="M672" s="236"/>
      <c r="N672" s="236"/>
    </row>
    <row r="673" spans="1:14" x14ac:dyDescent="0.2">
      <c r="A673" s="237" t="str">
        <f>name!E$5</f>
        <v>Professional occupations</v>
      </c>
      <c r="B673" s="302">
        <v>0.4996912597319339</v>
      </c>
      <c r="C673" s="302">
        <v>0.36224939695040759</v>
      </c>
      <c r="D673" s="302">
        <f t="shared" ref="D673:D680" si="250">SUM(B673:C673)</f>
        <v>0.86194065668234154</v>
      </c>
      <c r="E673" s="303"/>
      <c r="F673" s="302">
        <v>0.69992706224001244</v>
      </c>
      <c r="G673" s="302">
        <v>0.44774968593118897</v>
      </c>
      <c r="H673" s="302">
        <f t="shared" ref="H673:H680" si="251">SUM(F673:G673)</f>
        <v>1.1476767481712014</v>
      </c>
      <c r="I673" s="303"/>
      <c r="J673" s="302">
        <v>0.90295002877189312</v>
      </c>
      <c r="K673" s="302">
        <v>0.52156464715953454</v>
      </c>
      <c r="L673" s="302">
        <f t="shared" ref="L673:L680" si="252">SUM(J673:K673)</f>
        <v>1.4245146759314276</v>
      </c>
      <c r="M673" s="236"/>
      <c r="N673" s="236"/>
    </row>
    <row r="674" spans="1:14" x14ac:dyDescent="0.2">
      <c r="A674" s="237" t="str">
        <f>name!E$6</f>
        <v>Associate professional occupations</v>
      </c>
      <c r="B674" s="302">
        <v>0.51686348682170768</v>
      </c>
      <c r="C674" s="302">
        <v>0.34234065895798232</v>
      </c>
      <c r="D674" s="302">
        <f t="shared" si="250"/>
        <v>0.85920414577968995</v>
      </c>
      <c r="E674" s="303"/>
      <c r="F674" s="302">
        <v>0.69131976694846087</v>
      </c>
      <c r="G674" s="302">
        <v>0.39497721242853873</v>
      </c>
      <c r="H674" s="302">
        <f t="shared" si="251"/>
        <v>1.0862969793769996</v>
      </c>
      <c r="I674" s="303"/>
      <c r="J674" s="302">
        <v>0.97257453591426268</v>
      </c>
      <c r="K674" s="302">
        <v>0.3456929360184664</v>
      </c>
      <c r="L674" s="302">
        <f t="shared" si="252"/>
        <v>1.318267471932729</v>
      </c>
      <c r="M674" s="236"/>
      <c r="N674" s="236"/>
    </row>
    <row r="675" spans="1:14" x14ac:dyDescent="0.2">
      <c r="A675" s="237" t="str">
        <f>name!E$7</f>
        <v>Administrative and secretarial occupations</v>
      </c>
      <c r="B675" s="302">
        <v>1.225348469652813</v>
      </c>
      <c r="C675" s="302">
        <v>0.36384365040246119</v>
      </c>
      <c r="D675" s="302">
        <f t="shared" si="250"/>
        <v>1.5891921200552741</v>
      </c>
      <c r="E675" s="303"/>
      <c r="F675" s="302">
        <v>1.4471332035579534</v>
      </c>
      <c r="G675" s="302">
        <v>0.34732269394560611</v>
      </c>
      <c r="H675" s="302">
        <f t="shared" si="251"/>
        <v>1.7944558975035596</v>
      </c>
      <c r="I675" s="303"/>
      <c r="J675" s="302">
        <v>1.9138583805949285</v>
      </c>
      <c r="K675" s="302">
        <v>0.42525237099833502</v>
      </c>
      <c r="L675" s="302">
        <f t="shared" si="252"/>
        <v>2.3391107515932634</v>
      </c>
      <c r="M675" s="236"/>
      <c r="N675" s="236"/>
    </row>
    <row r="676" spans="1:14" x14ac:dyDescent="0.2">
      <c r="A676" s="237" t="str">
        <f>name!E$8</f>
        <v>Skilled trades occupations</v>
      </c>
      <c r="B676" s="302">
        <v>1.4431647105675014</v>
      </c>
      <c r="C676" s="302">
        <v>1.4397945173488895</v>
      </c>
      <c r="D676" s="302">
        <f t="shared" si="250"/>
        <v>2.8829592279163911</v>
      </c>
      <c r="E676" s="303"/>
      <c r="F676" s="302">
        <v>1.4381269256961784</v>
      </c>
      <c r="G676" s="302">
        <v>1.0111200337973241</v>
      </c>
      <c r="H676" s="302">
        <f t="shared" si="251"/>
        <v>2.4492469594935025</v>
      </c>
      <c r="I676" s="303"/>
      <c r="J676" s="302">
        <v>1.5933073773249091</v>
      </c>
      <c r="K676" s="302">
        <v>0.89435834305503104</v>
      </c>
      <c r="L676" s="302">
        <f t="shared" si="252"/>
        <v>2.4876657203799404</v>
      </c>
      <c r="M676" s="236"/>
      <c r="N676" s="236"/>
    </row>
    <row r="677" spans="1:14" x14ac:dyDescent="0.2">
      <c r="A677" s="237" t="str">
        <f>name!E$9</f>
        <v>Caring, leisure and other service occupations</v>
      </c>
      <c r="B677" s="302">
        <v>1.1841137838597067</v>
      </c>
      <c r="C677" s="302">
        <v>0.21082352974556867</v>
      </c>
      <c r="D677" s="302">
        <f t="shared" si="250"/>
        <v>1.3949373136052754</v>
      </c>
      <c r="E677" s="303"/>
      <c r="F677" s="302">
        <v>1.2330083168584289</v>
      </c>
      <c r="G677" s="302">
        <v>0.20165741974781759</v>
      </c>
      <c r="H677" s="302">
        <f t="shared" si="251"/>
        <v>1.4346657366062465</v>
      </c>
      <c r="I677" s="303"/>
      <c r="J677" s="302">
        <v>1.6120323822550726</v>
      </c>
      <c r="K677" s="302">
        <v>0.24828085718824061</v>
      </c>
      <c r="L677" s="302">
        <f t="shared" si="252"/>
        <v>1.8603132394433133</v>
      </c>
      <c r="M677" s="236"/>
      <c r="N677" s="236"/>
    </row>
    <row r="678" spans="1:14" x14ac:dyDescent="0.2">
      <c r="A678" s="237" t="str">
        <f>name!E$10</f>
        <v>Sales and customer service occupations</v>
      </c>
      <c r="B678" s="302">
        <v>1.8650989475144373</v>
      </c>
      <c r="C678" s="302">
        <v>0.91193849321035325</v>
      </c>
      <c r="D678" s="302">
        <f t="shared" si="250"/>
        <v>2.7770374407247904</v>
      </c>
      <c r="E678" s="303"/>
      <c r="F678" s="302">
        <v>2.0744334699089397</v>
      </c>
      <c r="G678" s="302">
        <v>0.8068643313942796</v>
      </c>
      <c r="H678" s="302">
        <f t="shared" si="251"/>
        <v>2.8812978013032193</v>
      </c>
      <c r="I678" s="303"/>
      <c r="J678" s="302">
        <v>3.2108370356765921</v>
      </c>
      <c r="K678" s="302">
        <v>1.0898931873698505</v>
      </c>
      <c r="L678" s="302">
        <f t="shared" si="252"/>
        <v>4.3007302230464424</v>
      </c>
      <c r="M678" s="236"/>
      <c r="N678" s="236"/>
    </row>
    <row r="679" spans="1:14" x14ac:dyDescent="0.2">
      <c r="A679" s="237" t="str">
        <f>name!E$11</f>
        <v>Process, plant and machine operatives</v>
      </c>
      <c r="B679" s="302">
        <v>0.23156793342039497</v>
      </c>
      <c r="C679" s="302">
        <v>0.70637938386169641</v>
      </c>
      <c r="D679" s="302">
        <f t="shared" si="250"/>
        <v>0.93794731728209135</v>
      </c>
      <c r="E679" s="303"/>
      <c r="F679" s="302">
        <v>0.23091571500199171</v>
      </c>
      <c r="G679" s="302">
        <v>0.71943693190730429</v>
      </c>
      <c r="H679" s="302">
        <f t="shared" si="251"/>
        <v>0.95035264690929599</v>
      </c>
      <c r="I679" s="303"/>
      <c r="J679" s="302">
        <v>0.62265914104888664</v>
      </c>
      <c r="K679" s="302">
        <v>0.97818993813865962</v>
      </c>
      <c r="L679" s="302">
        <f t="shared" si="252"/>
        <v>1.6008490791875463</v>
      </c>
      <c r="M679" s="236"/>
      <c r="N679" s="236"/>
    </row>
    <row r="680" spans="1:14" x14ac:dyDescent="0.2">
      <c r="A680" s="237" t="str">
        <f>name!E$12</f>
        <v>Elementary occupations</v>
      </c>
      <c r="B680" s="302">
        <v>7.5005508781316887</v>
      </c>
      <c r="C680" s="302">
        <v>5.1125957136042226</v>
      </c>
      <c r="D680" s="302">
        <f t="shared" si="250"/>
        <v>12.613146591735912</v>
      </c>
      <c r="E680" s="303"/>
      <c r="F680" s="302">
        <v>8.7858971704314701</v>
      </c>
      <c r="G680" s="302">
        <v>3.9103601424617165</v>
      </c>
      <c r="H680" s="302">
        <f t="shared" si="251"/>
        <v>12.696257312893186</v>
      </c>
      <c r="I680" s="303"/>
      <c r="J680" s="302">
        <v>10.44497408006621</v>
      </c>
      <c r="K680" s="302">
        <v>4.7560670686751338</v>
      </c>
      <c r="L680" s="302">
        <f t="shared" si="252"/>
        <v>15.201041148741343</v>
      </c>
      <c r="M680" s="236"/>
      <c r="N680" s="236"/>
    </row>
    <row r="681" spans="1:14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  <c r="N681" s="236"/>
    </row>
    <row r="682" spans="1:14" x14ac:dyDescent="0.2">
      <c r="A682" s="244" t="s">
        <v>32</v>
      </c>
      <c r="B682" s="311">
        <f>SUM(B672:B680)</f>
        <v>16.831000000518273</v>
      </c>
      <c r="C682" s="311">
        <f t="shared" ref="C682:D682" si="253">SUM(C672:C680)</f>
        <v>11.254999999945266</v>
      </c>
      <c r="D682" s="311">
        <f t="shared" si="253"/>
        <v>28.086000000463535</v>
      </c>
      <c r="E682" s="311"/>
      <c r="F682" s="311">
        <f t="shared" ref="F682:H682" si="254">SUM(F672:F680)</f>
        <v>18.978000000480815</v>
      </c>
      <c r="G682" s="311">
        <f t="shared" si="254"/>
        <v>9.6310000000311682</v>
      </c>
      <c r="H682" s="311">
        <f t="shared" si="254"/>
        <v>28.609000000511983</v>
      </c>
      <c r="I682" s="311"/>
      <c r="J682" s="311">
        <f t="shared" ref="J682:L682" si="255">SUM(J672:J680)</f>
        <v>24.582999999744064</v>
      </c>
      <c r="K682" s="311">
        <f t="shared" si="255"/>
        <v>11.850000000022696</v>
      </c>
      <c r="L682" s="311">
        <f t="shared" si="255"/>
        <v>36.432999999766764</v>
      </c>
      <c r="M682" s="236"/>
      <c r="N682" s="236"/>
    </row>
    <row r="683" spans="1:14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  <c r="N683" s="236"/>
    </row>
    <row r="684" spans="1:14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56" t="s">
        <v>35</v>
      </c>
      <c r="M684" s="236"/>
      <c r="N684" s="236"/>
    </row>
    <row r="685" spans="1:14" x14ac:dyDescent="0.2">
      <c r="A685" s="242"/>
      <c r="B685" s="250"/>
      <c r="C685" s="250"/>
      <c r="D685" s="250"/>
      <c r="E685" s="250"/>
      <c r="F685" s="250"/>
      <c r="G685" s="250"/>
      <c r="H685" s="250"/>
      <c r="I685" s="250"/>
      <c r="J685" s="250"/>
      <c r="K685" s="250"/>
      <c r="L685" s="236"/>
      <c r="M685" s="236"/>
      <c r="N685" s="236"/>
    </row>
    <row r="686" spans="1:14" x14ac:dyDescent="0.2">
      <c r="A686" s="241" t="str">
        <f>name!A43</f>
        <v>Food and beverage services</v>
      </c>
      <c r="B686" s="372">
        <f>B$6</f>
        <v>2015</v>
      </c>
      <c r="C686" s="372"/>
      <c r="D686" s="372"/>
      <c r="E686" s="253"/>
      <c r="F686" s="372">
        <f>F669</f>
        <v>2020</v>
      </c>
      <c r="G686" s="372"/>
      <c r="H686" s="372"/>
      <c r="I686" s="253"/>
      <c r="J686" s="372">
        <f>J669</f>
        <v>2035</v>
      </c>
      <c r="K686" s="372"/>
      <c r="L686" s="372"/>
      <c r="M686" s="236"/>
      <c r="N686" s="236"/>
    </row>
    <row r="687" spans="1:14" x14ac:dyDescent="0.2">
      <c r="A687" s="254"/>
      <c r="B687" s="255" t="s">
        <v>352</v>
      </c>
      <c r="C687" s="255" t="s">
        <v>353</v>
      </c>
      <c r="D687" s="255" t="s">
        <v>32</v>
      </c>
      <c r="E687" s="255"/>
      <c r="F687" s="255" t="s">
        <v>352</v>
      </c>
      <c r="G687" s="255" t="s">
        <v>353</v>
      </c>
      <c r="H687" s="255" t="s">
        <v>32</v>
      </c>
      <c r="I687" s="255"/>
      <c r="J687" s="255" t="s">
        <v>352</v>
      </c>
      <c r="K687" s="255" t="s">
        <v>353</v>
      </c>
      <c r="L687" s="255" t="s">
        <v>32</v>
      </c>
      <c r="M687" s="236"/>
      <c r="N687" s="236"/>
    </row>
    <row r="688" spans="1:14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  <c r="N688" s="236"/>
    </row>
    <row r="689" spans="1:14" x14ac:dyDescent="0.2">
      <c r="A689" s="237" t="str">
        <f>name!E$4</f>
        <v>Managers, directors and senior officials</v>
      </c>
      <c r="B689" s="302">
        <v>4.7887312613887509</v>
      </c>
      <c r="C689" s="302">
        <v>7.2804859199906558</v>
      </c>
      <c r="D689" s="302">
        <f>SUM(B689:C689)</f>
        <v>12.069217181379408</v>
      </c>
      <c r="E689" s="303"/>
      <c r="F689" s="302">
        <v>6.7638462558621626</v>
      </c>
      <c r="G689" s="302">
        <v>8.6315096292535234</v>
      </c>
      <c r="H689" s="302">
        <f>SUM(F689:G689)</f>
        <v>15.395355885115686</v>
      </c>
      <c r="I689" s="303"/>
      <c r="J689" s="302">
        <v>7.8149708747866633</v>
      </c>
      <c r="K689" s="302">
        <v>11.451417025480655</v>
      </c>
      <c r="L689" s="302">
        <f>SUM(J689:K689)</f>
        <v>19.266387900267318</v>
      </c>
      <c r="M689" s="236"/>
      <c r="N689" s="236"/>
    </row>
    <row r="690" spans="1:14" x14ac:dyDescent="0.2">
      <c r="A690" s="237" t="str">
        <f>name!E$5</f>
        <v>Professional occupations</v>
      </c>
      <c r="B690" s="302">
        <v>1.2373962270807715</v>
      </c>
      <c r="C690" s="302">
        <v>1.4375675111577753</v>
      </c>
      <c r="D690" s="302">
        <f t="shared" ref="D690:D697" si="256">SUM(B690:C690)</f>
        <v>2.6749637382385467</v>
      </c>
      <c r="E690" s="303"/>
      <c r="F690" s="302">
        <v>2.503974138398867</v>
      </c>
      <c r="G690" s="302">
        <v>2.215551481543613</v>
      </c>
      <c r="H690" s="302">
        <f t="shared" ref="H690:H697" si="257">SUM(F690:G690)</f>
        <v>4.7195256199424804</v>
      </c>
      <c r="I690" s="303"/>
      <c r="J690" s="302">
        <v>2.7198502703176954</v>
      </c>
      <c r="K690" s="302">
        <v>2.301009300031017</v>
      </c>
      <c r="L690" s="302">
        <f t="shared" ref="L690:L697" si="258">SUM(J690:K690)</f>
        <v>5.020859570348712</v>
      </c>
      <c r="M690" s="236"/>
      <c r="N690" s="236"/>
    </row>
    <row r="691" spans="1:14" x14ac:dyDescent="0.2">
      <c r="A691" s="237" t="str">
        <f>name!E$6</f>
        <v>Associate professional occupations</v>
      </c>
      <c r="B691" s="302">
        <v>1.4593685228801148</v>
      </c>
      <c r="C691" s="302">
        <v>1.6161206625541422</v>
      </c>
      <c r="D691" s="302">
        <f t="shared" si="256"/>
        <v>3.075489185434257</v>
      </c>
      <c r="E691" s="303"/>
      <c r="F691" s="302">
        <v>2.4698640094631448</v>
      </c>
      <c r="G691" s="302">
        <v>2.1129960248575128</v>
      </c>
      <c r="H691" s="302">
        <f t="shared" si="257"/>
        <v>4.5828600343206576</v>
      </c>
      <c r="I691" s="303"/>
      <c r="J691" s="302">
        <v>2.7759486853814748</v>
      </c>
      <c r="K691" s="302">
        <v>1.5559677404203407</v>
      </c>
      <c r="L691" s="302">
        <f t="shared" si="258"/>
        <v>4.3319164258018157</v>
      </c>
      <c r="M691" s="236"/>
      <c r="N691" s="236"/>
    </row>
    <row r="692" spans="1:14" x14ac:dyDescent="0.2">
      <c r="A692" s="237" t="str">
        <f>name!E$7</f>
        <v>Administrative and secretarial occupations</v>
      </c>
      <c r="B692" s="302">
        <v>3.5381462527236578</v>
      </c>
      <c r="C692" s="302">
        <v>1.5464887530429925</v>
      </c>
      <c r="D692" s="302">
        <f t="shared" si="256"/>
        <v>5.0846350057666498</v>
      </c>
      <c r="E692" s="303"/>
      <c r="F692" s="302">
        <v>5.2981220312266109</v>
      </c>
      <c r="G692" s="302">
        <v>1.7451679337454056</v>
      </c>
      <c r="H692" s="302">
        <f t="shared" si="257"/>
        <v>7.0432899649720166</v>
      </c>
      <c r="I692" s="303"/>
      <c r="J692" s="302">
        <v>5.5304252551006812</v>
      </c>
      <c r="K692" s="302">
        <v>1.7102112691500733</v>
      </c>
      <c r="L692" s="302">
        <f t="shared" si="258"/>
        <v>7.2406365242507542</v>
      </c>
      <c r="M692" s="236"/>
      <c r="N692" s="236"/>
    </row>
    <row r="693" spans="1:14" x14ac:dyDescent="0.2">
      <c r="A693" s="237" t="str">
        <f>name!E$8</f>
        <v>Skilled trades occupations</v>
      </c>
      <c r="B693" s="302">
        <v>3.7809451445502571</v>
      </c>
      <c r="C693" s="302">
        <v>7.838279028084064</v>
      </c>
      <c r="D693" s="302">
        <f t="shared" si="256"/>
        <v>11.619224172634322</v>
      </c>
      <c r="E693" s="303"/>
      <c r="F693" s="302">
        <v>4.7066029148029971</v>
      </c>
      <c r="G693" s="302">
        <v>5.5607717088294519</v>
      </c>
      <c r="H693" s="302">
        <f t="shared" si="257"/>
        <v>10.267374623632449</v>
      </c>
      <c r="I693" s="303"/>
      <c r="J693" s="302">
        <v>3.9438995205917511</v>
      </c>
      <c r="K693" s="302">
        <v>4.1919576532887435</v>
      </c>
      <c r="L693" s="302">
        <f t="shared" si="258"/>
        <v>8.1358571738804955</v>
      </c>
      <c r="M693" s="236"/>
      <c r="N693" s="236"/>
    </row>
    <row r="694" spans="1:14" x14ac:dyDescent="0.2">
      <c r="A694" s="237" t="str">
        <f>name!E$9</f>
        <v>Caring, leisure and other service occupations</v>
      </c>
      <c r="B694" s="302">
        <v>3.451294730097918</v>
      </c>
      <c r="C694" s="302">
        <v>0.87885274423355308</v>
      </c>
      <c r="D694" s="302">
        <f t="shared" si="256"/>
        <v>4.3301474743314712</v>
      </c>
      <c r="E694" s="303"/>
      <c r="F694" s="302">
        <v>4.2582347736707993</v>
      </c>
      <c r="G694" s="302">
        <v>0.9813814262948759</v>
      </c>
      <c r="H694" s="302">
        <f t="shared" si="257"/>
        <v>5.239616199965675</v>
      </c>
      <c r="I694" s="303"/>
      <c r="J694" s="302">
        <v>4.2998647392914355</v>
      </c>
      <c r="K694" s="302">
        <v>0.97651973099298695</v>
      </c>
      <c r="L694" s="302">
        <f t="shared" si="258"/>
        <v>5.2763844702844223</v>
      </c>
      <c r="M694" s="236"/>
      <c r="N694" s="236"/>
    </row>
    <row r="695" spans="1:14" x14ac:dyDescent="0.2">
      <c r="A695" s="237" t="str">
        <f>name!E$10</f>
        <v>Sales and customer service occupations</v>
      </c>
      <c r="B695" s="302">
        <v>5.6545009498908545</v>
      </c>
      <c r="C695" s="302">
        <v>4.9089335717327529</v>
      </c>
      <c r="D695" s="302">
        <f t="shared" si="256"/>
        <v>10.563434521623607</v>
      </c>
      <c r="E695" s="303"/>
      <c r="F695" s="302">
        <v>7.0135882708803239</v>
      </c>
      <c r="G695" s="302">
        <v>4.4093669746583553</v>
      </c>
      <c r="H695" s="302">
        <f t="shared" si="257"/>
        <v>11.422955245538679</v>
      </c>
      <c r="I695" s="303"/>
      <c r="J695" s="302">
        <v>8.3979473003343923</v>
      </c>
      <c r="K695" s="302">
        <v>4.9315733444134313</v>
      </c>
      <c r="L695" s="302">
        <f t="shared" si="258"/>
        <v>13.329520644747824</v>
      </c>
      <c r="M695" s="236"/>
      <c r="N695" s="236"/>
    </row>
    <row r="696" spans="1:14" x14ac:dyDescent="0.2">
      <c r="A696" s="237" t="str">
        <f>name!E$11</f>
        <v>Process, plant and machine operatives</v>
      </c>
      <c r="B696" s="302">
        <v>0.68858472682329153</v>
      </c>
      <c r="C696" s="302">
        <v>4.7751228799330274</v>
      </c>
      <c r="D696" s="302">
        <f t="shared" si="256"/>
        <v>5.4637076067563193</v>
      </c>
      <c r="E696" s="303"/>
      <c r="F696" s="302">
        <v>0.84240149868667502</v>
      </c>
      <c r="G696" s="302">
        <v>4.5049668687557229</v>
      </c>
      <c r="H696" s="302">
        <f t="shared" si="257"/>
        <v>5.3473683674423977</v>
      </c>
      <c r="I696" s="303"/>
      <c r="J696" s="302">
        <v>1.7584105148141591</v>
      </c>
      <c r="K696" s="302">
        <v>4.9193631311079393</v>
      </c>
      <c r="L696" s="302">
        <f t="shared" si="258"/>
        <v>6.6777736459220982</v>
      </c>
      <c r="M696" s="236"/>
      <c r="N696" s="236"/>
    </row>
    <row r="697" spans="1:14" x14ac:dyDescent="0.2">
      <c r="A697" s="237" t="str">
        <f>name!E$12</f>
        <v>Elementary occupations</v>
      </c>
      <c r="B697" s="302">
        <v>27.17003218631908</v>
      </c>
      <c r="C697" s="302">
        <v>22.411148929108332</v>
      </c>
      <c r="D697" s="302">
        <f t="shared" si="256"/>
        <v>49.581181115427412</v>
      </c>
      <c r="E697" s="303"/>
      <c r="F697" s="302">
        <v>31.371366108754938</v>
      </c>
      <c r="G697" s="302">
        <v>19.641287952228694</v>
      </c>
      <c r="H697" s="302">
        <f t="shared" si="257"/>
        <v>51.012654060983635</v>
      </c>
      <c r="I697" s="303"/>
      <c r="J697" s="302">
        <v>28.252682838713081</v>
      </c>
      <c r="K697" s="302">
        <v>18.716980805226669</v>
      </c>
      <c r="L697" s="302">
        <f t="shared" si="258"/>
        <v>46.969663643939754</v>
      </c>
      <c r="M697" s="236"/>
      <c r="N697" s="236"/>
    </row>
    <row r="698" spans="1:14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  <c r="N698" s="236"/>
    </row>
    <row r="699" spans="1:14" x14ac:dyDescent="0.2">
      <c r="A699" s="244" t="s">
        <v>32</v>
      </c>
      <c r="B699" s="311">
        <f>SUM(B689:B697)</f>
        <v>51.769000001754698</v>
      </c>
      <c r="C699" s="311">
        <f t="shared" ref="C699:D699" si="259">SUM(C689:C697)</f>
        <v>52.692999999837298</v>
      </c>
      <c r="D699" s="311">
        <f t="shared" si="259"/>
        <v>104.46200000159199</v>
      </c>
      <c r="E699" s="311"/>
      <c r="F699" s="311">
        <f t="shared" ref="F699:H699" si="260">SUM(F689:F697)</f>
        <v>65.228000001746523</v>
      </c>
      <c r="G699" s="311">
        <f t="shared" si="260"/>
        <v>49.80300000016716</v>
      </c>
      <c r="H699" s="311">
        <f t="shared" si="260"/>
        <v>115.03100000191367</v>
      </c>
      <c r="I699" s="311"/>
      <c r="J699" s="311">
        <f t="shared" ref="J699:L699" si="261">SUM(J689:J697)</f>
        <v>65.493999999331336</v>
      </c>
      <c r="K699" s="311">
        <f t="shared" si="261"/>
        <v>50.755000000111849</v>
      </c>
      <c r="L699" s="311">
        <f t="shared" si="261"/>
        <v>116.24899999944319</v>
      </c>
      <c r="M699" s="236"/>
      <c r="N699" s="236"/>
    </row>
    <row r="700" spans="1:14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  <c r="N700" s="236"/>
    </row>
    <row r="701" spans="1:14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56" t="s">
        <v>35</v>
      </c>
      <c r="M701" s="236"/>
      <c r="N701" s="236"/>
    </row>
    <row r="702" spans="1:14" x14ac:dyDescent="0.2">
      <c r="A702" s="242"/>
      <c r="B702" s="250"/>
      <c r="C702" s="250"/>
      <c r="D702" s="250"/>
      <c r="E702" s="250"/>
      <c r="F702" s="250"/>
      <c r="G702" s="250"/>
      <c r="H702" s="250"/>
      <c r="I702" s="250"/>
      <c r="J702" s="250"/>
      <c r="K702" s="250"/>
      <c r="L702" s="236"/>
      <c r="M702" s="236"/>
      <c r="N702" s="236"/>
    </row>
    <row r="703" spans="1:14" x14ac:dyDescent="0.2">
      <c r="A703" s="241" t="str">
        <f>name!A44</f>
        <v>Publishing activities</v>
      </c>
      <c r="B703" s="372">
        <f>B$6</f>
        <v>2015</v>
      </c>
      <c r="C703" s="372"/>
      <c r="D703" s="372"/>
      <c r="E703" s="253"/>
      <c r="F703" s="372">
        <f>F686</f>
        <v>2020</v>
      </c>
      <c r="G703" s="372"/>
      <c r="H703" s="372"/>
      <c r="I703" s="253"/>
      <c r="J703" s="372">
        <f>J686</f>
        <v>2035</v>
      </c>
      <c r="K703" s="372"/>
      <c r="L703" s="372"/>
      <c r="M703" s="236"/>
      <c r="N703" s="236"/>
    </row>
    <row r="704" spans="1:14" x14ac:dyDescent="0.2">
      <c r="A704" s="254"/>
      <c r="B704" s="255" t="s">
        <v>352</v>
      </c>
      <c r="C704" s="255" t="s">
        <v>353</v>
      </c>
      <c r="D704" s="255" t="s">
        <v>32</v>
      </c>
      <c r="E704" s="255"/>
      <c r="F704" s="255" t="s">
        <v>352</v>
      </c>
      <c r="G704" s="255" t="s">
        <v>353</v>
      </c>
      <c r="H704" s="255" t="s">
        <v>32</v>
      </c>
      <c r="I704" s="255"/>
      <c r="J704" s="255" t="s">
        <v>352</v>
      </c>
      <c r="K704" s="255" t="s">
        <v>353</v>
      </c>
      <c r="L704" s="255" t="s">
        <v>32</v>
      </c>
      <c r="M704" s="236"/>
      <c r="N704" s="236"/>
    </row>
    <row r="705" spans="1:14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  <c r="N705" s="236"/>
    </row>
    <row r="706" spans="1:14" x14ac:dyDescent="0.2">
      <c r="A706" s="237" t="str">
        <f>name!E$4</f>
        <v>Managers, directors and senior officials</v>
      </c>
      <c r="B706" s="302">
        <v>0.16551223097703419</v>
      </c>
      <c r="C706" s="302">
        <v>0.71109828301164169</v>
      </c>
      <c r="D706" s="302">
        <f>SUM(B706:C706)</f>
        <v>0.87661051398867584</v>
      </c>
      <c r="E706" s="303"/>
      <c r="F706" s="302">
        <v>0.24296090190032207</v>
      </c>
      <c r="G706" s="302">
        <v>0.64809862974045096</v>
      </c>
      <c r="H706" s="302">
        <f>SUM(F706:G706)</f>
        <v>0.89105953164077301</v>
      </c>
      <c r="I706" s="303"/>
      <c r="J706" s="302">
        <v>0.23762633717195181</v>
      </c>
      <c r="K706" s="302">
        <v>0.74063975646067781</v>
      </c>
      <c r="L706" s="302">
        <f>SUM(J706:K706)</f>
        <v>0.97826609363262962</v>
      </c>
      <c r="M706" s="236"/>
      <c r="N706" s="236"/>
    </row>
    <row r="707" spans="1:14" x14ac:dyDescent="0.2">
      <c r="A707" s="237" t="str">
        <f>name!E$5</f>
        <v>Professional occupations</v>
      </c>
      <c r="B707" s="302">
        <v>0.20760297637140751</v>
      </c>
      <c r="C707" s="302">
        <v>0.96043059174840684</v>
      </c>
      <c r="D707" s="302">
        <f t="shared" ref="D707:D714" si="262">SUM(B707:C707)</f>
        <v>1.1680335681198144</v>
      </c>
      <c r="E707" s="303"/>
      <c r="F707" s="302">
        <v>0.28435929287637951</v>
      </c>
      <c r="G707" s="302">
        <v>0.96160752640183589</v>
      </c>
      <c r="H707" s="302">
        <f t="shared" ref="H707:H714" si="263">SUM(F707:G707)</f>
        <v>1.2459668192782154</v>
      </c>
      <c r="I707" s="303"/>
      <c r="J707" s="302">
        <v>0.29355292436459923</v>
      </c>
      <c r="K707" s="302">
        <v>1.0487002645445873</v>
      </c>
      <c r="L707" s="302">
        <f t="shared" ref="L707:L714" si="264">SUM(J707:K707)</f>
        <v>1.3422531889091864</v>
      </c>
      <c r="M707" s="236"/>
      <c r="N707" s="236"/>
    </row>
    <row r="708" spans="1:14" x14ac:dyDescent="0.2">
      <c r="A708" s="237" t="str">
        <f>name!E$6</f>
        <v>Associate professional occupations</v>
      </c>
      <c r="B708" s="302">
        <v>0.45389332022655782</v>
      </c>
      <c r="C708" s="302">
        <v>0.57255869197504305</v>
      </c>
      <c r="D708" s="302">
        <f t="shared" si="262"/>
        <v>1.026452012201601</v>
      </c>
      <c r="E708" s="303"/>
      <c r="F708" s="302">
        <v>0.56547471237841251</v>
      </c>
      <c r="G708" s="302">
        <v>0.51071872657905693</v>
      </c>
      <c r="H708" s="302">
        <f t="shared" si="263"/>
        <v>1.0761934389574694</v>
      </c>
      <c r="I708" s="303"/>
      <c r="J708" s="302">
        <v>0.58319639388671662</v>
      </c>
      <c r="K708" s="302">
        <v>0.47781006387097469</v>
      </c>
      <c r="L708" s="302">
        <f t="shared" si="264"/>
        <v>1.0610064577576912</v>
      </c>
      <c r="M708" s="236"/>
      <c r="N708" s="236"/>
    </row>
    <row r="709" spans="1:14" x14ac:dyDescent="0.2">
      <c r="A709" s="237" t="str">
        <f>name!E$7</f>
        <v>Administrative and secretarial occupations</v>
      </c>
      <c r="B709" s="302">
        <v>0.310254635301768</v>
      </c>
      <c r="C709" s="302">
        <v>0.16665335222012509</v>
      </c>
      <c r="D709" s="302">
        <f t="shared" si="262"/>
        <v>0.47690798752189312</v>
      </c>
      <c r="E709" s="303"/>
      <c r="F709" s="302">
        <v>0.39514600581624326</v>
      </c>
      <c r="G709" s="302">
        <v>0.16868926197197526</v>
      </c>
      <c r="H709" s="302">
        <f t="shared" si="263"/>
        <v>0.56383526778821857</v>
      </c>
      <c r="I709" s="303"/>
      <c r="J709" s="302">
        <v>0.31130725882814353</v>
      </c>
      <c r="K709" s="302">
        <v>0.14787130600148762</v>
      </c>
      <c r="L709" s="302">
        <f t="shared" si="264"/>
        <v>0.45917856482963115</v>
      </c>
      <c r="M709" s="236"/>
      <c r="N709" s="236"/>
    </row>
    <row r="710" spans="1:14" x14ac:dyDescent="0.2">
      <c r="A710" s="237" t="str">
        <f>name!E$8</f>
        <v>Skilled trades occupations</v>
      </c>
      <c r="B710" s="302">
        <v>2.160882535229787E-2</v>
      </c>
      <c r="C710" s="302">
        <v>0.44539374322396519</v>
      </c>
      <c r="D710" s="302">
        <f t="shared" si="262"/>
        <v>0.46700256857626304</v>
      </c>
      <c r="E710" s="303"/>
      <c r="F710" s="302">
        <v>3.1109717888902703E-2</v>
      </c>
      <c r="G710" s="302">
        <v>0.26867403541768842</v>
      </c>
      <c r="H710" s="302">
        <f t="shared" si="263"/>
        <v>0.29978375330659113</v>
      </c>
      <c r="I710" s="303"/>
      <c r="J710" s="302">
        <v>2.3469198677816543E-2</v>
      </c>
      <c r="K710" s="302">
        <v>0.21909289337197987</v>
      </c>
      <c r="L710" s="302">
        <f t="shared" si="264"/>
        <v>0.24256209204979642</v>
      </c>
      <c r="M710" s="236"/>
      <c r="N710" s="236"/>
    </row>
    <row r="711" spans="1:14" x14ac:dyDescent="0.2">
      <c r="A711" s="237" t="str">
        <f>name!E$9</f>
        <v>Caring, leisure and other service occupations</v>
      </c>
      <c r="B711" s="302">
        <v>3.792031078076704E-2</v>
      </c>
      <c r="C711" s="302">
        <v>3.3141422503044742E-2</v>
      </c>
      <c r="D711" s="302">
        <f t="shared" si="262"/>
        <v>7.1061733283811782E-2</v>
      </c>
      <c r="E711" s="303"/>
      <c r="F711" s="302">
        <v>5.0819399856481741E-2</v>
      </c>
      <c r="G711" s="302">
        <v>3.3649613801727839E-2</v>
      </c>
      <c r="H711" s="302">
        <f t="shared" si="263"/>
        <v>8.446901365820958E-2</v>
      </c>
      <c r="I711" s="303"/>
      <c r="J711" s="302">
        <v>4.7163794574126831E-2</v>
      </c>
      <c r="K711" s="302">
        <v>4.765301213451318E-2</v>
      </c>
      <c r="L711" s="302">
        <f t="shared" si="264"/>
        <v>9.4816806708640011E-2</v>
      </c>
      <c r="M711" s="236"/>
      <c r="N711" s="236"/>
    </row>
    <row r="712" spans="1:14" x14ac:dyDescent="0.2">
      <c r="A712" s="237" t="str">
        <f>name!E$10</f>
        <v>Sales and customer service occupations</v>
      </c>
      <c r="B712" s="302">
        <v>0.11963656097173532</v>
      </c>
      <c r="C712" s="302">
        <v>0.14707654186481445</v>
      </c>
      <c r="D712" s="302">
        <f t="shared" si="262"/>
        <v>0.26671310283654975</v>
      </c>
      <c r="E712" s="303"/>
      <c r="F712" s="302">
        <v>0.13773309493483971</v>
      </c>
      <c r="G712" s="302">
        <v>0.11737689156967</v>
      </c>
      <c r="H712" s="302">
        <f t="shared" si="263"/>
        <v>0.25510998650450972</v>
      </c>
      <c r="I712" s="303"/>
      <c r="J712" s="302">
        <v>0.14504355926830609</v>
      </c>
      <c r="K712" s="302">
        <v>0.14437243034833802</v>
      </c>
      <c r="L712" s="302">
        <f t="shared" si="264"/>
        <v>0.28941598961664411</v>
      </c>
      <c r="M712" s="236"/>
      <c r="N712" s="236"/>
    </row>
    <row r="713" spans="1:14" x14ac:dyDescent="0.2">
      <c r="A713" s="237" t="str">
        <f>name!E$11</f>
        <v>Process, plant and machine operatives</v>
      </c>
      <c r="B713" s="302">
        <v>4.0596895656280711E-2</v>
      </c>
      <c r="C713" s="302">
        <v>0.1702300212540685</v>
      </c>
      <c r="D713" s="302">
        <f t="shared" si="262"/>
        <v>0.21082691691034922</v>
      </c>
      <c r="E713" s="303"/>
      <c r="F713" s="302">
        <v>4.9420348068684561E-2</v>
      </c>
      <c r="G713" s="302">
        <v>0.15267706893749525</v>
      </c>
      <c r="H713" s="302">
        <f t="shared" si="263"/>
        <v>0.20209741700617981</v>
      </c>
      <c r="I713" s="303"/>
      <c r="J713" s="302">
        <v>6.0969164459175648E-2</v>
      </c>
      <c r="K713" s="302">
        <v>0.15846124254207289</v>
      </c>
      <c r="L713" s="302">
        <f t="shared" si="264"/>
        <v>0.21943040700124855</v>
      </c>
      <c r="M713" s="236"/>
      <c r="N713" s="236"/>
    </row>
    <row r="714" spans="1:14" x14ac:dyDescent="0.2">
      <c r="A714" s="237" t="str">
        <f>name!E$12</f>
        <v>Elementary occupations</v>
      </c>
      <c r="B714" s="302">
        <v>0.14497424434807638</v>
      </c>
      <c r="C714" s="302">
        <v>0.34441735225164266</v>
      </c>
      <c r="D714" s="302">
        <f t="shared" si="262"/>
        <v>0.48939159659971904</v>
      </c>
      <c r="E714" s="303"/>
      <c r="F714" s="302">
        <v>0.16997652625115325</v>
      </c>
      <c r="G714" s="302">
        <v>0.29550824555606708</v>
      </c>
      <c r="H714" s="302">
        <f t="shared" si="263"/>
        <v>0.46548477180722037</v>
      </c>
      <c r="I714" s="303"/>
      <c r="J714" s="302">
        <v>0.17867136877244291</v>
      </c>
      <c r="K714" s="302">
        <v>0.18739903071301439</v>
      </c>
      <c r="L714" s="302">
        <f t="shared" si="264"/>
        <v>0.36607039948545728</v>
      </c>
      <c r="M714" s="236"/>
      <c r="N714" s="236"/>
    </row>
    <row r="715" spans="1:14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  <c r="N715" s="236"/>
    </row>
    <row r="716" spans="1:14" x14ac:dyDescent="0.2">
      <c r="A716" s="244" t="s">
        <v>32</v>
      </c>
      <c r="B716" s="311">
        <f>SUM(B706:B714)</f>
        <v>1.501999999985925</v>
      </c>
      <c r="C716" s="311">
        <f t="shared" ref="C716:D716" si="265">SUM(C706:C714)</f>
        <v>3.5510000000527522</v>
      </c>
      <c r="D716" s="311">
        <f t="shared" si="265"/>
        <v>5.0530000000386783</v>
      </c>
      <c r="E716" s="311"/>
      <c r="F716" s="311">
        <f t="shared" ref="F716:H716" si="266">SUM(F706:F714)</f>
        <v>1.9269999999714191</v>
      </c>
      <c r="G716" s="311">
        <f t="shared" si="266"/>
        <v>3.1569999999759673</v>
      </c>
      <c r="H716" s="311">
        <f t="shared" si="266"/>
        <v>5.0839999999473875</v>
      </c>
      <c r="I716" s="311"/>
      <c r="J716" s="311">
        <f t="shared" ref="J716:L716" si="267">SUM(J706:J714)</f>
        <v>1.8810000000032792</v>
      </c>
      <c r="K716" s="311">
        <f t="shared" si="267"/>
        <v>3.171999999987646</v>
      </c>
      <c r="L716" s="311">
        <f t="shared" si="267"/>
        <v>5.0529999999909254</v>
      </c>
      <c r="M716" s="236"/>
      <c r="N716" s="236"/>
    </row>
    <row r="717" spans="1:14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  <c r="N717" s="236"/>
    </row>
    <row r="718" spans="1:14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56" t="s">
        <v>35</v>
      </c>
      <c r="M718" s="236"/>
      <c r="N718" s="236"/>
    </row>
    <row r="719" spans="1:14" x14ac:dyDescent="0.2">
      <c r="A719" s="242"/>
      <c r="B719" s="250"/>
      <c r="C719" s="250"/>
      <c r="D719" s="250"/>
      <c r="E719" s="250"/>
      <c r="F719" s="250"/>
      <c r="G719" s="250"/>
      <c r="H719" s="250"/>
      <c r="I719" s="250"/>
      <c r="J719" s="250"/>
      <c r="K719" s="250"/>
      <c r="L719" s="236"/>
      <c r="M719" s="236"/>
      <c r="N719" s="236"/>
    </row>
    <row r="720" spans="1:14" x14ac:dyDescent="0.2">
      <c r="A720" s="241" t="str">
        <f>name!A45</f>
        <v>Film and music</v>
      </c>
      <c r="B720" s="372">
        <f>B$6</f>
        <v>2015</v>
      </c>
      <c r="C720" s="372"/>
      <c r="D720" s="372"/>
      <c r="E720" s="253"/>
      <c r="F720" s="372">
        <f>F703</f>
        <v>2020</v>
      </c>
      <c r="G720" s="372"/>
      <c r="H720" s="372"/>
      <c r="I720" s="253"/>
      <c r="J720" s="372">
        <f>J703</f>
        <v>2035</v>
      </c>
      <c r="K720" s="372"/>
      <c r="L720" s="372"/>
      <c r="M720" s="236"/>
      <c r="N720" s="236"/>
    </row>
    <row r="721" spans="1:14" x14ac:dyDescent="0.2">
      <c r="A721" s="254"/>
      <c r="B721" s="255" t="s">
        <v>352</v>
      </c>
      <c r="C721" s="255" t="s">
        <v>353</v>
      </c>
      <c r="D721" s="255" t="s">
        <v>32</v>
      </c>
      <c r="E721" s="255"/>
      <c r="F721" s="255" t="s">
        <v>352</v>
      </c>
      <c r="G721" s="255" t="s">
        <v>353</v>
      </c>
      <c r="H721" s="255" t="s">
        <v>32</v>
      </c>
      <c r="I721" s="255"/>
      <c r="J721" s="255" t="s">
        <v>352</v>
      </c>
      <c r="K721" s="255" t="s">
        <v>353</v>
      </c>
      <c r="L721" s="255" t="s">
        <v>32</v>
      </c>
      <c r="M721" s="236"/>
      <c r="N721" s="236"/>
    </row>
    <row r="722" spans="1:14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  <c r="N722" s="236"/>
    </row>
    <row r="723" spans="1:14" x14ac:dyDescent="0.2">
      <c r="A723" s="237" t="str">
        <f>name!E$4</f>
        <v>Managers, directors and senior officials</v>
      </c>
      <c r="B723" s="302">
        <v>0.10739412609108032</v>
      </c>
      <c r="C723" s="302">
        <v>0.15550640447898359</v>
      </c>
      <c r="D723" s="302">
        <f>SUM(B723:C723)</f>
        <v>0.26290053057006391</v>
      </c>
      <c r="E723" s="303"/>
      <c r="F723" s="302">
        <v>0.1101992754502218</v>
      </c>
      <c r="G723" s="302">
        <v>7.3158324029383465E-2</v>
      </c>
      <c r="H723" s="302">
        <f>SUM(F723:G723)</f>
        <v>0.18335759947960528</v>
      </c>
      <c r="I723" s="303"/>
      <c r="J723" s="302">
        <v>0.12213562296959432</v>
      </c>
      <c r="K723" s="302">
        <v>0.10459065705645718</v>
      </c>
      <c r="L723" s="302">
        <f>SUM(J723:K723)</f>
        <v>0.2267262800260515</v>
      </c>
      <c r="M723" s="236"/>
      <c r="N723" s="236"/>
    </row>
    <row r="724" spans="1:14" x14ac:dyDescent="0.2">
      <c r="A724" s="237" t="str">
        <f>name!E$5</f>
        <v>Professional occupations</v>
      </c>
      <c r="B724" s="302">
        <v>0.19760410679509677</v>
      </c>
      <c r="C724" s="302">
        <v>0.16879952926364639</v>
      </c>
      <c r="D724" s="302">
        <f t="shared" ref="D724:D731" si="268">SUM(B724:C724)</f>
        <v>0.36640363605874315</v>
      </c>
      <c r="E724" s="303"/>
      <c r="F724" s="302">
        <v>0.23750844243061148</v>
      </c>
      <c r="G724" s="302">
        <v>8.442648568101975E-2</v>
      </c>
      <c r="H724" s="302">
        <f t="shared" ref="H724:H731" si="269">SUM(F724:G724)</f>
        <v>0.32193492811163121</v>
      </c>
      <c r="I724" s="303"/>
      <c r="J724" s="302">
        <v>0.30747768728584546</v>
      </c>
      <c r="K724" s="302">
        <v>9.5329923037624956E-2</v>
      </c>
      <c r="L724" s="302">
        <f t="shared" ref="L724:L731" si="270">SUM(J724:K724)</f>
        <v>0.4028076103234704</v>
      </c>
      <c r="M724" s="236"/>
      <c r="N724" s="236"/>
    </row>
    <row r="725" spans="1:14" x14ac:dyDescent="0.2">
      <c r="A725" s="237" t="str">
        <f>name!E$6</f>
        <v>Associate professional occupations</v>
      </c>
      <c r="B725" s="302">
        <v>0.27112732650311661</v>
      </c>
      <c r="C725" s="302">
        <v>0.32431711853570461</v>
      </c>
      <c r="D725" s="302">
        <f t="shared" si="268"/>
        <v>0.59544444503882121</v>
      </c>
      <c r="E725" s="303"/>
      <c r="F725" s="302">
        <v>0.24475041657407773</v>
      </c>
      <c r="G725" s="302">
        <v>0.1485792421965253</v>
      </c>
      <c r="H725" s="302">
        <f t="shared" si="269"/>
        <v>0.393329658770603</v>
      </c>
      <c r="I725" s="303"/>
      <c r="J725" s="302">
        <v>0.2605605566131633</v>
      </c>
      <c r="K725" s="302">
        <v>0.12731713642376896</v>
      </c>
      <c r="L725" s="302">
        <f t="shared" si="270"/>
        <v>0.38787769303693226</v>
      </c>
      <c r="M725" s="236"/>
      <c r="N725" s="236"/>
    </row>
    <row r="726" spans="1:14" x14ac:dyDescent="0.2">
      <c r="A726" s="237" t="str">
        <f>name!E$7</f>
        <v>Administrative and secretarial occupations</v>
      </c>
      <c r="B726" s="302">
        <v>0.38067998049658547</v>
      </c>
      <c r="C726" s="302">
        <v>2.1009065551655503E-2</v>
      </c>
      <c r="D726" s="302">
        <f t="shared" si="268"/>
        <v>0.40168904604824096</v>
      </c>
      <c r="E726" s="303"/>
      <c r="F726" s="302">
        <v>0.57944961529063854</v>
      </c>
      <c r="G726" s="302">
        <v>1.5369341183241816E-2</v>
      </c>
      <c r="H726" s="302">
        <f t="shared" si="269"/>
        <v>0.59481895647388039</v>
      </c>
      <c r="I726" s="303"/>
      <c r="J726" s="302">
        <v>0.58497458220669396</v>
      </c>
      <c r="K726" s="302">
        <v>1.044679681726407E-2</v>
      </c>
      <c r="L726" s="302">
        <f t="shared" si="270"/>
        <v>0.59542137902395798</v>
      </c>
      <c r="M726" s="236"/>
      <c r="N726" s="236"/>
    </row>
    <row r="727" spans="1:14" x14ac:dyDescent="0.2">
      <c r="A727" s="237" t="str">
        <f>name!E$8</f>
        <v>Skilled trades occupations</v>
      </c>
      <c r="B727" s="302">
        <v>6.6576881852076122E-2</v>
      </c>
      <c r="C727" s="302">
        <v>0.12165414361259513</v>
      </c>
      <c r="D727" s="302">
        <f t="shared" si="268"/>
        <v>0.18823102546467124</v>
      </c>
      <c r="E727" s="303"/>
      <c r="F727" s="302">
        <v>4.7874399919969723E-2</v>
      </c>
      <c r="G727" s="302">
        <v>5.5636432138349401E-2</v>
      </c>
      <c r="H727" s="302">
        <f t="shared" si="269"/>
        <v>0.10351083205831912</v>
      </c>
      <c r="I727" s="303"/>
      <c r="J727" s="302">
        <v>6.7436590703564267E-2</v>
      </c>
      <c r="K727" s="302">
        <v>5.8585360233891139E-2</v>
      </c>
      <c r="L727" s="302">
        <f t="shared" si="270"/>
        <v>0.12602195093745541</v>
      </c>
      <c r="M727" s="236"/>
      <c r="N727" s="236"/>
    </row>
    <row r="728" spans="1:14" x14ac:dyDescent="0.2">
      <c r="A728" s="237" t="str">
        <f>name!E$9</f>
        <v>Caring, leisure and other service occupations</v>
      </c>
      <c r="B728" s="302">
        <v>0.20916082468185768</v>
      </c>
      <c r="C728" s="302">
        <v>5.1577293652201234E-2</v>
      </c>
      <c r="D728" s="302">
        <f t="shared" si="268"/>
        <v>0.26073811833405891</v>
      </c>
      <c r="E728" s="303"/>
      <c r="F728" s="302">
        <v>0.27614238433370203</v>
      </c>
      <c r="G728" s="302">
        <v>5.3552029976106613E-2</v>
      </c>
      <c r="H728" s="302">
        <f t="shared" si="269"/>
        <v>0.32969441430980861</v>
      </c>
      <c r="I728" s="303"/>
      <c r="J728" s="302">
        <v>0.27824801027631058</v>
      </c>
      <c r="K728" s="302">
        <v>6.3615674399932445E-2</v>
      </c>
      <c r="L728" s="302">
        <f t="shared" si="270"/>
        <v>0.34186368467624301</v>
      </c>
      <c r="M728" s="236"/>
      <c r="N728" s="236"/>
    </row>
    <row r="729" spans="1:14" x14ac:dyDescent="0.2">
      <c r="A729" s="237" t="str">
        <f>name!E$10</f>
        <v>Sales and customer service occupations</v>
      </c>
      <c r="B729" s="302">
        <v>9.1920064736636872E-2</v>
      </c>
      <c r="C729" s="302">
        <v>5.1442188436197057E-2</v>
      </c>
      <c r="D729" s="302">
        <f t="shared" si="268"/>
        <v>0.14336225317283394</v>
      </c>
      <c r="E729" s="303"/>
      <c r="F729" s="302">
        <v>0.10591313770180591</v>
      </c>
      <c r="G729" s="302">
        <v>4.4484471362959244E-2</v>
      </c>
      <c r="H729" s="302">
        <f t="shared" si="269"/>
        <v>0.15039760906476515</v>
      </c>
      <c r="I729" s="303"/>
      <c r="J729" s="302">
        <v>0.10431503943625842</v>
      </c>
      <c r="K729" s="302">
        <v>5.2512445218305712E-2</v>
      </c>
      <c r="L729" s="302">
        <f t="shared" si="270"/>
        <v>0.15682748465456414</v>
      </c>
      <c r="M729" s="236"/>
      <c r="N729" s="236"/>
    </row>
    <row r="730" spans="1:14" x14ac:dyDescent="0.2">
      <c r="A730" s="237" t="str">
        <f>name!E$11</f>
        <v>Process, plant and machine operatives</v>
      </c>
      <c r="B730" s="302">
        <v>6.4811591260181042E-3</v>
      </c>
      <c r="C730" s="302">
        <v>2.5358927957712805E-2</v>
      </c>
      <c r="D730" s="302">
        <f t="shared" si="268"/>
        <v>3.1840087083730907E-2</v>
      </c>
      <c r="E730" s="303"/>
      <c r="F730" s="302">
        <v>4.7058201945339422E-3</v>
      </c>
      <c r="G730" s="302">
        <v>2.1436159466464041E-2</v>
      </c>
      <c r="H730" s="302">
        <f t="shared" si="269"/>
        <v>2.6141979660997981E-2</v>
      </c>
      <c r="I730" s="303"/>
      <c r="J730" s="302">
        <v>6.737811563245686E-3</v>
      </c>
      <c r="K730" s="302">
        <v>2.3943031893069892E-2</v>
      </c>
      <c r="L730" s="302">
        <f t="shared" si="270"/>
        <v>3.0680843456315578E-2</v>
      </c>
      <c r="M730" s="236"/>
      <c r="N730" s="236"/>
    </row>
    <row r="731" spans="1:14" x14ac:dyDescent="0.2">
      <c r="A731" s="237" t="str">
        <f>name!E$12</f>
        <v>Elementary occupations</v>
      </c>
      <c r="B731" s="302">
        <v>0.24605552971201056</v>
      </c>
      <c r="C731" s="302">
        <v>0.13633532853613028</v>
      </c>
      <c r="D731" s="302">
        <f t="shared" si="268"/>
        <v>0.38239085824814084</v>
      </c>
      <c r="E731" s="303"/>
      <c r="F731" s="302">
        <v>0.36245650811067259</v>
      </c>
      <c r="G731" s="302">
        <v>0.11035751396972009</v>
      </c>
      <c r="H731" s="302">
        <f t="shared" si="269"/>
        <v>0.47281402208039269</v>
      </c>
      <c r="I731" s="303"/>
      <c r="J731" s="302">
        <v>0.25011409894122461</v>
      </c>
      <c r="K731" s="302">
        <v>0.10065897492920012</v>
      </c>
      <c r="L731" s="302">
        <f t="shared" si="270"/>
        <v>0.35077307387042472</v>
      </c>
      <c r="M731" s="236"/>
      <c r="N731" s="236"/>
    </row>
    <row r="732" spans="1:14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  <c r="N732" s="236"/>
    </row>
    <row r="733" spans="1:14" x14ac:dyDescent="0.2">
      <c r="A733" s="244" t="s">
        <v>32</v>
      </c>
      <c r="B733" s="311">
        <f>SUM(B723:B731)</f>
        <v>1.5769999999944788</v>
      </c>
      <c r="C733" s="311">
        <f t="shared" ref="C733:D733" si="271">SUM(C723:C731)</f>
        <v>1.0560000000248264</v>
      </c>
      <c r="D733" s="311">
        <f t="shared" si="271"/>
        <v>2.6330000000193055</v>
      </c>
      <c r="E733" s="311"/>
      <c r="F733" s="311">
        <f t="shared" ref="F733:H733" si="272">SUM(F723:F731)</f>
        <v>1.969000000006234</v>
      </c>
      <c r="G733" s="311">
        <f t="shared" si="272"/>
        <v>0.60700000000376975</v>
      </c>
      <c r="H733" s="311">
        <f t="shared" si="272"/>
        <v>2.5760000000100036</v>
      </c>
      <c r="I733" s="311"/>
      <c r="J733" s="311">
        <f t="shared" ref="J733:L733" si="273">SUM(J723:J731)</f>
        <v>1.9819999999959008</v>
      </c>
      <c r="K733" s="311">
        <f t="shared" si="273"/>
        <v>0.6370000000095144</v>
      </c>
      <c r="L733" s="311">
        <f t="shared" si="273"/>
        <v>2.619000000005415</v>
      </c>
      <c r="M733" s="236"/>
      <c r="N733" s="236"/>
    </row>
    <row r="734" spans="1:14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  <c r="N734" s="236"/>
    </row>
    <row r="735" spans="1:14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56" t="s">
        <v>35</v>
      </c>
      <c r="M735" s="236"/>
      <c r="N735" s="236"/>
    </row>
    <row r="736" spans="1:14" x14ac:dyDescent="0.2">
      <c r="A736" s="242"/>
      <c r="B736" s="250"/>
      <c r="C736" s="250"/>
      <c r="D736" s="250"/>
      <c r="E736" s="250"/>
      <c r="F736" s="250"/>
      <c r="G736" s="250"/>
      <c r="H736" s="250"/>
      <c r="I736" s="250"/>
      <c r="J736" s="250"/>
      <c r="K736" s="250"/>
      <c r="L736" s="236"/>
      <c r="M736" s="236"/>
      <c r="N736" s="236"/>
    </row>
    <row r="737" spans="1:14" x14ac:dyDescent="0.2">
      <c r="A737" s="241" t="str">
        <f>name!A46</f>
        <v>Broadcasting</v>
      </c>
      <c r="B737" s="372">
        <f>B$6</f>
        <v>2015</v>
      </c>
      <c r="C737" s="372"/>
      <c r="D737" s="372"/>
      <c r="E737" s="253"/>
      <c r="F737" s="372">
        <f>F720</f>
        <v>2020</v>
      </c>
      <c r="G737" s="372"/>
      <c r="H737" s="372"/>
      <c r="I737" s="253"/>
      <c r="J737" s="372">
        <f>J720</f>
        <v>2035</v>
      </c>
      <c r="K737" s="372"/>
      <c r="L737" s="372"/>
      <c r="M737" s="236"/>
      <c r="N737" s="236"/>
    </row>
    <row r="738" spans="1:14" x14ac:dyDescent="0.2">
      <c r="A738" s="254"/>
      <c r="B738" s="255" t="s">
        <v>352</v>
      </c>
      <c r="C738" s="255" t="s">
        <v>353</v>
      </c>
      <c r="D738" s="255" t="s">
        <v>32</v>
      </c>
      <c r="E738" s="255"/>
      <c r="F738" s="255" t="s">
        <v>352</v>
      </c>
      <c r="G738" s="255" t="s">
        <v>353</v>
      </c>
      <c r="H738" s="255" t="s">
        <v>32</v>
      </c>
      <c r="I738" s="255"/>
      <c r="J738" s="255" t="s">
        <v>352</v>
      </c>
      <c r="K738" s="255" t="s">
        <v>353</v>
      </c>
      <c r="L738" s="255" t="s">
        <v>32</v>
      </c>
      <c r="M738" s="236"/>
      <c r="N738" s="236"/>
    </row>
    <row r="739" spans="1:14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  <c r="N739" s="236"/>
    </row>
    <row r="740" spans="1:14" x14ac:dyDescent="0.2">
      <c r="A740" s="237" t="str">
        <f>name!E$4</f>
        <v>Managers, directors and senior officials</v>
      </c>
      <c r="B740" s="302">
        <v>9.4863897469873414E-3</v>
      </c>
      <c r="C740" s="302">
        <v>5.6229492513835612E-2</v>
      </c>
      <c r="D740" s="302">
        <f>SUM(B740:C740)</f>
        <v>6.571588226082295E-2</v>
      </c>
      <c r="E740" s="303"/>
      <c r="F740" s="302">
        <v>3.2866480279002054E-2</v>
      </c>
      <c r="G740" s="302">
        <v>7.3805425421169274E-2</v>
      </c>
      <c r="H740" s="302">
        <f>SUM(F740:G740)</f>
        <v>0.10667190570017132</v>
      </c>
      <c r="I740" s="303"/>
      <c r="J740" s="302">
        <v>2.7529665501055348E-2</v>
      </c>
      <c r="K740" s="302">
        <v>8.2444113901872951E-2</v>
      </c>
      <c r="L740" s="302">
        <f>SUM(J740:K740)</f>
        <v>0.1099737794029283</v>
      </c>
      <c r="M740" s="236"/>
      <c r="N740" s="236"/>
    </row>
    <row r="741" spans="1:14" x14ac:dyDescent="0.2">
      <c r="A741" s="237" t="str">
        <f>name!E$5</f>
        <v>Professional occupations</v>
      </c>
      <c r="B741" s="302">
        <v>1.8768531066193674E-2</v>
      </c>
      <c r="C741" s="302">
        <v>9.5644161740672431E-2</v>
      </c>
      <c r="D741" s="302">
        <f t="shared" ref="D741:D748" si="274">SUM(B741:C741)</f>
        <v>0.11441269280686611</v>
      </c>
      <c r="E741" s="303"/>
      <c r="F741" s="302">
        <v>6.4466555779047266E-2</v>
      </c>
      <c r="G741" s="302">
        <v>0.11602405894481367</v>
      </c>
      <c r="H741" s="302">
        <f t="shared" ref="H741:H748" si="275">SUM(F741:G741)</f>
        <v>0.18049061472386094</v>
      </c>
      <c r="I741" s="303"/>
      <c r="J741" s="302">
        <v>6.5027621261992893E-2</v>
      </c>
      <c r="K741" s="302">
        <v>0.12639417477258172</v>
      </c>
      <c r="L741" s="302">
        <f t="shared" ref="L741:L748" si="276">SUM(J741:K741)</f>
        <v>0.1914217960345746</v>
      </c>
      <c r="M741" s="236"/>
      <c r="N741" s="236"/>
    </row>
    <row r="742" spans="1:14" x14ac:dyDescent="0.2">
      <c r="A742" s="237" t="str">
        <f>name!E$6</f>
        <v>Associate professional occupations</v>
      </c>
      <c r="B742" s="302">
        <v>3.3628533351838893E-2</v>
      </c>
      <c r="C742" s="302">
        <v>0.12099714841836728</v>
      </c>
      <c r="D742" s="302">
        <f t="shared" si="274"/>
        <v>0.15462568177020619</v>
      </c>
      <c r="E742" s="303"/>
      <c r="F742" s="302">
        <v>0.14407093797962187</v>
      </c>
      <c r="G742" s="302">
        <v>0.12834542165939258</v>
      </c>
      <c r="H742" s="302">
        <f t="shared" si="275"/>
        <v>0.27241635963901445</v>
      </c>
      <c r="I742" s="303"/>
      <c r="J742" s="302">
        <v>0.13445518302938561</v>
      </c>
      <c r="K742" s="302">
        <v>0.12583293269462317</v>
      </c>
      <c r="L742" s="302">
        <f t="shared" si="276"/>
        <v>0.26028811572400878</v>
      </c>
      <c r="M742" s="236"/>
      <c r="N742" s="236"/>
    </row>
    <row r="743" spans="1:14" x14ac:dyDescent="0.2">
      <c r="A743" s="237" t="str">
        <f>name!E$7</f>
        <v>Administrative and secretarial occupations</v>
      </c>
      <c r="B743" s="302">
        <v>2.5916629757600777E-2</v>
      </c>
      <c r="C743" s="302">
        <v>1.1453375641381203E-2</v>
      </c>
      <c r="D743" s="302">
        <f t="shared" si="274"/>
        <v>3.7370005398981984E-2</v>
      </c>
      <c r="E743" s="303"/>
      <c r="F743" s="302">
        <v>7.4448537403731502E-2</v>
      </c>
      <c r="G743" s="302">
        <v>1.7323985335203251E-2</v>
      </c>
      <c r="H743" s="302">
        <f t="shared" si="275"/>
        <v>9.1772522738934756E-2</v>
      </c>
      <c r="I743" s="303"/>
      <c r="J743" s="302">
        <v>6.6811516974150206E-2</v>
      </c>
      <c r="K743" s="302">
        <v>1.4900947984681874E-2</v>
      </c>
      <c r="L743" s="302">
        <f t="shared" si="276"/>
        <v>8.1712464958832082E-2</v>
      </c>
      <c r="M743" s="236"/>
      <c r="N743" s="236"/>
    </row>
    <row r="744" spans="1:14" x14ac:dyDescent="0.2">
      <c r="A744" s="237" t="str">
        <f>name!E$8</f>
        <v>Skilled trades occupations</v>
      </c>
      <c r="B744" s="302">
        <v>9.2792420445144581E-3</v>
      </c>
      <c r="C744" s="302">
        <v>6.2375460714595647E-2</v>
      </c>
      <c r="D744" s="302">
        <f t="shared" si="274"/>
        <v>7.1654702759110109E-2</v>
      </c>
      <c r="E744" s="303"/>
      <c r="F744" s="302">
        <v>4.2274245642175322E-2</v>
      </c>
      <c r="G744" s="302">
        <v>6.6293828517134668E-2</v>
      </c>
      <c r="H744" s="302">
        <f t="shared" si="275"/>
        <v>0.10856807415931</v>
      </c>
      <c r="I744" s="303"/>
      <c r="J744" s="302">
        <v>4.0686019941655473E-2</v>
      </c>
      <c r="K744" s="302">
        <v>6.0105834970085766E-2</v>
      </c>
      <c r="L744" s="302">
        <f t="shared" si="276"/>
        <v>0.10079185491174124</v>
      </c>
      <c r="M744" s="236"/>
      <c r="N744" s="236"/>
    </row>
    <row r="745" spans="1:14" x14ac:dyDescent="0.2">
      <c r="A745" s="237" t="str">
        <f>name!E$9</f>
        <v>Caring, leisure and other service occupations</v>
      </c>
      <c r="B745" s="302">
        <v>1.3970776147029124E-2</v>
      </c>
      <c r="C745" s="302">
        <v>2.0094592449715815E-2</v>
      </c>
      <c r="D745" s="302">
        <f t="shared" si="274"/>
        <v>3.4065368596744937E-2</v>
      </c>
      <c r="E745" s="303"/>
      <c r="F745" s="302">
        <v>3.9658157301263541E-2</v>
      </c>
      <c r="G745" s="302">
        <v>3.9636854580546499E-2</v>
      </c>
      <c r="H745" s="302">
        <f t="shared" si="275"/>
        <v>7.929501188181004E-2</v>
      </c>
      <c r="I745" s="303"/>
      <c r="J745" s="302">
        <v>3.9004413284491113E-2</v>
      </c>
      <c r="K745" s="302">
        <v>4.3820451746340749E-2</v>
      </c>
      <c r="L745" s="302">
        <f t="shared" si="276"/>
        <v>8.2824865030831862E-2</v>
      </c>
      <c r="M745" s="236"/>
      <c r="N745" s="236"/>
    </row>
    <row r="746" spans="1:14" x14ac:dyDescent="0.2">
      <c r="A746" s="237" t="str">
        <f>name!E$10</f>
        <v>Sales and customer service occupations</v>
      </c>
      <c r="B746" s="302">
        <v>8.0200576152582061E-3</v>
      </c>
      <c r="C746" s="302">
        <v>1.9220022456738116E-2</v>
      </c>
      <c r="D746" s="302">
        <f t="shared" si="274"/>
        <v>2.7240080071996322E-2</v>
      </c>
      <c r="E746" s="303"/>
      <c r="F746" s="302">
        <v>1.9837829765192425E-2</v>
      </c>
      <c r="G746" s="302">
        <v>3.3254966424228441E-2</v>
      </c>
      <c r="H746" s="302">
        <f t="shared" si="275"/>
        <v>5.3092796189420866E-2</v>
      </c>
      <c r="I746" s="303"/>
      <c r="J746" s="302">
        <v>1.6757274344171416E-2</v>
      </c>
      <c r="K746" s="302">
        <v>3.5930197334496643E-2</v>
      </c>
      <c r="L746" s="302">
        <f t="shared" si="276"/>
        <v>5.2687471678668059E-2</v>
      </c>
      <c r="M746" s="236"/>
      <c r="N746" s="236"/>
    </row>
    <row r="747" spans="1:14" x14ac:dyDescent="0.2">
      <c r="A747" s="237" t="str">
        <f>name!E$11</f>
        <v>Process, plant and machine operatives</v>
      </c>
      <c r="B747" s="302">
        <v>3.5230505820181026E-4</v>
      </c>
      <c r="C747" s="302">
        <v>6.9828582993439877E-3</v>
      </c>
      <c r="D747" s="302">
        <f t="shared" si="274"/>
        <v>7.3351633575457981E-3</v>
      </c>
      <c r="E747" s="303"/>
      <c r="F747" s="302">
        <v>1.1662645460133764E-3</v>
      </c>
      <c r="G747" s="302">
        <v>9.8134387013294102E-3</v>
      </c>
      <c r="H747" s="302">
        <f t="shared" si="275"/>
        <v>1.0979703247342787E-2</v>
      </c>
      <c r="I747" s="303"/>
      <c r="J747" s="302">
        <v>1.318927494684267E-3</v>
      </c>
      <c r="K747" s="302">
        <v>1.0866955013625144E-2</v>
      </c>
      <c r="L747" s="302">
        <f t="shared" si="276"/>
        <v>1.218588250830941E-2</v>
      </c>
      <c r="M747" s="236"/>
      <c r="N747" s="236"/>
    </row>
    <row r="748" spans="1:14" x14ac:dyDescent="0.2">
      <c r="A748" s="237" t="str">
        <f>name!E$12</f>
        <v>Elementary occupations</v>
      </c>
      <c r="B748" s="302">
        <v>1.0577535211237611E-2</v>
      </c>
      <c r="C748" s="302">
        <v>2.6002887773847849E-2</v>
      </c>
      <c r="D748" s="302">
        <f t="shared" si="274"/>
        <v>3.6580422985085459E-2</v>
      </c>
      <c r="E748" s="303"/>
      <c r="F748" s="302">
        <v>3.2210991293862137E-2</v>
      </c>
      <c r="G748" s="302">
        <v>4.4502020415373301E-2</v>
      </c>
      <c r="H748" s="302">
        <f t="shared" si="275"/>
        <v>7.6713011709235446E-2</v>
      </c>
      <c r="I748" s="303"/>
      <c r="J748" s="302">
        <v>2.7409378171859646E-2</v>
      </c>
      <c r="K748" s="302">
        <v>3.8704391585148636E-2</v>
      </c>
      <c r="L748" s="302">
        <f t="shared" si="276"/>
        <v>6.6113769757008278E-2</v>
      </c>
      <c r="M748" s="236"/>
      <c r="N748" s="236"/>
    </row>
    <row r="749" spans="1:14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  <c r="N749" s="236"/>
    </row>
    <row r="750" spans="1:14" x14ac:dyDescent="0.2">
      <c r="A750" s="244" t="s">
        <v>32</v>
      </c>
      <c r="B750" s="311">
        <f>SUM(B740:B748)</f>
        <v>0.12999999999886189</v>
      </c>
      <c r="C750" s="311">
        <f t="shared" ref="C750:D750" si="277">SUM(C740:C748)</f>
        <v>0.41900000000849796</v>
      </c>
      <c r="D750" s="311">
        <f t="shared" si="277"/>
        <v>0.54900000000735993</v>
      </c>
      <c r="E750" s="311"/>
      <c r="F750" s="311">
        <f t="shared" ref="F750:H750" si="278">SUM(F740:F748)</f>
        <v>0.45099999998990947</v>
      </c>
      <c r="G750" s="311">
        <f t="shared" si="278"/>
        <v>0.52899999999919112</v>
      </c>
      <c r="H750" s="311">
        <f t="shared" si="278"/>
        <v>0.97999999998910048</v>
      </c>
      <c r="I750" s="311"/>
      <c r="J750" s="311">
        <f t="shared" ref="J750:L750" si="279">SUM(J740:J748)</f>
        <v>0.41900000000344595</v>
      </c>
      <c r="K750" s="311">
        <f t="shared" si="279"/>
        <v>0.5390000000034566</v>
      </c>
      <c r="L750" s="311">
        <f t="shared" si="279"/>
        <v>0.95800000000690266</v>
      </c>
      <c r="M750" s="236"/>
      <c r="N750" s="236"/>
    </row>
    <row r="751" spans="1:14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  <c r="N751" s="236"/>
    </row>
    <row r="752" spans="1:14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56" t="s">
        <v>35</v>
      </c>
      <c r="M752" s="236"/>
      <c r="N752" s="236"/>
    </row>
    <row r="753" spans="1:14" x14ac:dyDescent="0.2">
      <c r="A753" s="242"/>
      <c r="B753" s="250"/>
      <c r="C753" s="250"/>
      <c r="D753" s="250"/>
      <c r="E753" s="250"/>
      <c r="F753" s="250"/>
      <c r="G753" s="250"/>
      <c r="H753" s="250"/>
      <c r="I753" s="250"/>
      <c r="J753" s="250"/>
      <c r="K753" s="250"/>
      <c r="L753" s="236"/>
      <c r="M753" s="236"/>
      <c r="N753" s="236"/>
    </row>
    <row r="754" spans="1:14" x14ac:dyDescent="0.2">
      <c r="A754" s="241" t="str">
        <f>name!A47</f>
        <v>Telecommunications</v>
      </c>
      <c r="B754" s="372">
        <f>B$6</f>
        <v>2015</v>
      </c>
      <c r="C754" s="372"/>
      <c r="D754" s="372"/>
      <c r="E754" s="253"/>
      <c r="F754" s="372">
        <f>F737</f>
        <v>2020</v>
      </c>
      <c r="G754" s="372"/>
      <c r="H754" s="372"/>
      <c r="I754" s="253"/>
      <c r="J754" s="372">
        <f>J737</f>
        <v>2035</v>
      </c>
      <c r="K754" s="372"/>
      <c r="L754" s="372"/>
      <c r="M754" s="236"/>
      <c r="N754" s="236"/>
    </row>
    <row r="755" spans="1:14" x14ac:dyDescent="0.2">
      <c r="A755" s="254"/>
      <c r="B755" s="255" t="s">
        <v>352</v>
      </c>
      <c r="C755" s="255" t="s">
        <v>353</v>
      </c>
      <c r="D755" s="255" t="s">
        <v>32</v>
      </c>
      <c r="E755" s="255"/>
      <c r="F755" s="255" t="s">
        <v>352</v>
      </c>
      <c r="G755" s="255" t="s">
        <v>353</v>
      </c>
      <c r="H755" s="255" t="s">
        <v>32</v>
      </c>
      <c r="I755" s="255"/>
      <c r="J755" s="255" t="s">
        <v>352</v>
      </c>
      <c r="K755" s="255" t="s">
        <v>353</v>
      </c>
      <c r="L755" s="255" t="s">
        <v>32</v>
      </c>
      <c r="M755" s="236"/>
      <c r="N755" s="236"/>
    </row>
    <row r="756" spans="1:14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  <c r="N756" s="236"/>
    </row>
    <row r="757" spans="1:14" x14ac:dyDescent="0.2">
      <c r="A757" s="237" t="str">
        <f>name!E$4</f>
        <v>Managers, directors and senior officials</v>
      </c>
      <c r="B757" s="302">
        <v>0.33392640416568231</v>
      </c>
      <c r="C757" s="302">
        <v>1.029746424971449</v>
      </c>
      <c r="D757" s="302">
        <f>SUM(B757:C757)</f>
        <v>1.3636728291371312</v>
      </c>
      <c r="E757" s="303"/>
      <c r="F757" s="302">
        <v>0.27355437281207845</v>
      </c>
      <c r="G757" s="302">
        <v>1.2051497804830313</v>
      </c>
      <c r="H757" s="302">
        <f>SUM(F757:G757)</f>
        <v>1.4787041532951097</v>
      </c>
      <c r="I757" s="303"/>
      <c r="J757" s="302">
        <v>0.34781617709039164</v>
      </c>
      <c r="K757" s="302">
        <v>1.2929980639346839</v>
      </c>
      <c r="L757" s="302">
        <f>SUM(J757:K757)</f>
        <v>1.6408142410250754</v>
      </c>
      <c r="M757" s="236"/>
      <c r="N757" s="236"/>
    </row>
    <row r="758" spans="1:14" x14ac:dyDescent="0.2">
      <c r="A758" s="237" t="str">
        <f>name!E$5</f>
        <v>Professional occupations</v>
      </c>
      <c r="B758" s="302">
        <v>0.29151449684910913</v>
      </c>
      <c r="C758" s="302">
        <v>2.0232100892041815</v>
      </c>
      <c r="D758" s="302">
        <f t="shared" ref="D758:D765" si="280">SUM(B758:C758)</f>
        <v>2.3147245860532908</v>
      </c>
      <c r="E758" s="303"/>
      <c r="F758" s="302">
        <v>0.26930794090399562</v>
      </c>
      <c r="G758" s="302">
        <v>2.4758822750790688</v>
      </c>
      <c r="H758" s="302">
        <f t="shared" ref="H758:H765" si="281">SUM(F758:G758)</f>
        <v>2.7451902159830643</v>
      </c>
      <c r="I758" s="303"/>
      <c r="J758" s="302">
        <v>0.35736922809614113</v>
      </c>
      <c r="K758" s="302">
        <v>3.1358131926065762</v>
      </c>
      <c r="L758" s="302">
        <f t="shared" ref="L758:L765" si="282">SUM(J758:K758)</f>
        <v>3.4931824207027171</v>
      </c>
      <c r="M758" s="236"/>
      <c r="N758" s="236"/>
    </row>
    <row r="759" spans="1:14" x14ac:dyDescent="0.2">
      <c r="A759" s="237" t="str">
        <f>name!E$6</f>
        <v>Associate professional occupations</v>
      </c>
      <c r="B759" s="302">
        <v>0.35809196513845937</v>
      </c>
      <c r="C759" s="302">
        <v>0.70175177921991616</v>
      </c>
      <c r="D759" s="302">
        <f t="shared" si="280"/>
        <v>1.0598437443583755</v>
      </c>
      <c r="E759" s="303"/>
      <c r="F759" s="302">
        <v>0.27188171845460146</v>
      </c>
      <c r="G759" s="302">
        <v>0.85587580585157119</v>
      </c>
      <c r="H759" s="302">
        <f t="shared" si="281"/>
        <v>1.1277575243061726</v>
      </c>
      <c r="I759" s="303"/>
      <c r="J759" s="302">
        <v>0.31382295661447768</v>
      </c>
      <c r="K759" s="302">
        <v>0.89960192648712811</v>
      </c>
      <c r="L759" s="302">
        <f t="shared" si="282"/>
        <v>1.2134248831016059</v>
      </c>
      <c r="M759" s="236"/>
      <c r="N759" s="236"/>
    </row>
    <row r="760" spans="1:14" x14ac:dyDescent="0.2">
      <c r="A760" s="237" t="str">
        <f>name!E$7</f>
        <v>Administrative and secretarial occupations</v>
      </c>
      <c r="B760" s="302">
        <v>0.41251177379774773</v>
      </c>
      <c r="C760" s="302">
        <v>0.22011116572499373</v>
      </c>
      <c r="D760" s="302">
        <f t="shared" si="280"/>
        <v>0.6326229395227414</v>
      </c>
      <c r="E760" s="303"/>
      <c r="F760" s="302">
        <v>0.23247844224122982</v>
      </c>
      <c r="G760" s="302">
        <v>0.26422004301907437</v>
      </c>
      <c r="H760" s="302">
        <f t="shared" si="281"/>
        <v>0.49669848526030419</v>
      </c>
      <c r="I760" s="303"/>
      <c r="J760" s="302">
        <v>0.21045139726426537</v>
      </c>
      <c r="K760" s="302">
        <v>0.30188159559794198</v>
      </c>
      <c r="L760" s="302">
        <f t="shared" si="282"/>
        <v>0.51233299286220735</v>
      </c>
      <c r="M760" s="236"/>
      <c r="N760" s="236"/>
    </row>
    <row r="761" spans="1:14" x14ac:dyDescent="0.2">
      <c r="A761" s="237" t="str">
        <f>name!E$8</f>
        <v>Skilled trades occupations</v>
      </c>
      <c r="B761" s="302">
        <v>4.4735087450350916E-2</v>
      </c>
      <c r="C761" s="302">
        <v>0.92268523046867956</v>
      </c>
      <c r="D761" s="302">
        <f t="shared" si="280"/>
        <v>0.96742031791903049</v>
      </c>
      <c r="E761" s="303"/>
      <c r="F761" s="302">
        <v>3.096384818547545E-2</v>
      </c>
      <c r="G761" s="302">
        <v>0.77144416509642477</v>
      </c>
      <c r="H761" s="302">
        <f t="shared" si="281"/>
        <v>0.80240801328190026</v>
      </c>
      <c r="I761" s="303"/>
      <c r="J761" s="302">
        <v>5.1602931717914295E-2</v>
      </c>
      <c r="K761" s="302">
        <v>0.54130839050178448</v>
      </c>
      <c r="L761" s="302">
        <f t="shared" si="282"/>
        <v>0.59291132221969878</v>
      </c>
      <c r="M761" s="236"/>
      <c r="N761" s="236"/>
    </row>
    <row r="762" spans="1:14" x14ac:dyDescent="0.2">
      <c r="A762" s="237" t="str">
        <f>name!E$9</f>
        <v>Caring, leisure and other service occupations</v>
      </c>
      <c r="B762" s="302">
        <v>4.9403463544041896E-2</v>
      </c>
      <c r="C762" s="302">
        <v>0.107685010862951</v>
      </c>
      <c r="D762" s="302">
        <f t="shared" si="280"/>
        <v>0.15708847440699289</v>
      </c>
      <c r="E762" s="303"/>
      <c r="F762" s="302">
        <v>1.6349373917562054E-2</v>
      </c>
      <c r="G762" s="302">
        <v>0.11350333582478846</v>
      </c>
      <c r="H762" s="302">
        <f t="shared" si="281"/>
        <v>0.12985270974235052</v>
      </c>
      <c r="I762" s="303"/>
      <c r="J762" s="302">
        <v>1.3121683121192306E-2</v>
      </c>
      <c r="K762" s="302">
        <v>0.16588536376844723</v>
      </c>
      <c r="L762" s="302">
        <f t="shared" si="282"/>
        <v>0.17900704688963953</v>
      </c>
      <c r="M762" s="236"/>
      <c r="N762" s="236"/>
    </row>
    <row r="763" spans="1:14" x14ac:dyDescent="0.2">
      <c r="A763" s="237" t="str">
        <f>name!E$10</f>
        <v>Sales and customer service occupations</v>
      </c>
      <c r="B763" s="302">
        <v>0.86916961873956011</v>
      </c>
      <c r="C763" s="302">
        <v>0.41648698840821963</v>
      </c>
      <c r="D763" s="302">
        <f t="shared" si="280"/>
        <v>1.2856566071477797</v>
      </c>
      <c r="E763" s="303"/>
      <c r="F763" s="302">
        <v>0.46717883343285571</v>
      </c>
      <c r="G763" s="302">
        <v>0.38704175855704148</v>
      </c>
      <c r="H763" s="302">
        <f t="shared" si="281"/>
        <v>0.85422059198989719</v>
      </c>
      <c r="I763" s="303"/>
      <c r="J763" s="302">
        <v>0.55134792127653887</v>
      </c>
      <c r="K763" s="302">
        <v>0.57517700581557463</v>
      </c>
      <c r="L763" s="302">
        <f t="shared" si="282"/>
        <v>1.1265249270921136</v>
      </c>
      <c r="M763" s="236"/>
      <c r="N763" s="236"/>
    </row>
    <row r="764" spans="1:14" x14ac:dyDescent="0.2">
      <c r="A764" s="237" t="str">
        <f>name!E$11</f>
        <v>Process, plant and machine operatives</v>
      </c>
      <c r="B764" s="302">
        <v>2.6736565992077289E-2</v>
      </c>
      <c r="C764" s="302">
        <v>0.13053297472112788</v>
      </c>
      <c r="D764" s="302">
        <f t="shared" si="280"/>
        <v>0.15726954071320517</v>
      </c>
      <c r="E764" s="303"/>
      <c r="F764" s="302">
        <v>9.4363533443413243E-3</v>
      </c>
      <c r="G764" s="302">
        <v>7.5131811846149504E-2</v>
      </c>
      <c r="H764" s="302">
        <f t="shared" si="281"/>
        <v>8.4568165190490832E-2</v>
      </c>
      <c r="I764" s="303"/>
      <c r="J764" s="302">
        <v>1.8198892174677895E-2</v>
      </c>
      <c r="K764" s="302">
        <v>9.9103355467548768E-2</v>
      </c>
      <c r="L764" s="302">
        <f t="shared" si="282"/>
        <v>0.11730224764222666</v>
      </c>
      <c r="M764" s="236"/>
      <c r="N764" s="236"/>
    </row>
    <row r="765" spans="1:14" x14ac:dyDescent="0.2">
      <c r="A765" s="237" t="str">
        <f>name!E$12</f>
        <v>Elementary occupations</v>
      </c>
      <c r="B765" s="302">
        <v>7.6910624312336154E-2</v>
      </c>
      <c r="C765" s="302">
        <v>0.12379033646827717</v>
      </c>
      <c r="D765" s="302">
        <f t="shared" si="280"/>
        <v>0.20070096078061334</v>
      </c>
      <c r="E765" s="303"/>
      <c r="F765" s="302">
        <v>2.7849116698350645E-2</v>
      </c>
      <c r="G765" s="302">
        <v>6.1751024125090384E-2</v>
      </c>
      <c r="H765" s="302">
        <f t="shared" si="281"/>
        <v>8.9600140823441032E-2</v>
      </c>
      <c r="I765" s="303"/>
      <c r="J765" s="302">
        <v>2.8268812642855308E-2</v>
      </c>
      <c r="K765" s="302">
        <v>5.623110570733101E-2</v>
      </c>
      <c r="L765" s="302">
        <f t="shared" si="282"/>
        <v>8.4499918350186318E-2</v>
      </c>
      <c r="M765" s="236"/>
      <c r="N765" s="236"/>
    </row>
    <row r="766" spans="1:14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  <c r="N766" s="236"/>
    </row>
    <row r="767" spans="1:14" x14ac:dyDescent="0.2">
      <c r="A767" s="244" t="s">
        <v>32</v>
      </c>
      <c r="B767" s="311">
        <f>SUM(B757:B765)</f>
        <v>2.462999999989365</v>
      </c>
      <c r="C767" s="311">
        <f t="shared" ref="C767:D767" si="283">SUM(C757:C765)</f>
        <v>5.676000000049795</v>
      </c>
      <c r="D767" s="311">
        <f t="shared" si="283"/>
        <v>8.1390000000391609</v>
      </c>
      <c r="E767" s="311"/>
      <c r="F767" s="311">
        <f t="shared" ref="F767:H767" si="284">SUM(F757:F765)</f>
        <v>1.5989999999904905</v>
      </c>
      <c r="G767" s="311">
        <f t="shared" si="284"/>
        <v>6.2099999998822399</v>
      </c>
      <c r="H767" s="311">
        <f t="shared" si="284"/>
        <v>7.8089999998727304</v>
      </c>
      <c r="I767" s="311"/>
      <c r="J767" s="311">
        <f t="shared" ref="J767:L767" si="285">SUM(J757:J765)</f>
        <v>1.8919999999984545</v>
      </c>
      <c r="K767" s="311">
        <f t="shared" si="285"/>
        <v>7.067999999887018</v>
      </c>
      <c r="L767" s="311">
        <f t="shared" si="285"/>
        <v>8.9599999998854702</v>
      </c>
      <c r="M767" s="236"/>
      <c r="N767" s="236"/>
    </row>
    <row r="768" spans="1:14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  <c r="N768" s="236"/>
    </row>
    <row r="769" spans="1:14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56" t="s">
        <v>35</v>
      </c>
      <c r="M769" s="236"/>
      <c r="N769" s="236"/>
    </row>
    <row r="770" spans="1:14" x14ac:dyDescent="0.2">
      <c r="A770" s="242"/>
      <c r="B770" s="250"/>
      <c r="C770" s="250"/>
      <c r="D770" s="250"/>
      <c r="E770" s="250"/>
      <c r="F770" s="250"/>
      <c r="G770" s="250"/>
      <c r="H770" s="250"/>
      <c r="I770" s="250"/>
      <c r="J770" s="250"/>
      <c r="K770" s="250"/>
      <c r="L770" s="236"/>
      <c r="M770" s="236"/>
      <c r="N770" s="236"/>
    </row>
    <row r="771" spans="1:14" x14ac:dyDescent="0.2">
      <c r="A771" s="241" t="str">
        <f>name!A48</f>
        <v>Computing services</v>
      </c>
      <c r="B771" s="372">
        <f>B$6</f>
        <v>2015</v>
      </c>
      <c r="C771" s="372"/>
      <c r="D771" s="372"/>
      <c r="E771" s="253"/>
      <c r="F771" s="372">
        <f>F$6</f>
        <v>2020</v>
      </c>
      <c r="G771" s="372"/>
      <c r="H771" s="372"/>
      <c r="I771" s="253"/>
      <c r="J771" s="372">
        <f>J$6</f>
        <v>2035</v>
      </c>
      <c r="K771" s="372"/>
      <c r="L771" s="372"/>
      <c r="M771" s="236"/>
      <c r="N771" s="236"/>
    </row>
    <row r="772" spans="1:14" x14ac:dyDescent="0.2">
      <c r="A772" s="254"/>
      <c r="B772" s="255" t="s">
        <v>352</v>
      </c>
      <c r="C772" s="255" t="s">
        <v>353</v>
      </c>
      <c r="D772" s="255" t="s">
        <v>32</v>
      </c>
      <c r="E772" s="255"/>
      <c r="F772" s="255" t="s">
        <v>352</v>
      </c>
      <c r="G772" s="255" t="s">
        <v>353</v>
      </c>
      <c r="H772" s="255" t="s">
        <v>32</v>
      </c>
      <c r="I772" s="255"/>
      <c r="J772" s="255" t="s">
        <v>352</v>
      </c>
      <c r="K772" s="255" t="s">
        <v>353</v>
      </c>
      <c r="L772" s="255" t="s">
        <v>32</v>
      </c>
      <c r="M772" s="236"/>
      <c r="N772" s="236"/>
    </row>
    <row r="773" spans="1:14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  <c r="N773" s="236"/>
    </row>
    <row r="774" spans="1:14" x14ac:dyDescent="0.2">
      <c r="A774" s="237" t="str">
        <f>name!E$4</f>
        <v>Managers, directors and senior officials</v>
      </c>
      <c r="B774" s="302">
        <v>1.4029976018128882</v>
      </c>
      <c r="C774" s="302">
        <v>3.588097808919879</v>
      </c>
      <c r="D774" s="302">
        <f>SUM(B774:C774)</f>
        <v>4.9910954107327674</v>
      </c>
      <c r="E774" s="303"/>
      <c r="F774" s="302">
        <v>1.4178091469006335</v>
      </c>
      <c r="G774" s="302">
        <v>3.8741395795748645</v>
      </c>
      <c r="H774" s="302">
        <f>SUM(F774:G774)</f>
        <v>5.2919487264754981</v>
      </c>
      <c r="I774" s="303"/>
      <c r="J774" s="302">
        <v>1.8665820595452942</v>
      </c>
      <c r="K774" s="302">
        <v>4.0767114908399824</v>
      </c>
      <c r="L774" s="302">
        <f>SUM(J774:K774)</f>
        <v>5.9432935503852766</v>
      </c>
      <c r="M774" s="236"/>
      <c r="N774" s="236"/>
    </row>
    <row r="775" spans="1:14" x14ac:dyDescent="0.2">
      <c r="A775" s="237" t="str">
        <f>name!E$5</f>
        <v>Professional occupations</v>
      </c>
      <c r="B775" s="302">
        <v>2.99611845137037</v>
      </c>
      <c r="C775" s="302">
        <v>11.910972271120746</v>
      </c>
      <c r="D775" s="302">
        <f t="shared" ref="D775:D782" si="286">SUM(B775:C775)</f>
        <v>14.907090722491116</v>
      </c>
      <c r="E775" s="303"/>
      <c r="F775" s="302">
        <v>3.2268889326717862</v>
      </c>
      <c r="G775" s="302">
        <v>13.898476314947169</v>
      </c>
      <c r="H775" s="302">
        <f t="shared" ref="H775:H782" si="287">SUM(F775:G775)</f>
        <v>17.125365247618955</v>
      </c>
      <c r="I775" s="303"/>
      <c r="J775" s="302">
        <v>4.3161629517479891</v>
      </c>
      <c r="K775" s="302">
        <v>16.717640851011705</v>
      </c>
      <c r="L775" s="302">
        <f t="shared" ref="L775:L782" si="288">SUM(J775:K775)</f>
        <v>21.033803802759692</v>
      </c>
      <c r="M775" s="236"/>
      <c r="N775" s="236"/>
    </row>
    <row r="776" spans="1:14" x14ac:dyDescent="0.2">
      <c r="A776" s="237" t="str">
        <f>name!E$6</f>
        <v>Associate professional occupations</v>
      </c>
      <c r="B776" s="302">
        <v>1.9254342622643461</v>
      </c>
      <c r="C776" s="302">
        <v>3.2152753082864938</v>
      </c>
      <c r="D776" s="302">
        <f t="shared" si="286"/>
        <v>5.1407095705508397</v>
      </c>
      <c r="E776" s="303"/>
      <c r="F776" s="302">
        <v>1.8305323428583267</v>
      </c>
      <c r="G776" s="302">
        <v>3.4349083068003403</v>
      </c>
      <c r="H776" s="302">
        <f t="shared" si="287"/>
        <v>5.2654406496586672</v>
      </c>
      <c r="I776" s="303"/>
      <c r="J776" s="302">
        <v>2.1508617936259706</v>
      </c>
      <c r="K776" s="302">
        <v>3.5566128392535257</v>
      </c>
      <c r="L776" s="302">
        <f t="shared" si="288"/>
        <v>5.7074746328794959</v>
      </c>
      <c r="M776" s="236"/>
      <c r="N776" s="236"/>
    </row>
    <row r="777" spans="1:14" x14ac:dyDescent="0.2">
      <c r="A777" s="237" t="str">
        <f>name!E$7</f>
        <v>Administrative and secretarial occupations</v>
      </c>
      <c r="B777" s="302">
        <v>2.1252934463939543</v>
      </c>
      <c r="C777" s="302">
        <v>0.31723601580038185</v>
      </c>
      <c r="D777" s="302">
        <f t="shared" si="286"/>
        <v>2.4425294621943361</v>
      </c>
      <c r="E777" s="303"/>
      <c r="F777" s="302">
        <v>1.8824968170794987</v>
      </c>
      <c r="G777" s="302">
        <v>0.36741366985199025</v>
      </c>
      <c r="H777" s="302">
        <f t="shared" si="287"/>
        <v>2.2499104869314888</v>
      </c>
      <c r="I777" s="303"/>
      <c r="J777" s="302">
        <v>1.5556437789327753</v>
      </c>
      <c r="K777" s="302">
        <v>0.29079538288114182</v>
      </c>
      <c r="L777" s="302">
        <f t="shared" si="288"/>
        <v>1.8464391618139171</v>
      </c>
      <c r="M777" s="236"/>
      <c r="N777" s="236"/>
    </row>
    <row r="778" spans="1:14" x14ac:dyDescent="0.2">
      <c r="A778" s="237" t="str">
        <f>name!E$8</f>
        <v>Skilled trades occupations</v>
      </c>
      <c r="B778" s="302">
        <v>0.13613181220783002</v>
      </c>
      <c r="C778" s="302">
        <v>1.7486233468648826</v>
      </c>
      <c r="D778" s="302">
        <f t="shared" si="286"/>
        <v>1.8847551590727127</v>
      </c>
      <c r="E778" s="303"/>
      <c r="F778" s="302">
        <v>0.12763277422630417</v>
      </c>
      <c r="G778" s="302">
        <v>1.2237304632831079</v>
      </c>
      <c r="H778" s="302">
        <f t="shared" si="287"/>
        <v>1.351363237509412</v>
      </c>
      <c r="I778" s="303"/>
      <c r="J778" s="302">
        <v>0.20063470613081655</v>
      </c>
      <c r="K778" s="302">
        <v>1.1069478445737351</v>
      </c>
      <c r="L778" s="302">
        <f t="shared" si="288"/>
        <v>1.3075825507045515</v>
      </c>
      <c r="M778" s="236"/>
      <c r="N778" s="236"/>
    </row>
    <row r="779" spans="1:14" x14ac:dyDescent="0.2">
      <c r="A779" s="237" t="str">
        <f>name!E$9</f>
        <v>Caring, leisure and other service occupations</v>
      </c>
      <c r="B779" s="302">
        <v>0.46448929540075989</v>
      </c>
      <c r="C779" s="302">
        <v>0.35060734379660297</v>
      </c>
      <c r="D779" s="302">
        <f t="shared" si="286"/>
        <v>0.81509663919736286</v>
      </c>
      <c r="E779" s="303"/>
      <c r="F779" s="302">
        <v>0.36722403002836618</v>
      </c>
      <c r="G779" s="302">
        <v>0.36306135410215479</v>
      </c>
      <c r="H779" s="302">
        <f t="shared" si="287"/>
        <v>0.73028538413052102</v>
      </c>
      <c r="I779" s="303"/>
      <c r="J779" s="302">
        <v>0.45769738016278894</v>
      </c>
      <c r="K779" s="302">
        <v>0.59558009197857631</v>
      </c>
      <c r="L779" s="302">
        <f t="shared" si="288"/>
        <v>1.0532774721413651</v>
      </c>
      <c r="M779" s="236"/>
      <c r="N779" s="236"/>
    </row>
    <row r="780" spans="1:14" x14ac:dyDescent="0.2">
      <c r="A780" s="237" t="str">
        <f>name!E$10</f>
        <v>Sales and customer service occupations</v>
      </c>
      <c r="B780" s="302">
        <v>0.55671099245056499</v>
      </c>
      <c r="C780" s="302">
        <v>0.19555907483666018</v>
      </c>
      <c r="D780" s="302">
        <f t="shared" si="286"/>
        <v>0.75227006728722512</v>
      </c>
      <c r="E780" s="303"/>
      <c r="F780" s="302">
        <v>0.43838143452543182</v>
      </c>
      <c r="G780" s="302">
        <v>0.21140001198801558</v>
      </c>
      <c r="H780" s="302">
        <f t="shared" si="287"/>
        <v>0.64978144651344738</v>
      </c>
      <c r="I780" s="303"/>
      <c r="J780" s="302">
        <v>0.53963594551608485</v>
      </c>
      <c r="K780" s="302">
        <v>0.29904620890792499</v>
      </c>
      <c r="L780" s="302">
        <f t="shared" si="288"/>
        <v>0.83868215442400984</v>
      </c>
      <c r="M780" s="236"/>
      <c r="N780" s="236"/>
    </row>
    <row r="781" spans="1:14" x14ac:dyDescent="0.2">
      <c r="A781" s="237" t="str">
        <f>name!E$11</f>
        <v>Process, plant and machine operatives</v>
      </c>
      <c r="B781" s="302">
        <v>5.6106543785989275E-2</v>
      </c>
      <c r="C781" s="302">
        <v>0.2409225556124123</v>
      </c>
      <c r="D781" s="302">
        <f t="shared" si="286"/>
        <v>0.29702909939840155</v>
      </c>
      <c r="E781" s="303"/>
      <c r="F781" s="302">
        <v>3.6043919395246975E-2</v>
      </c>
      <c r="G781" s="302">
        <v>0.19867044895913855</v>
      </c>
      <c r="H781" s="302">
        <f t="shared" si="287"/>
        <v>0.23471436835438553</v>
      </c>
      <c r="I781" s="303"/>
      <c r="J781" s="302">
        <v>5.7138959883873339E-2</v>
      </c>
      <c r="K781" s="302">
        <v>0.23678628461565279</v>
      </c>
      <c r="L781" s="302">
        <f t="shared" si="288"/>
        <v>0.29392524449952612</v>
      </c>
      <c r="M781" s="236"/>
      <c r="N781" s="236"/>
    </row>
    <row r="782" spans="1:14" x14ac:dyDescent="0.2">
      <c r="A782" s="237" t="str">
        <f>name!E$12</f>
        <v>Elementary occupations</v>
      </c>
      <c r="B782" s="302">
        <v>0.14471759410006485</v>
      </c>
      <c r="C782" s="302">
        <v>0.1217062750635521</v>
      </c>
      <c r="D782" s="302">
        <f t="shared" si="286"/>
        <v>0.26642386916361693</v>
      </c>
      <c r="E782" s="303"/>
      <c r="F782" s="302">
        <v>9.1990602155824552E-2</v>
      </c>
      <c r="G782" s="302">
        <v>9.1199849919993956E-2</v>
      </c>
      <c r="H782" s="302">
        <f t="shared" si="287"/>
        <v>0.18319045207581852</v>
      </c>
      <c r="I782" s="303"/>
      <c r="J782" s="302">
        <v>0.10364242449205301</v>
      </c>
      <c r="K782" s="302">
        <v>6.5879005390550111E-2</v>
      </c>
      <c r="L782" s="302">
        <f t="shared" si="288"/>
        <v>0.1695214298826031</v>
      </c>
      <c r="M782" s="236"/>
      <c r="N782" s="236"/>
    </row>
    <row r="783" spans="1:14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  <c r="N783" s="236"/>
    </row>
    <row r="784" spans="1:14" x14ac:dyDescent="0.2">
      <c r="A784" s="244" t="s">
        <v>32</v>
      </c>
      <c r="B784" s="311">
        <f>SUM(B774:B782)</f>
        <v>9.8079999997867677</v>
      </c>
      <c r="C784" s="311">
        <f t="shared" ref="C784:D784" si="289">SUM(C774:C782)</f>
        <v>21.689000000301608</v>
      </c>
      <c r="D784" s="311">
        <f t="shared" si="289"/>
        <v>31.497000000088381</v>
      </c>
      <c r="E784" s="311"/>
      <c r="F784" s="311">
        <f t="shared" ref="F784:H784" si="290">SUM(F774:F782)</f>
        <v>9.4189999998414198</v>
      </c>
      <c r="G784" s="311">
        <f t="shared" si="290"/>
        <v>23.662999999426777</v>
      </c>
      <c r="H784" s="311">
        <f t="shared" si="290"/>
        <v>33.081999999268191</v>
      </c>
      <c r="I784" s="311"/>
      <c r="J784" s="311">
        <f t="shared" ref="J784:L784" si="291">SUM(J774:J782)</f>
        <v>11.248000000037649</v>
      </c>
      <c r="K784" s="311">
        <f t="shared" si="291"/>
        <v>26.945999999452795</v>
      </c>
      <c r="L784" s="311">
        <f t="shared" si="291"/>
        <v>38.193999999490437</v>
      </c>
      <c r="M784" s="236"/>
      <c r="N784" s="236"/>
    </row>
    <row r="785" spans="1:14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  <c r="N785" s="236"/>
    </row>
    <row r="786" spans="1:14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56" t="s">
        <v>35</v>
      </c>
      <c r="M786" s="236"/>
      <c r="N786" s="236"/>
    </row>
    <row r="787" spans="1:14" x14ac:dyDescent="0.2">
      <c r="A787" s="242"/>
      <c r="B787" s="250"/>
      <c r="C787" s="250"/>
      <c r="D787" s="250"/>
      <c r="E787" s="250"/>
      <c r="F787" s="250"/>
      <c r="G787" s="250"/>
      <c r="H787" s="250"/>
      <c r="I787" s="250"/>
      <c r="J787" s="250"/>
      <c r="K787" s="250"/>
      <c r="L787" s="236"/>
      <c r="M787" s="236"/>
      <c r="N787" s="236"/>
    </row>
    <row r="788" spans="1:14" x14ac:dyDescent="0.2">
      <c r="A788" s="241" t="str">
        <f>name!A49</f>
        <v>Information services</v>
      </c>
      <c r="B788" s="372">
        <f>B$6</f>
        <v>2015</v>
      </c>
      <c r="C788" s="372"/>
      <c r="D788" s="372"/>
      <c r="E788" s="253"/>
      <c r="F788" s="372">
        <f>F$6</f>
        <v>2020</v>
      </c>
      <c r="G788" s="372"/>
      <c r="H788" s="372"/>
      <c r="I788" s="253"/>
      <c r="J788" s="372">
        <f>J$6</f>
        <v>2035</v>
      </c>
      <c r="K788" s="372"/>
      <c r="L788" s="372"/>
      <c r="M788" s="236"/>
      <c r="N788" s="236"/>
    </row>
    <row r="789" spans="1:14" x14ac:dyDescent="0.2">
      <c r="A789" s="254"/>
      <c r="B789" s="255" t="s">
        <v>352</v>
      </c>
      <c r="C789" s="255" t="s">
        <v>353</v>
      </c>
      <c r="D789" s="255" t="s">
        <v>32</v>
      </c>
      <c r="E789" s="255"/>
      <c r="F789" s="255" t="s">
        <v>352</v>
      </c>
      <c r="G789" s="255" t="s">
        <v>353</v>
      </c>
      <c r="H789" s="255" t="s">
        <v>32</v>
      </c>
      <c r="I789" s="255"/>
      <c r="J789" s="255" t="s">
        <v>352</v>
      </c>
      <c r="K789" s="255" t="s">
        <v>353</v>
      </c>
      <c r="L789" s="255" t="s">
        <v>32</v>
      </c>
      <c r="M789" s="236"/>
      <c r="N789" s="236"/>
    </row>
    <row r="790" spans="1:14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  <c r="N790" s="236"/>
    </row>
    <row r="791" spans="1:14" x14ac:dyDescent="0.2">
      <c r="A791" s="237" t="str">
        <f>name!E$4</f>
        <v>Managers, directors and senior officials</v>
      </c>
      <c r="B791" s="302">
        <v>0.13296864328234925</v>
      </c>
      <c r="C791" s="302">
        <v>0.62250258767677635</v>
      </c>
      <c r="D791" s="302">
        <f>SUM(B791:C791)</f>
        <v>0.75547123095912561</v>
      </c>
      <c r="E791" s="303"/>
      <c r="F791" s="302">
        <v>0.13098866870019865</v>
      </c>
      <c r="G791" s="302">
        <v>0.70069095855335073</v>
      </c>
      <c r="H791" s="302">
        <f>SUM(F791:G791)</f>
        <v>0.83167962725354938</v>
      </c>
      <c r="I791" s="303"/>
      <c r="J791" s="302">
        <v>0.16231178469040322</v>
      </c>
      <c r="K791" s="302">
        <v>0.78210183699267866</v>
      </c>
      <c r="L791" s="302">
        <f>SUM(J791:K791)</f>
        <v>0.94441362168308185</v>
      </c>
      <c r="M791" s="236"/>
      <c r="N791" s="236"/>
    </row>
    <row r="792" spans="1:14" x14ac:dyDescent="0.2">
      <c r="A792" s="237" t="str">
        <f>name!E$5</f>
        <v>Professional occupations</v>
      </c>
      <c r="B792" s="302">
        <v>0.24353167463796738</v>
      </c>
      <c r="C792" s="302">
        <v>1.7106543651749533</v>
      </c>
      <c r="D792" s="302">
        <f t="shared" ref="D792:D799" si="292">SUM(B792:C792)</f>
        <v>1.9541860398129207</v>
      </c>
      <c r="E792" s="303"/>
      <c r="F792" s="302">
        <v>0.25599223600769638</v>
      </c>
      <c r="G792" s="302">
        <v>2.1743181801076767</v>
      </c>
      <c r="H792" s="302">
        <f t="shared" ref="H792:H799" si="293">SUM(F792:G792)</f>
        <v>2.4303104161153732</v>
      </c>
      <c r="I792" s="303"/>
      <c r="J792" s="302">
        <v>0.31352577155327838</v>
      </c>
      <c r="K792" s="302">
        <v>2.7032985245952017</v>
      </c>
      <c r="L792" s="302">
        <f t="shared" ref="L792:L799" si="294">SUM(J792:K792)</f>
        <v>3.0168242961484801</v>
      </c>
      <c r="M792" s="236"/>
      <c r="N792" s="236"/>
    </row>
    <row r="793" spans="1:14" x14ac:dyDescent="0.2">
      <c r="A793" s="237" t="str">
        <f>name!E$6</f>
        <v>Associate professional occupations</v>
      </c>
      <c r="B793" s="302">
        <v>0.20677749017343783</v>
      </c>
      <c r="C793" s="302">
        <v>0.61507873101705124</v>
      </c>
      <c r="D793" s="302">
        <f t="shared" si="292"/>
        <v>0.82185622119048907</v>
      </c>
      <c r="E793" s="303"/>
      <c r="F793" s="302">
        <v>0.20079373553666499</v>
      </c>
      <c r="G793" s="302">
        <v>0.69924492632081225</v>
      </c>
      <c r="H793" s="302">
        <f t="shared" si="293"/>
        <v>0.90003866185747727</v>
      </c>
      <c r="I793" s="303"/>
      <c r="J793" s="302">
        <v>0.22585115948458714</v>
      </c>
      <c r="K793" s="302">
        <v>0.726544904895843</v>
      </c>
      <c r="L793" s="302">
        <f t="shared" si="294"/>
        <v>0.95239606438043012</v>
      </c>
      <c r="M793" s="236"/>
      <c r="N793" s="236"/>
    </row>
    <row r="794" spans="1:14" x14ac:dyDescent="0.2">
      <c r="A794" s="237" t="str">
        <f>name!E$7</f>
        <v>Administrative and secretarial occupations</v>
      </c>
      <c r="B794" s="302">
        <v>0.28804633113323297</v>
      </c>
      <c r="C794" s="302">
        <v>8.3670338566983499E-2</v>
      </c>
      <c r="D794" s="302">
        <f t="shared" si="292"/>
        <v>0.37171666970021644</v>
      </c>
      <c r="E794" s="303"/>
      <c r="F794" s="302">
        <v>0.24260418429916555</v>
      </c>
      <c r="G794" s="302">
        <v>0.10067329411035664</v>
      </c>
      <c r="H794" s="302">
        <f t="shared" si="293"/>
        <v>0.34327747840952216</v>
      </c>
      <c r="I794" s="303"/>
      <c r="J794" s="302">
        <v>0.2089781090609476</v>
      </c>
      <c r="K794" s="302">
        <v>8.7217657263951295E-2</v>
      </c>
      <c r="L794" s="302">
        <f t="shared" si="294"/>
        <v>0.29619576632489891</v>
      </c>
      <c r="M794" s="236"/>
      <c r="N794" s="236"/>
    </row>
    <row r="795" spans="1:14" x14ac:dyDescent="0.2">
      <c r="A795" s="237" t="str">
        <f>name!E$8</f>
        <v>Skilled trades occupations</v>
      </c>
      <c r="B795" s="302">
        <v>1.6816882219459081E-2</v>
      </c>
      <c r="C795" s="302">
        <v>0.29752838254459452</v>
      </c>
      <c r="D795" s="302">
        <f t="shared" si="292"/>
        <v>0.31434526476405361</v>
      </c>
      <c r="E795" s="303"/>
      <c r="F795" s="302">
        <v>1.6151744938604943E-2</v>
      </c>
      <c r="G795" s="302">
        <v>0.22683665988708204</v>
      </c>
      <c r="H795" s="302">
        <f t="shared" si="293"/>
        <v>0.24298840482568698</v>
      </c>
      <c r="I795" s="303"/>
      <c r="J795" s="302">
        <v>2.0805852588566664E-2</v>
      </c>
      <c r="K795" s="302">
        <v>0.1972675987447505</v>
      </c>
      <c r="L795" s="302">
        <f t="shared" si="294"/>
        <v>0.21807345133331715</v>
      </c>
      <c r="M795" s="236"/>
      <c r="N795" s="236"/>
    </row>
    <row r="796" spans="1:14" x14ac:dyDescent="0.2">
      <c r="A796" s="237" t="str">
        <f>name!E$9</f>
        <v>Caring, leisure and other service occupations</v>
      </c>
      <c r="B796" s="302">
        <v>0.12327506168996839</v>
      </c>
      <c r="C796" s="302">
        <v>8.9621645796472929E-2</v>
      </c>
      <c r="D796" s="302">
        <f t="shared" si="292"/>
        <v>0.21289670748644132</v>
      </c>
      <c r="E796" s="303"/>
      <c r="F796" s="302">
        <v>0.11803124387983825</v>
      </c>
      <c r="G796" s="302">
        <v>0.10019215568300438</v>
      </c>
      <c r="H796" s="302">
        <f t="shared" si="293"/>
        <v>0.21822339956284265</v>
      </c>
      <c r="I796" s="303"/>
      <c r="J796" s="302">
        <v>0.17282165472015595</v>
      </c>
      <c r="K796" s="302">
        <v>0.15021753208916572</v>
      </c>
      <c r="L796" s="302">
        <f t="shared" si="294"/>
        <v>0.32303918680932164</v>
      </c>
      <c r="M796" s="236"/>
      <c r="N796" s="236"/>
    </row>
    <row r="797" spans="1:14" x14ac:dyDescent="0.2">
      <c r="A797" s="237" t="str">
        <f>name!E$10</f>
        <v>Sales and customer service occupations</v>
      </c>
      <c r="B797" s="302">
        <v>8.4399358310413064E-2</v>
      </c>
      <c r="C797" s="302">
        <v>8.0951173668341161E-2</v>
      </c>
      <c r="D797" s="302">
        <f t="shared" si="292"/>
        <v>0.16535053197875421</v>
      </c>
      <c r="E797" s="303"/>
      <c r="F797" s="302">
        <v>7.6151855942631325E-2</v>
      </c>
      <c r="G797" s="302">
        <v>8.5507946837404369E-2</v>
      </c>
      <c r="H797" s="302">
        <f t="shared" si="293"/>
        <v>0.16165980278003569</v>
      </c>
      <c r="I797" s="303"/>
      <c r="J797" s="302">
        <v>0.11455437325301908</v>
      </c>
      <c r="K797" s="302">
        <v>0.11787599744365747</v>
      </c>
      <c r="L797" s="302">
        <f t="shared" si="294"/>
        <v>0.23243037069667655</v>
      </c>
      <c r="M797" s="236"/>
      <c r="N797" s="236"/>
    </row>
    <row r="798" spans="1:14" x14ac:dyDescent="0.2">
      <c r="A798" s="237" t="str">
        <f>name!E$11</f>
        <v>Process, plant and machine operatives</v>
      </c>
      <c r="B798" s="302">
        <v>9.9002615010543478E-3</v>
      </c>
      <c r="C798" s="302">
        <v>0.10664199410314394</v>
      </c>
      <c r="D798" s="302">
        <f t="shared" si="292"/>
        <v>0.11654225560419829</v>
      </c>
      <c r="E798" s="303"/>
      <c r="F798" s="302">
        <v>7.3812080373251753E-3</v>
      </c>
      <c r="G798" s="302">
        <v>9.8842643786323139E-2</v>
      </c>
      <c r="H798" s="302">
        <f t="shared" si="293"/>
        <v>0.10622385182364831</v>
      </c>
      <c r="I798" s="303"/>
      <c r="J798" s="302">
        <v>1.3060368935196678E-2</v>
      </c>
      <c r="K798" s="302">
        <v>0.10931053543702018</v>
      </c>
      <c r="L798" s="302">
        <f t="shared" si="294"/>
        <v>0.12237090437221686</v>
      </c>
      <c r="M798" s="236"/>
      <c r="N798" s="236"/>
    </row>
    <row r="799" spans="1:14" x14ac:dyDescent="0.2">
      <c r="A799" s="237" t="str">
        <f>name!E$12</f>
        <v>Elementary occupations</v>
      </c>
      <c r="B799" s="302">
        <v>0.1982842970425174</v>
      </c>
      <c r="C799" s="302">
        <v>0.44935078148885521</v>
      </c>
      <c r="D799" s="302">
        <f t="shared" si="292"/>
        <v>0.64763507853137259</v>
      </c>
      <c r="E799" s="303"/>
      <c r="F799" s="302">
        <v>0.17490512264997868</v>
      </c>
      <c r="G799" s="302">
        <v>0.41769323463410657</v>
      </c>
      <c r="H799" s="302">
        <f t="shared" si="293"/>
        <v>0.59259835728408528</v>
      </c>
      <c r="I799" s="303"/>
      <c r="J799" s="302">
        <v>0.21109092570932508</v>
      </c>
      <c r="K799" s="302">
        <v>0.37116541246148771</v>
      </c>
      <c r="L799" s="302">
        <f t="shared" si="294"/>
        <v>0.58225633817081279</v>
      </c>
      <c r="M799" s="236"/>
      <c r="N799" s="236"/>
    </row>
    <row r="800" spans="1:14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  <c r="N800" s="236"/>
    </row>
    <row r="801" spans="1:14" x14ac:dyDescent="0.2">
      <c r="A801" s="244" t="s">
        <v>32</v>
      </c>
      <c r="B801" s="311">
        <f>SUM(B791:B799)</f>
        <v>1.3039999999903997</v>
      </c>
      <c r="C801" s="311">
        <f t="shared" ref="C801:D801" si="295">SUM(C791:C799)</f>
        <v>4.0560000000371721</v>
      </c>
      <c r="D801" s="311">
        <f t="shared" si="295"/>
        <v>5.360000000027572</v>
      </c>
      <c r="E801" s="311"/>
      <c r="F801" s="311">
        <f t="shared" ref="F801:H801" si="296">SUM(F791:F799)</f>
        <v>1.222999999992104</v>
      </c>
      <c r="G801" s="311">
        <f t="shared" si="296"/>
        <v>4.6039999999201173</v>
      </c>
      <c r="H801" s="311">
        <f t="shared" si="296"/>
        <v>5.8269999999122213</v>
      </c>
      <c r="I801" s="311"/>
      <c r="J801" s="311">
        <f t="shared" ref="J801:L801" si="297">SUM(J791:J799)</f>
        <v>1.4429999999954797</v>
      </c>
      <c r="K801" s="311">
        <f t="shared" si="297"/>
        <v>5.2449999999237562</v>
      </c>
      <c r="L801" s="311">
        <f t="shared" si="297"/>
        <v>6.6879999999192368</v>
      </c>
      <c r="M801" s="236"/>
      <c r="N801" s="236"/>
    </row>
    <row r="802" spans="1:14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  <c r="N802" s="236"/>
    </row>
    <row r="803" spans="1:14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56" t="s">
        <v>35</v>
      </c>
      <c r="M803" s="236"/>
      <c r="N803" s="236"/>
    </row>
    <row r="804" spans="1:14" x14ac:dyDescent="0.2">
      <c r="A804" s="242"/>
      <c r="B804" s="250"/>
      <c r="C804" s="250"/>
      <c r="D804" s="250"/>
      <c r="E804" s="250"/>
      <c r="F804" s="250"/>
      <c r="G804" s="250"/>
      <c r="H804" s="250"/>
      <c r="I804" s="250"/>
      <c r="J804" s="250"/>
      <c r="K804" s="250"/>
      <c r="L804" s="236"/>
      <c r="M804" s="236"/>
      <c r="N804" s="236"/>
    </row>
    <row r="805" spans="1:14" x14ac:dyDescent="0.2">
      <c r="A805" s="241" t="str">
        <f>name!A50</f>
        <v>Financial services</v>
      </c>
      <c r="B805" s="372">
        <f>B$6</f>
        <v>2015</v>
      </c>
      <c r="C805" s="372"/>
      <c r="D805" s="372"/>
      <c r="E805" s="253"/>
      <c r="F805" s="372">
        <f>F$6</f>
        <v>2020</v>
      </c>
      <c r="G805" s="372"/>
      <c r="H805" s="372"/>
      <c r="I805" s="253"/>
      <c r="J805" s="372">
        <f>J$6</f>
        <v>2035</v>
      </c>
      <c r="K805" s="372"/>
      <c r="L805" s="372"/>
      <c r="M805" s="236"/>
      <c r="N805" s="236"/>
    </row>
    <row r="806" spans="1:14" x14ac:dyDescent="0.2">
      <c r="A806" s="254"/>
      <c r="B806" s="255" t="s">
        <v>352</v>
      </c>
      <c r="C806" s="255" t="s">
        <v>353</v>
      </c>
      <c r="D806" s="255" t="s">
        <v>32</v>
      </c>
      <c r="E806" s="255"/>
      <c r="F806" s="255" t="s">
        <v>352</v>
      </c>
      <c r="G806" s="255" t="s">
        <v>353</v>
      </c>
      <c r="H806" s="255" t="s">
        <v>32</v>
      </c>
      <c r="I806" s="255"/>
      <c r="J806" s="255" t="s">
        <v>352</v>
      </c>
      <c r="K806" s="255" t="s">
        <v>353</v>
      </c>
      <c r="L806" s="255" t="s">
        <v>32</v>
      </c>
      <c r="M806" s="236"/>
      <c r="N806" s="236"/>
    </row>
    <row r="807" spans="1:14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  <c r="N807" s="236"/>
    </row>
    <row r="808" spans="1:14" x14ac:dyDescent="0.2">
      <c r="A808" s="237" t="str">
        <f>name!E$4</f>
        <v>Managers, directors and senior officials</v>
      </c>
      <c r="B808" s="302">
        <v>1.50540439261531</v>
      </c>
      <c r="C808" s="302">
        <v>2.9086532015954534</v>
      </c>
      <c r="D808" s="302">
        <f>SUM(B808:C808)</f>
        <v>4.4140575942107638</v>
      </c>
      <c r="E808" s="303"/>
      <c r="F808" s="302">
        <v>1.5756251098560439</v>
      </c>
      <c r="G808" s="302">
        <v>2.4737123063809112</v>
      </c>
      <c r="H808" s="302">
        <f>SUM(F808:G808)</f>
        <v>4.0493374162369555</v>
      </c>
      <c r="I808" s="303"/>
      <c r="J808" s="302">
        <v>1.6319650136335366</v>
      </c>
      <c r="K808" s="302">
        <v>2.1263584597858998</v>
      </c>
      <c r="L808" s="302">
        <f>SUM(J808:K808)</f>
        <v>3.7583234734194364</v>
      </c>
      <c r="M808" s="236"/>
      <c r="N808" s="236"/>
    </row>
    <row r="809" spans="1:14" x14ac:dyDescent="0.2">
      <c r="A809" s="237" t="str">
        <f>name!E$5</f>
        <v>Professional occupations</v>
      </c>
      <c r="B809" s="302">
        <v>1.5114892786186411</v>
      </c>
      <c r="C809" s="302">
        <v>2.9682486694609609</v>
      </c>
      <c r="D809" s="302">
        <f t="shared" ref="D809:D816" si="298">SUM(B809:C809)</f>
        <v>4.4797379480796025</v>
      </c>
      <c r="E809" s="303"/>
      <c r="F809" s="302">
        <v>1.7818543090547982</v>
      </c>
      <c r="G809" s="302">
        <v>2.9074075312752101</v>
      </c>
      <c r="H809" s="302">
        <f t="shared" ref="H809:H816" si="299">SUM(F809:G809)</f>
        <v>4.6892618403300084</v>
      </c>
      <c r="I809" s="303"/>
      <c r="J809" s="302">
        <v>2.0377398358974128</v>
      </c>
      <c r="K809" s="302">
        <v>3.1971517387158936</v>
      </c>
      <c r="L809" s="302">
        <f t="shared" ref="L809:L816" si="300">SUM(J809:K809)</f>
        <v>5.2348915746133065</v>
      </c>
      <c r="M809" s="236"/>
      <c r="N809" s="236"/>
    </row>
    <row r="810" spans="1:14" x14ac:dyDescent="0.2">
      <c r="A810" s="237" t="str">
        <f>name!E$6</f>
        <v>Associate professional occupations</v>
      </c>
      <c r="B810" s="302">
        <v>2.077480031132068</v>
      </c>
      <c r="C810" s="302">
        <v>2.3688475683227459</v>
      </c>
      <c r="D810" s="302">
        <f t="shared" si="298"/>
        <v>4.4463275994548139</v>
      </c>
      <c r="E810" s="303"/>
      <c r="F810" s="302">
        <v>2.0112830528679244</v>
      </c>
      <c r="G810" s="302">
        <v>2.0651931579338871</v>
      </c>
      <c r="H810" s="302">
        <f t="shared" si="299"/>
        <v>4.0764762108018111</v>
      </c>
      <c r="I810" s="303"/>
      <c r="J810" s="302">
        <v>1.9014818207714574</v>
      </c>
      <c r="K810" s="302">
        <v>1.6885245491676986</v>
      </c>
      <c r="L810" s="302">
        <f t="shared" si="300"/>
        <v>3.590006369939156</v>
      </c>
      <c r="M810" s="236"/>
      <c r="N810" s="236"/>
    </row>
    <row r="811" spans="1:14" x14ac:dyDescent="0.2">
      <c r="A811" s="237" t="str">
        <f>name!E$7</f>
        <v>Administrative and secretarial occupations</v>
      </c>
      <c r="B811" s="302">
        <v>6.0068727500296895</v>
      </c>
      <c r="C811" s="302">
        <v>1.00770696874361</v>
      </c>
      <c r="D811" s="302">
        <f t="shared" si="298"/>
        <v>7.0145797187732999</v>
      </c>
      <c r="E811" s="303"/>
      <c r="F811" s="302">
        <v>4.7663336408110526</v>
      </c>
      <c r="G811" s="302">
        <v>1.0568789115041723</v>
      </c>
      <c r="H811" s="302">
        <f t="shared" si="299"/>
        <v>5.8232125523152245</v>
      </c>
      <c r="I811" s="303"/>
      <c r="J811" s="302">
        <v>3.4498451194565471</v>
      </c>
      <c r="K811" s="302">
        <v>0.8317765655845919</v>
      </c>
      <c r="L811" s="302">
        <f t="shared" si="300"/>
        <v>4.2816216850411388</v>
      </c>
      <c r="M811" s="236"/>
      <c r="N811" s="236"/>
    </row>
    <row r="812" spans="1:14" x14ac:dyDescent="0.2">
      <c r="A812" s="237" t="str">
        <f>name!E$8</f>
        <v>Skilled trades occupations</v>
      </c>
      <c r="B812" s="302">
        <v>4.1197273176866951E-2</v>
      </c>
      <c r="C812" s="302">
        <v>0.32205669123484426</v>
      </c>
      <c r="D812" s="302">
        <f t="shared" si="298"/>
        <v>0.36325396441171121</v>
      </c>
      <c r="E812" s="303"/>
      <c r="F812" s="302">
        <v>3.2459633132894773E-2</v>
      </c>
      <c r="G812" s="302">
        <v>0.16868679263911365</v>
      </c>
      <c r="H812" s="302">
        <f t="shared" si="299"/>
        <v>0.20114642577200842</v>
      </c>
      <c r="I812" s="303"/>
      <c r="J812" s="302">
        <v>6.0288428441654413E-2</v>
      </c>
      <c r="K812" s="302">
        <v>0.13443139116420802</v>
      </c>
      <c r="L812" s="302">
        <f t="shared" si="300"/>
        <v>0.19471981960586243</v>
      </c>
      <c r="M812" s="236"/>
      <c r="N812" s="236"/>
    </row>
    <row r="813" spans="1:14" x14ac:dyDescent="0.2">
      <c r="A813" s="237" t="str">
        <f>name!E$9</f>
        <v>Caring, leisure and other service occupations</v>
      </c>
      <c r="B813" s="302">
        <v>5.0736651190622685E-2</v>
      </c>
      <c r="C813" s="302">
        <v>5.4434701487795119E-2</v>
      </c>
      <c r="D813" s="302">
        <f t="shared" si="298"/>
        <v>0.1051713526784178</v>
      </c>
      <c r="E813" s="303"/>
      <c r="F813" s="302">
        <v>3.1731690623020538E-2</v>
      </c>
      <c r="G813" s="302">
        <v>2.183136777422888E-2</v>
      </c>
      <c r="H813" s="302">
        <f t="shared" si="299"/>
        <v>5.3563058397249418E-2</v>
      </c>
      <c r="I813" s="303"/>
      <c r="J813" s="302">
        <v>3.1040345736889494E-2</v>
      </c>
      <c r="K813" s="302">
        <v>2.3912318066441757E-2</v>
      </c>
      <c r="L813" s="302">
        <f t="shared" si="300"/>
        <v>5.4952663803331248E-2</v>
      </c>
      <c r="M813" s="236"/>
      <c r="N813" s="236"/>
    </row>
    <row r="814" spans="1:14" x14ac:dyDescent="0.2">
      <c r="A814" s="237" t="str">
        <f>name!E$10</f>
        <v>Sales and customer service occupations</v>
      </c>
      <c r="B814" s="302">
        <v>1.5641896845807433</v>
      </c>
      <c r="C814" s="302">
        <v>0.4190272503010698</v>
      </c>
      <c r="D814" s="302">
        <f t="shared" si="298"/>
        <v>1.9832169348818129</v>
      </c>
      <c r="E814" s="303"/>
      <c r="F814" s="302">
        <v>1.2157454852548548</v>
      </c>
      <c r="G814" s="302">
        <v>0.29054590640853251</v>
      </c>
      <c r="H814" s="302">
        <f t="shared" si="299"/>
        <v>1.5062913916633873</v>
      </c>
      <c r="I814" s="303"/>
      <c r="J814" s="302">
        <v>1.2642102946106442</v>
      </c>
      <c r="K814" s="302">
        <v>0.31138407959175407</v>
      </c>
      <c r="L814" s="302">
        <f t="shared" si="300"/>
        <v>1.5755943742023981</v>
      </c>
      <c r="M814" s="236"/>
      <c r="N814" s="236"/>
    </row>
    <row r="815" spans="1:14" x14ac:dyDescent="0.2">
      <c r="A815" s="237" t="str">
        <f>name!E$11</f>
        <v>Process, plant and machine operatives</v>
      </c>
      <c r="B815" s="302">
        <v>1.8580273574960914E-2</v>
      </c>
      <c r="C815" s="302">
        <v>8.2988194249825342E-2</v>
      </c>
      <c r="D815" s="302">
        <f t="shared" si="298"/>
        <v>0.10156846782478626</v>
      </c>
      <c r="E815" s="303"/>
      <c r="F815" s="302">
        <v>1.141382604171475E-2</v>
      </c>
      <c r="G815" s="302">
        <v>5.1015295758157761E-2</v>
      </c>
      <c r="H815" s="302">
        <f t="shared" si="299"/>
        <v>6.2429121799872513E-2</v>
      </c>
      <c r="I815" s="303"/>
      <c r="J815" s="302">
        <v>1.2848953168269076E-2</v>
      </c>
      <c r="K815" s="302">
        <v>5.6106261277456215E-2</v>
      </c>
      <c r="L815" s="302">
        <f t="shared" si="300"/>
        <v>6.8955214445725291E-2</v>
      </c>
      <c r="M815" s="236"/>
      <c r="N815" s="236"/>
    </row>
    <row r="816" spans="1:14" x14ac:dyDescent="0.2">
      <c r="A816" s="237" t="str">
        <f>name!E$12</f>
        <v>Elementary occupations</v>
      </c>
      <c r="B816" s="302">
        <v>0.15504966497904665</v>
      </c>
      <c r="C816" s="302">
        <v>0.10203675472528771</v>
      </c>
      <c r="D816" s="302">
        <f t="shared" si="298"/>
        <v>0.25708641970433438</v>
      </c>
      <c r="E816" s="303"/>
      <c r="F816" s="302">
        <v>7.655325224714031E-2</v>
      </c>
      <c r="G816" s="302">
        <v>7.7728730160327664E-2</v>
      </c>
      <c r="H816" s="302">
        <f t="shared" si="299"/>
        <v>0.15428198240746799</v>
      </c>
      <c r="I816" s="303"/>
      <c r="J816" s="302">
        <v>7.2580188351830888E-2</v>
      </c>
      <c r="K816" s="302">
        <v>5.9354636532347869E-2</v>
      </c>
      <c r="L816" s="302">
        <f t="shared" si="300"/>
        <v>0.13193482488417876</v>
      </c>
      <c r="M816" s="236"/>
      <c r="N816" s="236"/>
    </row>
    <row r="817" spans="1:14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  <c r="N817" s="236"/>
    </row>
    <row r="818" spans="1:14" x14ac:dyDescent="0.2">
      <c r="A818" s="244" t="s">
        <v>32</v>
      </c>
      <c r="B818" s="311">
        <f>SUM(B808:B816)</f>
        <v>12.930999999897946</v>
      </c>
      <c r="C818" s="311">
        <f t="shared" ref="C818:D818" si="301">SUM(C808:C816)</f>
        <v>10.234000000121593</v>
      </c>
      <c r="D818" s="311">
        <f t="shared" si="301"/>
        <v>23.165000000019543</v>
      </c>
      <c r="E818" s="311"/>
      <c r="F818" s="311">
        <f t="shared" ref="F818:H818" si="302">SUM(F808:F816)</f>
        <v>11.502999999889445</v>
      </c>
      <c r="G818" s="311">
        <f t="shared" si="302"/>
        <v>9.1129999998345408</v>
      </c>
      <c r="H818" s="311">
        <f t="shared" si="302"/>
        <v>20.615999999723986</v>
      </c>
      <c r="I818" s="311"/>
      <c r="J818" s="311">
        <f t="shared" ref="J818:L818" si="303">SUM(J808:J816)</f>
        <v>10.46200000006824</v>
      </c>
      <c r="K818" s="311">
        <f t="shared" si="303"/>
        <v>8.4289999998862921</v>
      </c>
      <c r="L818" s="311">
        <f t="shared" si="303"/>
        <v>18.890999999954534</v>
      </c>
      <c r="M818" s="236"/>
      <c r="N818" s="236"/>
    </row>
    <row r="819" spans="1:14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  <c r="N819" s="236"/>
    </row>
    <row r="820" spans="1:14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56" t="s">
        <v>35</v>
      </c>
      <c r="M820" s="236"/>
      <c r="N820" s="236"/>
    </row>
    <row r="821" spans="1:14" x14ac:dyDescent="0.2">
      <c r="A821" s="242"/>
      <c r="B821" s="250"/>
      <c r="C821" s="250"/>
      <c r="D821" s="250"/>
      <c r="E821" s="250"/>
      <c r="F821" s="250"/>
      <c r="G821" s="250"/>
      <c r="H821" s="250"/>
      <c r="I821" s="250"/>
      <c r="J821" s="250"/>
      <c r="K821" s="250"/>
      <c r="L821" s="236"/>
      <c r="M821" s="236"/>
      <c r="N821" s="236"/>
    </row>
    <row r="822" spans="1:14" x14ac:dyDescent="0.2">
      <c r="A822" s="241" t="str">
        <f>name!A51</f>
        <v>Insurance and pensions</v>
      </c>
      <c r="B822" s="372">
        <f>B$6</f>
        <v>2015</v>
      </c>
      <c r="C822" s="372"/>
      <c r="D822" s="372"/>
      <c r="E822" s="253"/>
      <c r="F822" s="372">
        <f>F$6</f>
        <v>2020</v>
      </c>
      <c r="G822" s="372"/>
      <c r="H822" s="372"/>
      <c r="I822" s="253"/>
      <c r="J822" s="372">
        <f>J$6</f>
        <v>2035</v>
      </c>
      <c r="K822" s="372"/>
      <c r="L822" s="372"/>
      <c r="M822" s="236"/>
      <c r="N822" s="236"/>
    </row>
    <row r="823" spans="1:14" x14ac:dyDescent="0.2">
      <c r="A823" s="254"/>
      <c r="B823" s="255" t="s">
        <v>352</v>
      </c>
      <c r="C823" s="255" t="s">
        <v>353</v>
      </c>
      <c r="D823" s="255" t="s">
        <v>32</v>
      </c>
      <c r="E823" s="255"/>
      <c r="F823" s="255" t="s">
        <v>352</v>
      </c>
      <c r="G823" s="255" t="s">
        <v>353</v>
      </c>
      <c r="H823" s="255" t="s">
        <v>32</v>
      </c>
      <c r="I823" s="255"/>
      <c r="J823" s="255" t="s">
        <v>352</v>
      </c>
      <c r="K823" s="255" t="s">
        <v>353</v>
      </c>
      <c r="L823" s="255" t="s">
        <v>32</v>
      </c>
      <c r="M823" s="236"/>
      <c r="N823" s="236"/>
    </row>
    <row r="824" spans="1:14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  <c r="N824" s="236"/>
    </row>
    <row r="825" spans="1:14" x14ac:dyDescent="0.2">
      <c r="A825" s="237" t="str">
        <f>name!E$4</f>
        <v>Managers, directors and senior officials</v>
      </c>
      <c r="B825" s="302">
        <v>0.11229547743585379</v>
      </c>
      <c r="C825" s="302">
        <v>0.11733723408570644</v>
      </c>
      <c r="D825" s="302">
        <f>SUM(B825:C825)</f>
        <v>0.22963271152156023</v>
      </c>
      <c r="E825" s="303"/>
      <c r="F825" s="302">
        <v>0.26895468693085811</v>
      </c>
      <c r="G825" s="302">
        <v>0.23042988101972445</v>
      </c>
      <c r="H825" s="302">
        <f>SUM(F825:G825)</f>
        <v>0.49938456795058256</v>
      </c>
      <c r="I825" s="303"/>
      <c r="J825" s="302">
        <v>0.27854058362820105</v>
      </c>
      <c r="K825" s="302">
        <v>0.20166791023765313</v>
      </c>
      <c r="L825" s="302">
        <f>SUM(J825:K825)</f>
        <v>0.48020849386585418</v>
      </c>
      <c r="M825" s="236"/>
      <c r="N825" s="236"/>
    </row>
    <row r="826" spans="1:14" x14ac:dyDescent="0.2">
      <c r="A826" s="237" t="str">
        <f>name!E$5</f>
        <v>Professional occupations</v>
      </c>
      <c r="B826" s="302">
        <v>0.23074008199336907</v>
      </c>
      <c r="C826" s="302">
        <v>0.18031770474044925</v>
      </c>
      <c r="D826" s="302">
        <f t="shared" ref="D826:D833" si="304">SUM(B826:C826)</f>
        <v>0.41105778673381832</v>
      </c>
      <c r="E826" s="303"/>
      <c r="F826" s="302">
        <v>0.61589494240553022</v>
      </c>
      <c r="G826" s="302">
        <v>0.41832539201406022</v>
      </c>
      <c r="H826" s="302">
        <f t="shared" ref="H826:H833" si="305">SUM(F826:G826)</f>
        <v>1.0342203344195904</v>
      </c>
      <c r="I826" s="303"/>
      <c r="J826" s="302">
        <v>0.70351793176744803</v>
      </c>
      <c r="K826" s="302">
        <v>0.47559474889477377</v>
      </c>
      <c r="L826" s="302">
        <f t="shared" ref="L826:L833" si="306">SUM(J826:K826)</f>
        <v>1.1791126806622219</v>
      </c>
      <c r="M826" s="236"/>
      <c r="N826" s="236"/>
    </row>
    <row r="827" spans="1:14" x14ac:dyDescent="0.2">
      <c r="A827" s="237" t="str">
        <f>name!E$6</f>
        <v>Associate professional occupations</v>
      </c>
      <c r="B827" s="302">
        <v>0.23305550603278494</v>
      </c>
      <c r="C827" s="302">
        <v>0.18081461241790187</v>
      </c>
      <c r="D827" s="302">
        <f t="shared" si="304"/>
        <v>0.41387011845068677</v>
      </c>
      <c r="E827" s="303"/>
      <c r="F827" s="302">
        <v>0.53109112483551812</v>
      </c>
      <c r="G827" s="302">
        <v>0.34488531897186447</v>
      </c>
      <c r="H827" s="302">
        <f t="shared" si="305"/>
        <v>0.8759764438073826</v>
      </c>
      <c r="I827" s="303"/>
      <c r="J827" s="302">
        <v>0.49564558310416434</v>
      </c>
      <c r="K827" s="302">
        <v>0.24974219255578772</v>
      </c>
      <c r="L827" s="302">
        <f t="shared" si="306"/>
        <v>0.74538777565995207</v>
      </c>
      <c r="M827" s="236"/>
      <c r="N827" s="236"/>
    </row>
    <row r="828" spans="1:14" x14ac:dyDescent="0.2">
      <c r="A828" s="237" t="str">
        <f>name!E$7</f>
        <v>Administrative and secretarial occupations</v>
      </c>
      <c r="B828" s="302">
        <v>0.50120542925019551</v>
      </c>
      <c r="C828" s="302">
        <v>0.1156941321583376</v>
      </c>
      <c r="D828" s="302">
        <f t="shared" si="304"/>
        <v>0.61689956140853308</v>
      </c>
      <c r="E828" s="303"/>
      <c r="F828" s="302">
        <v>0.91106760709587775</v>
      </c>
      <c r="G828" s="302">
        <v>0.23045011986951938</v>
      </c>
      <c r="H828" s="302">
        <f t="shared" si="305"/>
        <v>1.1415177269653971</v>
      </c>
      <c r="I828" s="303"/>
      <c r="J828" s="302">
        <v>0.61059806904529279</v>
      </c>
      <c r="K828" s="302">
        <v>0.17907371654164161</v>
      </c>
      <c r="L828" s="302">
        <f t="shared" si="306"/>
        <v>0.7896717855869344</v>
      </c>
      <c r="M828" s="236"/>
      <c r="N828" s="236"/>
    </row>
    <row r="829" spans="1:14" x14ac:dyDescent="0.2">
      <c r="A829" s="237" t="str">
        <f>name!E$8</f>
        <v>Skilled trades occupations</v>
      </c>
      <c r="B829" s="302">
        <v>9.957089830286113E-3</v>
      </c>
      <c r="C829" s="302">
        <v>3.6844525908307828E-2</v>
      </c>
      <c r="D829" s="302">
        <f t="shared" si="304"/>
        <v>4.6801615738593941E-2</v>
      </c>
      <c r="E829" s="303"/>
      <c r="F829" s="302">
        <v>2.2571575673043194E-2</v>
      </c>
      <c r="G829" s="302">
        <v>2.8353571451273766E-2</v>
      </c>
      <c r="H829" s="302">
        <f t="shared" si="305"/>
        <v>5.0925147124316963E-2</v>
      </c>
      <c r="I829" s="303"/>
      <c r="J829" s="302">
        <v>2.9018390448679418E-2</v>
      </c>
      <c r="K829" s="302">
        <v>1.9847742530829913E-2</v>
      </c>
      <c r="L829" s="302">
        <f t="shared" si="306"/>
        <v>4.8866132979509327E-2</v>
      </c>
      <c r="M829" s="236"/>
      <c r="N829" s="236"/>
    </row>
    <row r="830" spans="1:14" x14ac:dyDescent="0.2">
      <c r="A830" s="237" t="str">
        <f>name!E$9</f>
        <v>Caring, leisure and other service occupations</v>
      </c>
      <c r="B830" s="302">
        <v>4.8951539082551607E-2</v>
      </c>
      <c r="C830" s="302">
        <v>2.7680873654172353E-2</v>
      </c>
      <c r="D830" s="302">
        <f t="shared" si="304"/>
        <v>7.6632412736723957E-2</v>
      </c>
      <c r="E830" s="303"/>
      <c r="F830" s="302">
        <v>9.0984127909357573E-2</v>
      </c>
      <c r="G830" s="302">
        <v>5.6433795284830793E-2</v>
      </c>
      <c r="H830" s="302">
        <f t="shared" si="305"/>
        <v>0.14741792319418837</v>
      </c>
      <c r="I830" s="303"/>
      <c r="J830" s="302">
        <v>8.7376687524099605E-2</v>
      </c>
      <c r="K830" s="302">
        <v>6.9874961963175011E-2</v>
      </c>
      <c r="L830" s="302">
        <f t="shared" si="306"/>
        <v>0.1572516494872746</v>
      </c>
      <c r="M830" s="236"/>
      <c r="N830" s="236"/>
    </row>
    <row r="831" spans="1:14" x14ac:dyDescent="0.2">
      <c r="A831" s="237" t="str">
        <f>name!E$10</f>
        <v>Sales and customer service occupations</v>
      </c>
      <c r="B831" s="302">
        <v>0.18013815609145659</v>
      </c>
      <c r="C831" s="302">
        <v>5.8982597180140983E-2</v>
      </c>
      <c r="D831" s="302">
        <f t="shared" si="304"/>
        <v>0.23912075327159757</v>
      </c>
      <c r="E831" s="303"/>
      <c r="F831" s="302">
        <v>0.34403567908917726</v>
      </c>
      <c r="G831" s="302">
        <v>0.1016911278604621</v>
      </c>
      <c r="H831" s="302">
        <f t="shared" si="305"/>
        <v>0.44572680694963934</v>
      </c>
      <c r="I831" s="303"/>
      <c r="J831" s="302">
        <v>0.33242154526438028</v>
      </c>
      <c r="K831" s="302">
        <v>9.7128973741792649E-2</v>
      </c>
      <c r="L831" s="302">
        <f t="shared" si="306"/>
        <v>0.42955051900617292</v>
      </c>
      <c r="M831" s="236"/>
      <c r="N831" s="236"/>
    </row>
    <row r="832" spans="1:14" x14ac:dyDescent="0.2">
      <c r="A832" s="237" t="str">
        <f>name!E$11</f>
        <v>Process, plant and machine operatives</v>
      </c>
      <c r="B832" s="302">
        <v>3.3580613695101641E-3</v>
      </c>
      <c r="C832" s="302">
        <v>8.1276944939060892E-3</v>
      </c>
      <c r="D832" s="302">
        <f t="shared" si="304"/>
        <v>1.1485755863416254E-2</v>
      </c>
      <c r="E832" s="303"/>
      <c r="F832" s="302">
        <v>5.4022762125225934E-3</v>
      </c>
      <c r="G832" s="302">
        <v>1.0357908173976372E-2</v>
      </c>
      <c r="H832" s="302">
        <f t="shared" si="305"/>
        <v>1.5760184386498965E-2</v>
      </c>
      <c r="I832" s="303"/>
      <c r="J832" s="302">
        <v>5.1769190164185196E-3</v>
      </c>
      <c r="K832" s="302">
        <v>9.9998285141510053E-3</v>
      </c>
      <c r="L832" s="302">
        <f t="shared" si="306"/>
        <v>1.5176747530569525E-2</v>
      </c>
      <c r="M832" s="236"/>
      <c r="N832" s="236"/>
    </row>
    <row r="833" spans="1:14" x14ac:dyDescent="0.2">
      <c r="A833" s="237" t="str">
        <f>name!E$12</f>
        <v>Elementary occupations</v>
      </c>
      <c r="B833" s="302">
        <v>1.4298658896564365E-2</v>
      </c>
      <c r="C833" s="302">
        <v>1.1200625368678288E-2</v>
      </c>
      <c r="D833" s="302">
        <f t="shared" si="304"/>
        <v>2.5499284265242651E-2</v>
      </c>
      <c r="E833" s="303"/>
      <c r="F833" s="302">
        <v>2.0997979813056445E-2</v>
      </c>
      <c r="G833" s="302">
        <v>1.7072885332400433E-2</v>
      </c>
      <c r="H833" s="302">
        <f t="shared" si="305"/>
        <v>3.8070865145456878E-2</v>
      </c>
      <c r="I833" s="303"/>
      <c r="J833" s="302">
        <v>1.7704290218968761E-2</v>
      </c>
      <c r="K833" s="302">
        <v>1.3069925005568838E-2</v>
      </c>
      <c r="L833" s="302">
        <f t="shared" si="306"/>
        <v>3.0774215224537597E-2</v>
      </c>
      <c r="M833" s="236"/>
      <c r="N833" s="236"/>
    </row>
    <row r="834" spans="1:14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  <c r="N834" s="236"/>
    </row>
    <row r="835" spans="1:14" x14ac:dyDescent="0.2">
      <c r="A835" s="244" t="s">
        <v>32</v>
      </c>
      <c r="B835" s="311">
        <f>SUM(B825:B833)</f>
        <v>1.333999999982572</v>
      </c>
      <c r="C835" s="311">
        <f t="shared" ref="C835:D835" si="307">SUM(C825:C833)</f>
        <v>0.73700000000760058</v>
      </c>
      <c r="D835" s="311">
        <f t="shared" si="307"/>
        <v>2.0709999999901729</v>
      </c>
      <c r="E835" s="311"/>
      <c r="F835" s="311">
        <f t="shared" ref="F835:H835" si="308">SUM(F825:F833)</f>
        <v>2.8109999999649413</v>
      </c>
      <c r="G835" s="311">
        <f t="shared" si="308"/>
        <v>1.4379999999781121</v>
      </c>
      <c r="H835" s="311">
        <f t="shared" si="308"/>
        <v>4.2489999999430541</v>
      </c>
      <c r="I835" s="311"/>
      <c r="J835" s="311">
        <f t="shared" ref="J835:L835" si="309">SUM(J825:J833)</f>
        <v>2.560000000017653</v>
      </c>
      <c r="K835" s="311">
        <f t="shared" si="309"/>
        <v>1.3159999999853735</v>
      </c>
      <c r="L835" s="311">
        <f t="shared" si="309"/>
        <v>3.8760000000030268</v>
      </c>
      <c r="M835" s="236"/>
      <c r="N835" s="236"/>
    </row>
    <row r="836" spans="1:14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  <c r="N836" s="236"/>
    </row>
    <row r="837" spans="1:14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56" t="s">
        <v>35</v>
      </c>
      <c r="M837" s="236"/>
      <c r="N837" s="236"/>
    </row>
    <row r="838" spans="1:14" x14ac:dyDescent="0.2">
      <c r="A838" s="242"/>
      <c r="B838" s="250"/>
      <c r="C838" s="250"/>
      <c r="D838" s="250"/>
      <c r="E838" s="250"/>
      <c r="F838" s="250"/>
      <c r="G838" s="250"/>
      <c r="H838" s="250"/>
      <c r="I838" s="250"/>
      <c r="J838" s="250"/>
      <c r="K838" s="250"/>
      <c r="L838" s="236"/>
      <c r="M838" s="236"/>
      <c r="N838" s="236"/>
    </row>
    <row r="839" spans="1:14" x14ac:dyDescent="0.2">
      <c r="A839" s="241" t="str">
        <f>name!A52</f>
        <v>Auxiliary financial services</v>
      </c>
      <c r="B839" s="372">
        <f>B$6</f>
        <v>2015</v>
      </c>
      <c r="C839" s="372"/>
      <c r="D839" s="372"/>
      <c r="E839" s="253"/>
      <c r="F839" s="372">
        <f>F$6</f>
        <v>2020</v>
      </c>
      <c r="G839" s="372"/>
      <c r="H839" s="372"/>
      <c r="I839" s="253"/>
      <c r="J839" s="372">
        <f>J$6</f>
        <v>2035</v>
      </c>
      <c r="K839" s="372"/>
      <c r="L839" s="372"/>
      <c r="M839" s="236"/>
      <c r="N839" s="236"/>
    </row>
    <row r="840" spans="1:14" x14ac:dyDescent="0.2">
      <c r="A840" s="254"/>
      <c r="B840" s="255" t="s">
        <v>352</v>
      </c>
      <c r="C840" s="255" t="s">
        <v>353</v>
      </c>
      <c r="D840" s="255" t="s">
        <v>32</v>
      </c>
      <c r="E840" s="255"/>
      <c r="F840" s="255" t="s">
        <v>352</v>
      </c>
      <c r="G840" s="255" t="s">
        <v>353</v>
      </c>
      <c r="H840" s="255" t="s">
        <v>32</v>
      </c>
      <c r="I840" s="255"/>
      <c r="J840" s="255" t="s">
        <v>352</v>
      </c>
      <c r="K840" s="255" t="s">
        <v>353</v>
      </c>
      <c r="L840" s="255" t="s">
        <v>32</v>
      </c>
      <c r="M840" s="236"/>
      <c r="N840" s="236"/>
    </row>
    <row r="841" spans="1:14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  <c r="N841" s="236"/>
    </row>
    <row r="842" spans="1:14" x14ac:dyDescent="0.2">
      <c r="A842" s="237" t="str">
        <f>name!E$4</f>
        <v>Managers, directors and senior officials</v>
      </c>
      <c r="B842" s="302">
        <v>0.64850330520046939</v>
      </c>
      <c r="C842" s="302">
        <v>2.0828094590609143</v>
      </c>
      <c r="D842" s="302">
        <f>SUM(B842:C842)</f>
        <v>2.7313127642613839</v>
      </c>
      <c r="E842" s="303"/>
      <c r="F842" s="302">
        <v>0.84359479846501684</v>
      </c>
      <c r="G842" s="302">
        <v>2.9538613288850866</v>
      </c>
      <c r="H842" s="302">
        <f>SUM(F842:G842)</f>
        <v>3.7974561273501033</v>
      </c>
      <c r="I842" s="303"/>
      <c r="J842" s="302">
        <v>0.88521877207658028</v>
      </c>
      <c r="K842" s="302">
        <v>2.757979831480923</v>
      </c>
      <c r="L842" s="302">
        <f>SUM(J842:K842)</f>
        <v>3.6431986035575035</v>
      </c>
      <c r="M842" s="236"/>
      <c r="N842" s="236"/>
    </row>
    <row r="843" spans="1:14" x14ac:dyDescent="0.2">
      <c r="A843" s="237" t="str">
        <f>name!E$5</f>
        <v>Professional occupations</v>
      </c>
      <c r="B843" s="302">
        <v>1.0178815788791804</v>
      </c>
      <c r="C843" s="302">
        <v>2.1488528385076275</v>
      </c>
      <c r="D843" s="302">
        <f t="shared" ref="D843:D850" si="310">SUM(B843:C843)</f>
        <v>3.1667344173868077</v>
      </c>
      <c r="E843" s="303"/>
      <c r="F843" s="302">
        <v>1.5091705234799917</v>
      </c>
      <c r="G843" s="302">
        <v>3.2787795777111874</v>
      </c>
      <c r="H843" s="302">
        <f t="shared" ref="H843:H850" si="311">SUM(F843:G843)</f>
        <v>4.7879501011911794</v>
      </c>
      <c r="I843" s="303"/>
      <c r="J843" s="302">
        <v>1.7472074385434104</v>
      </c>
      <c r="K843" s="302">
        <v>3.6850172305559683</v>
      </c>
      <c r="L843" s="302">
        <f t="shared" ref="L843:L850" si="312">SUM(J843:K843)</f>
        <v>5.4322246690993783</v>
      </c>
      <c r="M843" s="236"/>
      <c r="N843" s="236"/>
    </row>
    <row r="844" spans="1:14" x14ac:dyDescent="0.2">
      <c r="A844" s="237" t="str">
        <f>name!E$6</f>
        <v>Associate professional occupations</v>
      </c>
      <c r="B844" s="302">
        <v>1.5575890432640522</v>
      </c>
      <c r="C844" s="302">
        <v>2.7349558491737476</v>
      </c>
      <c r="D844" s="302">
        <f t="shared" si="310"/>
        <v>4.2925448924377996</v>
      </c>
      <c r="E844" s="303"/>
      <c r="F844" s="302">
        <v>1.8047830884214913</v>
      </c>
      <c r="G844" s="302">
        <v>3.5795937249690453</v>
      </c>
      <c r="H844" s="302">
        <f t="shared" si="311"/>
        <v>5.3843768133905368</v>
      </c>
      <c r="I844" s="303"/>
      <c r="J844" s="302">
        <v>1.8413643413068117</v>
      </c>
      <c r="K844" s="302">
        <v>2.9672145589756411</v>
      </c>
      <c r="L844" s="302">
        <f t="shared" si="312"/>
        <v>4.8085789002824528</v>
      </c>
      <c r="M844" s="236"/>
      <c r="N844" s="236"/>
    </row>
    <row r="845" spans="1:14" x14ac:dyDescent="0.2">
      <c r="A845" s="237" t="str">
        <f>name!E$7</f>
        <v>Administrative and secretarial occupations</v>
      </c>
      <c r="B845" s="302">
        <v>3.6328523366801444</v>
      </c>
      <c r="C845" s="302">
        <v>0.41731951334027084</v>
      </c>
      <c r="D845" s="302">
        <f t="shared" si="310"/>
        <v>4.0501718500204156</v>
      </c>
      <c r="E845" s="303"/>
      <c r="F845" s="302">
        <v>3.2838357507004496</v>
      </c>
      <c r="G845" s="302">
        <v>0.56796141923610521</v>
      </c>
      <c r="H845" s="302">
        <f t="shared" si="311"/>
        <v>3.851797169936555</v>
      </c>
      <c r="I845" s="303"/>
      <c r="J845" s="302">
        <v>2.2961034124563411</v>
      </c>
      <c r="K845" s="302">
        <v>0.33301541994074785</v>
      </c>
      <c r="L845" s="302">
        <f t="shared" si="312"/>
        <v>2.6291188323970891</v>
      </c>
      <c r="M845" s="236"/>
      <c r="N845" s="236"/>
    </row>
    <row r="846" spans="1:14" x14ac:dyDescent="0.2">
      <c r="A846" s="237" t="str">
        <f>name!E$8</f>
        <v>Skilled trades occupations</v>
      </c>
      <c r="B846" s="302">
        <v>9.6667836273423943E-2</v>
      </c>
      <c r="C846" s="302">
        <v>0.40334617740979201</v>
      </c>
      <c r="D846" s="302">
        <f t="shared" si="310"/>
        <v>0.50001401368321596</v>
      </c>
      <c r="E846" s="303"/>
      <c r="F846" s="302">
        <v>6.8223976007600245E-2</v>
      </c>
      <c r="G846" s="302">
        <v>0.33795415986450467</v>
      </c>
      <c r="H846" s="302">
        <f t="shared" si="311"/>
        <v>0.40617813587210494</v>
      </c>
      <c r="I846" s="303"/>
      <c r="J846" s="302">
        <v>8.194947315170685E-2</v>
      </c>
      <c r="K846" s="302">
        <v>0.31614978741422717</v>
      </c>
      <c r="L846" s="302">
        <f t="shared" si="312"/>
        <v>0.39809926056593403</v>
      </c>
      <c r="M846" s="236"/>
      <c r="N846" s="236"/>
    </row>
    <row r="847" spans="1:14" x14ac:dyDescent="0.2">
      <c r="A847" s="237" t="str">
        <f>name!E$9</f>
        <v>Caring, leisure and other service occupations</v>
      </c>
      <c r="B847" s="302">
        <v>0.19869882132112737</v>
      </c>
      <c r="C847" s="302">
        <v>6.4119287296971472E-2</v>
      </c>
      <c r="D847" s="302">
        <f t="shared" si="310"/>
        <v>0.26281810861809884</v>
      </c>
      <c r="E847" s="303"/>
      <c r="F847" s="302">
        <v>0.12390691256894806</v>
      </c>
      <c r="G847" s="302">
        <v>7.9173475350627145E-2</v>
      </c>
      <c r="H847" s="302">
        <f t="shared" si="311"/>
        <v>0.20308038791957522</v>
      </c>
      <c r="I847" s="303"/>
      <c r="J847" s="302">
        <v>0.15963613507385263</v>
      </c>
      <c r="K847" s="302">
        <v>0.10609667387581533</v>
      </c>
      <c r="L847" s="302">
        <f t="shared" si="312"/>
        <v>0.26573280894966794</v>
      </c>
      <c r="M847" s="236"/>
      <c r="N847" s="236"/>
    </row>
    <row r="848" spans="1:14" x14ac:dyDescent="0.2">
      <c r="A848" s="237" t="str">
        <f>name!E$10</f>
        <v>Sales and customer service occupations</v>
      </c>
      <c r="B848" s="302">
        <v>0.65643882777341311</v>
      </c>
      <c r="C848" s="302">
        <v>0.26492919470860488</v>
      </c>
      <c r="D848" s="302">
        <f t="shared" si="310"/>
        <v>0.92136802248201799</v>
      </c>
      <c r="E848" s="303"/>
      <c r="F848" s="302">
        <v>0.57515665713223396</v>
      </c>
      <c r="G848" s="302">
        <v>0.34643993201345868</v>
      </c>
      <c r="H848" s="302">
        <f t="shared" si="311"/>
        <v>0.92159658914569265</v>
      </c>
      <c r="I848" s="303"/>
      <c r="J848" s="302">
        <v>0.56576194794889345</v>
      </c>
      <c r="K848" s="302">
        <v>0.35528418814188434</v>
      </c>
      <c r="L848" s="302">
        <f t="shared" si="312"/>
        <v>0.92104613609077779</v>
      </c>
      <c r="M848" s="236"/>
      <c r="N848" s="236"/>
    </row>
    <row r="849" spans="1:14" x14ac:dyDescent="0.2">
      <c r="A849" s="237" t="str">
        <f>name!E$11</f>
        <v>Process, plant and machine operatives</v>
      </c>
      <c r="B849" s="302">
        <v>2.533504363978371E-2</v>
      </c>
      <c r="C849" s="302">
        <v>0.20344168300013521</v>
      </c>
      <c r="D849" s="302">
        <f t="shared" si="310"/>
        <v>0.22877672663991891</v>
      </c>
      <c r="E849" s="303"/>
      <c r="F849" s="302">
        <v>2.4832813079824358E-2</v>
      </c>
      <c r="G849" s="302">
        <v>0.23822082074365716</v>
      </c>
      <c r="H849" s="302">
        <f t="shared" si="311"/>
        <v>0.26305363382348151</v>
      </c>
      <c r="I849" s="303"/>
      <c r="J849" s="302">
        <v>3.669944234127108E-2</v>
      </c>
      <c r="K849" s="302">
        <v>0.3158533874969161</v>
      </c>
      <c r="L849" s="302">
        <f t="shared" si="312"/>
        <v>0.3525528298381872</v>
      </c>
      <c r="M849" s="236"/>
      <c r="N849" s="236"/>
    </row>
    <row r="850" spans="1:14" x14ac:dyDescent="0.2">
      <c r="A850" s="237" t="str">
        <f>name!E$12</f>
        <v>Elementary occupations</v>
      </c>
      <c r="B850" s="302">
        <v>0.21503320692352876</v>
      </c>
      <c r="C850" s="302">
        <v>0.16722599760614762</v>
      </c>
      <c r="D850" s="302">
        <f t="shared" si="310"/>
        <v>0.38225920452967638</v>
      </c>
      <c r="E850" s="303"/>
      <c r="F850" s="302">
        <v>0.12049548004835797</v>
      </c>
      <c r="G850" s="302">
        <v>0.16701556106107598</v>
      </c>
      <c r="H850" s="302">
        <f t="shared" si="311"/>
        <v>0.28751104110943393</v>
      </c>
      <c r="I850" s="303"/>
      <c r="J850" s="302">
        <v>0.1220590371550395</v>
      </c>
      <c r="K850" s="302">
        <v>0.15738892204635926</v>
      </c>
      <c r="L850" s="302">
        <f t="shared" si="312"/>
        <v>0.27944795920139875</v>
      </c>
      <c r="M850" s="236"/>
      <c r="N850" s="236"/>
    </row>
    <row r="851" spans="1:14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  <c r="N851" s="236"/>
    </row>
    <row r="852" spans="1:14" x14ac:dyDescent="0.2">
      <c r="A852" s="244" t="s">
        <v>32</v>
      </c>
      <c r="B852" s="311">
        <f>SUM(B842:B850)</f>
        <v>8.0489999999551216</v>
      </c>
      <c r="C852" s="311">
        <f t="shared" ref="C852:D852" si="313">SUM(C842:C850)</f>
        <v>8.4870000001042101</v>
      </c>
      <c r="D852" s="311">
        <f t="shared" si="313"/>
        <v>16.536000000059335</v>
      </c>
      <c r="E852" s="311"/>
      <c r="F852" s="311">
        <f t="shared" ref="F852:H852" si="314">SUM(F842:F850)</f>
        <v>8.3539999999039143</v>
      </c>
      <c r="G852" s="311">
        <f t="shared" si="314"/>
        <v>11.54899999983475</v>
      </c>
      <c r="H852" s="311">
        <f t="shared" si="314"/>
        <v>19.902999999738658</v>
      </c>
      <c r="I852" s="311"/>
      <c r="J852" s="311">
        <f t="shared" ref="J852:L852" si="315">SUM(J842:J850)</f>
        <v>7.7360000000539069</v>
      </c>
      <c r="K852" s="311">
        <f t="shared" si="315"/>
        <v>10.993999999928482</v>
      </c>
      <c r="L852" s="311">
        <f t="shared" si="315"/>
        <v>18.72999999998239</v>
      </c>
      <c r="M852" s="236"/>
      <c r="N852" s="236"/>
    </row>
    <row r="853" spans="1:14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  <c r="N853" s="236"/>
    </row>
    <row r="854" spans="1:14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56" t="s">
        <v>35</v>
      </c>
      <c r="M854" s="236"/>
      <c r="N854" s="236"/>
    </row>
    <row r="855" spans="1:14" x14ac:dyDescent="0.2">
      <c r="A855" s="242"/>
      <c r="B855" s="250"/>
      <c r="C855" s="250"/>
      <c r="D855" s="250"/>
      <c r="E855" s="250"/>
      <c r="F855" s="250"/>
      <c r="G855" s="250"/>
      <c r="H855" s="250"/>
      <c r="I855" s="250"/>
      <c r="J855" s="250"/>
      <c r="K855" s="250"/>
      <c r="L855" s="236"/>
      <c r="M855" s="236"/>
      <c r="N855" s="236"/>
    </row>
    <row r="856" spans="1:14" x14ac:dyDescent="0.2">
      <c r="A856" s="241" t="str">
        <f>name!A53</f>
        <v>Real estate</v>
      </c>
      <c r="B856" s="372">
        <f>B$6</f>
        <v>2015</v>
      </c>
      <c r="C856" s="372"/>
      <c r="D856" s="372"/>
      <c r="E856" s="253"/>
      <c r="F856" s="372">
        <f>F$6</f>
        <v>2020</v>
      </c>
      <c r="G856" s="372"/>
      <c r="H856" s="372"/>
      <c r="I856" s="253"/>
      <c r="J856" s="372">
        <f>J$6</f>
        <v>2035</v>
      </c>
      <c r="K856" s="372"/>
      <c r="L856" s="372"/>
      <c r="M856" s="236"/>
      <c r="N856" s="236"/>
    </row>
    <row r="857" spans="1:14" x14ac:dyDescent="0.2">
      <c r="A857" s="254"/>
      <c r="B857" s="255" t="s">
        <v>352</v>
      </c>
      <c r="C857" s="255" t="s">
        <v>353</v>
      </c>
      <c r="D857" s="255" t="s">
        <v>32</v>
      </c>
      <c r="E857" s="255"/>
      <c r="F857" s="255" t="s">
        <v>352</v>
      </c>
      <c r="G857" s="255" t="s">
        <v>353</v>
      </c>
      <c r="H857" s="255" t="s">
        <v>32</v>
      </c>
      <c r="I857" s="255"/>
      <c r="J857" s="255" t="s">
        <v>352</v>
      </c>
      <c r="K857" s="255" t="s">
        <v>353</v>
      </c>
      <c r="L857" s="255" t="s">
        <v>32</v>
      </c>
      <c r="M857" s="236"/>
      <c r="N857" s="236"/>
    </row>
    <row r="858" spans="1:14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  <c r="N858" s="236"/>
    </row>
    <row r="859" spans="1:14" x14ac:dyDescent="0.2">
      <c r="A859" s="237" t="str">
        <f>name!E$4</f>
        <v>Managers, directors and senior officials</v>
      </c>
      <c r="B859" s="302">
        <v>2.075184167719252</v>
      </c>
      <c r="C859" s="302">
        <v>3.5550920576090581</v>
      </c>
      <c r="D859" s="302">
        <f>SUM(B859:C859)</f>
        <v>5.6302762253283101</v>
      </c>
      <c r="E859" s="303"/>
      <c r="F859" s="302">
        <v>2.6270165406185395</v>
      </c>
      <c r="G859" s="302">
        <v>7.1415162045658329</v>
      </c>
      <c r="H859" s="302">
        <f>SUM(F859:G859)</f>
        <v>9.7685327451843733</v>
      </c>
      <c r="I859" s="303"/>
      <c r="J859" s="302">
        <v>3.2923469904590235</v>
      </c>
      <c r="K859" s="302">
        <v>8.5656364720804667</v>
      </c>
      <c r="L859" s="302">
        <f>SUM(J859:K859)</f>
        <v>11.85798346253949</v>
      </c>
      <c r="M859" s="236"/>
      <c r="N859" s="236"/>
    </row>
    <row r="860" spans="1:14" x14ac:dyDescent="0.2">
      <c r="A860" s="237" t="str">
        <f>name!E$5</f>
        <v>Professional occupations</v>
      </c>
      <c r="B860" s="302">
        <v>1.8055181889774101</v>
      </c>
      <c r="C860" s="302">
        <v>2.340927528113423</v>
      </c>
      <c r="D860" s="302">
        <f t="shared" ref="D860:D867" si="316">SUM(B860:C860)</f>
        <v>4.1464457170908329</v>
      </c>
      <c r="E860" s="303"/>
      <c r="F860" s="302">
        <v>2.8909427450915701</v>
      </c>
      <c r="G860" s="302">
        <v>4.4260039239987989</v>
      </c>
      <c r="H860" s="302">
        <f t="shared" ref="H860:H867" si="317">SUM(F860:G860)</f>
        <v>7.3169466690903686</v>
      </c>
      <c r="I860" s="303"/>
      <c r="J860" s="302">
        <v>3.5122080173103205</v>
      </c>
      <c r="K860" s="302">
        <v>4.7492733650668075</v>
      </c>
      <c r="L860" s="302">
        <f t="shared" ref="L860:L867" si="318">SUM(J860:K860)</f>
        <v>8.2614813823771271</v>
      </c>
      <c r="M860" s="236"/>
      <c r="N860" s="236"/>
    </row>
    <row r="861" spans="1:14" x14ac:dyDescent="0.2">
      <c r="A861" s="237" t="str">
        <f>name!E$6</f>
        <v>Associate professional occupations</v>
      </c>
      <c r="B861" s="302">
        <v>1.8754957642634904</v>
      </c>
      <c r="C861" s="302">
        <v>1.8714424824124982</v>
      </c>
      <c r="D861" s="302">
        <f t="shared" si="316"/>
        <v>3.7469382466759886</v>
      </c>
      <c r="E861" s="303"/>
      <c r="F861" s="302">
        <v>2.7355249370613572</v>
      </c>
      <c r="G861" s="302">
        <v>3.2267168904343975</v>
      </c>
      <c r="H861" s="302">
        <f t="shared" si="317"/>
        <v>5.9622418274957543</v>
      </c>
      <c r="I861" s="303"/>
      <c r="J861" s="302">
        <v>3.1763795519169649</v>
      </c>
      <c r="K861" s="302">
        <v>2.7883419029129897</v>
      </c>
      <c r="L861" s="302">
        <f t="shared" si="318"/>
        <v>5.9647214548299541</v>
      </c>
      <c r="M861" s="236"/>
      <c r="N861" s="236"/>
    </row>
    <row r="862" spans="1:14" x14ac:dyDescent="0.2">
      <c r="A862" s="237" t="str">
        <f>name!E$7</f>
        <v>Administrative and secretarial occupations</v>
      </c>
      <c r="B862" s="302">
        <v>5.9206186486855348</v>
      </c>
      <c r="C862" s="302">
        <v>0.39988709366473796</v>
      </c>
      <c r="D862" s="302">
        <f t="shared" si="316"/>
        <v>6.3205057423502726</v>
      </c>
      <c r="E862" s="303"/>
      <c r="F862" s="302">
        <v>6.0561241522147027</v>
      </c>
      <c r="G862" s="302">
        <v>0.65717565106067644</v>
      </c>
      <c r="H862" s="302">
        <f t="shared" si="317"/>
        <v>6.7132998032753788</v>
      </c>
      <c r="I862" s="303"/>
      <c r="J862" s="302">
        <v>4.5916649618769574</v>
      </c>
      <c r="K862" s="302">
        <v>0.57150687237797504</v>
      </c>
      <c r="L862" s="302">
        <f t="shared" si="318"/>
        <v>5.163171834254932</v>
      </c>
      <c r="M862" s="236"/>
      <c r="N862" s="236"/>
    </row>
    <row r="863" spans="1:14" x14ac:dyDescent="0.2">
      <c r="A863" s="237" t="str">
        <f>name!E$8</f>
        <v>Skilled trades occupations</v>
      </c>
      <c r="B863" s="302">
        <v>0.42906257718617014</v>
      </c>
      <c r="C863" s="302">
        <v>1.7222760804811148</v>
      </c>
      <c r="D863" s="302">
        <f t="shared" si="316"/>
        <v>2.151338657667285</v>
      </c>
      <c r="E863" s="303"/>
      <c r="F863" s="302">
        <v>0.45565181695773277</v>
      </c>
      <c r="G863" s="302">
        <v>2.3138562068819435</v>
      </c>
      <c r="H863" s="302">
        <f t="shared" si="317"/>
        <v>2.7695080238396761</v>
      </c>
      <c r="I863" s="303"/>
      <c r="J863" s="302">
        <v>0.80945318664738009</v>
      </c>
      <c r="K863" s="302">
        <v>2.2541267948399519</v>
      </c>
      <c r="L863" s="302">
        <f t="shared" si="318"/>
        <v>3.0635799814873321</v>
      </c>
      <c r="M863" s="236"/>
      <c r="N863" s="236"/>
    </row>
    <row r="864" spans="1:14" x14ac:dyDescent="0.2">
      <c r="A864" s="237" t="str">
        <f>name!E$9</f>
        <v>Caring, leisure and other service occupations</v>
      </c>
      <c r="B864" s="302">
        <v>0.68416833015699208</v>
      </c>
      <c r="C864" s="302">
        <v>0.31541146254613506</v>
      </c>
      <c r="D864" s="302">
        <f t="shared" si="316"/>
        <v>0.99957979270312713</v>
      </c>
      <c r="E864" s="303"/>
      <c r="F864" s="302">
        <v>0.72899415842018866</v>
      </c>
      <c r="G864" s="302">
        <v>0.56278301711844148</v>
      </c>
      <c r="H864" s="302">
        <f t="shared" si="317"/>
        <v>1.29177717553863</v>
      </c>
      <c r="I864" s="303"/>
      <c r="J864" s="302">
        <v>0.89238592794955818</v>
      </c>
      <c r="K864" s="302">
        <v>0.63037678684410892</v>
      </c>
      <c r="L864" s="302">
        <f t="shared" si="318"/>
        <v>1.5227627147936671</v>
      </c>
      <c r="M864" s="236"/>
      <c r="N864" s="236"/>
    </row>
    <row r="865" spans="1:14" x14ac:dyDescent="0.2">
      <c r="A865" s="237" t="str">
        <f>name!E$10</f>
        <v>Sales and customer service occupations</v>
      </c>
      <c r="B865" s="302">
        <v>1.9329014256241237</v>
      </c>
      <c r="C865" s="302">
        <v>0.73547754005355248</v>
      </c>
      <c r="D865" s="302">
        <f t="shared" si="316"/>
        <v>2.6683789656776762</v>
      </c>
      <c r="E865" s="303"/>
      <c r="F865" s="302">
        <v>2.0725444653853122</v>
      </c>
      <c r="G865" s="302">
        <v>1.3763207855147768</v>
      </c>
      <c r="H865" s="302">
        <f t="shared" si="317"/>
        <v>3.4488652509000888</v>
      </c>
      <c r="I865" s="303"/>
      <c r="J865" s="302">
        <v>2.1094706570153083</v>
      </c>
      <c r="K865" s="302">
        <v>1.2324340245363112</v>
      </c>
      <c r="L865" s="302">
        <f t="shared" si="318"/>
        <v>3.3419046815516196</v>
      </c>
      <c r="M865" s="236"/>
      <c r="N865" s="236"/>
    </row>
    <row r="866" spans="1:14" x14ac:dyDescent="0.2">
      <c r="A866" s="237" t="str">
        <f>name!E$11</f>
        <v>Process, plant and machine operatives</v>
      </c>
      <c r="B866" s="302">
        <v>2.3470885518921101E-2</v>
      </c>
      <c r="C866" s="302">
        <v>0.44864671359992875</v>
      </c>
      <c r="D866" s="302">
        <f t="shared" si="316"/>
        <v>0.47211759911884987</v>
      </c>
      <c r="E866" s="303"/>
      <c r="F866" s="302">
        <v>2.0987420765445786E-2</v>
      </c>
      <c r="G866" s="302">
        <v>0.52461662525562136</v>
      </c>
      <c r="H866" s="302">
        <f t="shared" si="317"/>
        <v>0.54560404602106716</v>
      </c>
      <c r="I866" s="303"/>
      <c r="J866" s="302">
        <v>3.5811110374710027E-2</v>
      </c>
      <c r="K866" s="302">
        <v>0.43281392541441077</v>
      </c>
      <c r="L866" s="302">
        <f t="shared" si="318"/>
        <v>0.46862503578912079</v>
      </c>
      <c r="M866" s="236"/>
      <c r="N866" s="236"/>
    </row>
    <row r="867" spans="1:14" x14ac:dyDescent="0.2">
      <c r="A867" s="237" t="str">
        <f>name!E$12</f>
        <v>Elementary occupations</v>
      </c>
      <c r="B867" s="302">
        <v>0.65458001183453096</v>
      </c>
      <c r="C867" s="302">
        <v>0.375839041562403</v>
      </c>
      <c r="D867" s="302">
        <f t="shared" si="316"/>
        <v>1.030419053396934</v>
      </c>
      <c r="E867" s="303"/>
      <c r="F867" s="302">
        <v>0.51321376341049085</v>
      </c>
      <c r="G867" s="302">
        <v>0.44901069500635171</v>
      </c>
      <c r="H867" s="302">
        <f t="shared" si="317"/>
        <v>0.96222445841684257</v>
      </c>
      <c r="I867" s="303"/>
      <c r="J867" s="302">
        <v>0.33827959640856431</v>
      </c>
      <c r="K867" s="302">
        <v>0.32148985590846546</v>
      </c>
      <c r="L867" s="302">
        <f t="shared" si="318"/>
        <v>0.65976945231702977</v>
      </c>
      <c r="M867" s="236"/>
      <c r="N867" s="236"/>
    </row>
    <row r="868" spans="1:14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  <c r="N868" s="236"/>
    </row>
    <row r="869" spans="1:14" x14ac:dyDescent="0.2">
      <c r="A869" s="244" t="s">
        <v>32</v>
      </c>
      <c r="B869" s="311">
        <f>SUM(B859:B867)</f>
        <v>15.400999999966425</v>
      </c>
      <c r="C869" s="311">
        <f t="shared" ref="C869:D869" si="319">SUM(C859:C867)</f>
        <v>11.765000000042853</v>
      </c>
      <c r="D869" s="311">
        <f t="shared" si="319"/>
        <v>27.166000000009273</v>
      </c>
      <c r="E869" s="311"/>
      <c r="F869" s="311">
        <f t="shared" ref="F869:H869" si="320">SUM(F859:F867)</f>
        <v>18.100999999925342</v>
      </c>
      <c r="G869" s="311">
        <f t="shared" si="320"/>
        <v>20.677999999836839</v>
      </c>
      <c r="H869" s="311">
        <f t="shared" si="320"/>
        <v>38.778999999762178</v>
      </c>
      <c r="I869" s="311"/>
      <c r="J869" s="311">
        <f t="shared" ref="J869:L869" si="321">SUM(J859:J867)</f>
        <v>18.757999999958788</v>
      </c>
      <c r="K869" s="311">
        <f t="shared" si="321"/>
        <v>21.545999999981486</v>
      </c>
      <c r="L869" s="311">
        <f t="shared" si="321"/>
        <v>40.303999999940267</v>
      </c>
      <c r="M869" s="236"/>
      <c r="N869" s="236"/>
    </row>
    <row r="870" spans="1:14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  <c r="N870" s="236"/>
    </row>
    <row r="871" spans="1:14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56" t="s">
        <v>35</v>
      </c>
      <c r="M871" s="236"/>
      <c r="N871" s="236"/>
    </row>
    <row r="872" spans="1:14" x14ac:dyDescent="0.2">
      <c r="A872" s="242"/>
      <c r="B872" s="250"/>
      <c r="C872" s="250"/>
      <c r="D872" s="250"/>
      <c r="E872" s="250"/>
      <c r="F872" s="250"/>
      <c r="G872" s="250"/>
      <c r="H872" s="250"/>
      <c r="I872" s="250"/>
      <c r="J872" s="250"/>
      <c r="K872" s="250"/>
      <c r="L872" s="236"/>
      <c r="M872" s="236"/>
      <c r="N872" s="236"/>
    </row>
    <row r="873" spans="1:14" x14ac:dyDescent="0.2">
      <c r="A873" s="241" t="str">
        <f>name!A54</f>
        <v>Legal and accounting</v>
      </c>
      <c r="B873" s="372">
        <f>B$6</f>
        <v>2015</v>
      </c>
      <c r="C873" s="372"/>
      <c r="D873" s="372"/>
      <c r="E873" s="253"/>
      <c r="F873" s="372">
        <f>F$6</f>
        <v>2020</v>
      </c>
      <c r="G873" s="372"/>
      <c r="H873" s="372"/>
      <c r="I873" s="253"/>
      <c r="J873" s="372">
        <f>J$6</f>
        <v>2035</v>
      </c>
      <c r="K873" s="372"/>
      <c r="L873" s="372"/>
      <c r="M873" s="236"/>
      <c r="N873" s="236"/>
    </row>
    <row r="874" spans="1:14" x14ac:dyDescent="0.2">
      <c r="A874" s="254"/>
      <c r="B874" s="255" t="s">
        <v>352</v>
      </c>
      <c r="C874" s="255" t="s">
        <v>353</v>
      </c>
      <c r="D874" s="255" t="s">
        <v>32</v>
      </c>
      <c r="E874" s="255"/>
      <c r="F874" s="255" t="s">
        <v>352</v>
      </c>
      <c r="G874" s="255" t="s">
        <v>353</v>
      </c>
      <c r="H874" s="255" t="s">
        <v>32</v>
      </c>
      <c r="I874" s="255"/>
      <c r="J874" s="255" t="s">
        <v>352</v>
      </c>
      <c r="K874" s="255" t="s">
        <v>353</v>
      </c>
      <c r="L874" s="255" t="s">
        <v>32</v>
      </c>
      <c r="M874" s="236"/>
      <c r="N874" s="236"/>
    </row>
    <row r="875" spans="1:14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  <c r="N875" s="236"/>
    </row>
    <row r="876" spans="1:14" x14ac:dyDescent="0.2">
      <c r="A876" s="237" t="str">
        <f>name!E$4</f>
        <v>Managers, directors and senior officials</v>
      </c>
      <c r="B876" s="302">
        <v>1.6513667003904648</v>
      </c>
      <c r="C876" s="302">
        <v>2.4670525853232692</v>
      </c>
      <c r="D876" s="302">
        <f>SUM(B876:C876)</f>
        <v>4.1184192857137338</v>
      </c>
      <c r="E876" s="303"/>
      <c r="F876" s="302">
        <v>3.2031326849259649</v>
      </c>
      <c r="G876" s="302">
        <v>2.481922753010267</v>
      </c>
      <c r="H876" s="302">
        <f>SUM(F876:G876)</f>
        <v>5.6850554379362315</v>
      </c>
      <c r="I876" s="303"/>
      <c r="J876" s="302">
        <v>3.7424581694713379</v>
      </c>
      <c r="K876" s="302">
        <v>2.8826843218889593</v>
      </c>
      <c r="L876" s="302">
        <f>SUM(J876:K876)</f>
        <v>6.6251424913602968</v>
      </c>
      <c r="M876" s="236"/>
      <c r="N876" s="236"/>
    </row>
    <row r="877" spans="1:14" x14ac:dyDescent="0.2">
      <c r="A877" s="237" t="str">
        <f>name!E$5</f>
        <v>Professional occupations</v>
      </c>
      <c r="B877" s="302">
        <v>4.4734817518565171</v>
      </c>
      <c r="C877" s="302">
        <v>6.4706506668574733</v>
      </c>
      <c r="D877" s="302">
        <f t="shared" ref="D877:D884" si="322">SUM(B877:C877)</f>
        <v>10.944132418713991</v>
      </c>
      <c r="E877" s="303"/>
      <c r="F877" s="302">
        <v>8.8950390779344914</v>
      </c>
      <c r="G877" s="302">
        <v>6.6849039589050392</v>
      </c>
      <c r="H877" s="302">
        <f t="shared" ref="H877:H884" si="323">SUM(F877:G877)</f>
        <v>15.579943036839531</v>
      </c>
      <c r="I877" s="303"/>
      <c r="J877" s="302">
        <v>11.483360531311105</v>
      </c>
      <c r="K877" s="302">
        <v>8.061950644695985</v>
      </c>
      <c r="L877" s="302">
        <f t="shared" ref="L877:L884" si="324">SUM(J877:K877)</f>
        <v>19.54531117600709</v>
      </c>
      <c r="M877" s="236"/>
      <c r="N877" s="236"/>
    </row>
    <row r="878" spans="1:14" x14ac:dyDescent="0.2">
      <c r="A878" s="237" t="str">
        <f>name!E$6</f>
        <v>Associate professional occupations</v>
      </c>
      <c r="B878" s="302">
        <v>2.6171284495730549</v>
      </c>
      <c r="C878" s="302">
        <v>2.5641299312795507</v>
      </c>
      <c r="D878" s="302">
        <f t="shared" si="322"/>
        <v>5.181258380852606</v>
      </c>
      <c r="E878" s="303"/>
      <c r="F878" s="302">
        <v>4.4208758924512752</v>
      </c>
      <c r="G878" s="302">
        <v>2.6376734314950165</v>
      </c>
      <c r="H878" s="302">
        <f t="shared" si="323"/>
        <v>7.0585493239462913</v>
      </c>
      <c r="I878" s="303"/>
      <c r="J878" s="302">
        <v>5.1511268080184021</v>
      </c>
      <c r="K878" s="302">
        <v>2.6458370538393803</v>
      </c>
      <c r="L878" s="302">
        <f t="shared" si="324"/>
        <v>7.7969638618577823</v>
      </c>
      <c r="M878" s="236"/>
      <c r="N878" s="236"/>
    </row>
    <row r="879" spans="1:14" x14ac:dyDescent="0.2">
      <c r="A879" s="237" t="str">
        <f>name!E$7</f>
        <v>Administrative and secretarial occupations</v>
      </c>
      <c r="B879" s="302">
        <v>6.5415027251059774</v>
      </c>
      <c r="C879" s="302">
        <v>0.44790809050729052</v>
      </c>
      <c r="D879" s="302">
        <f t="shared" si="322"/>
        <v>6.9894108156132679</v>
      </c>
      <c r="E879" s="303"/>
      <c r="F879" s="302">
        <v>9.6491218405214081</v>
      </c>
      <c r="G879" s="302">
        <v>0.43639787683319359</v>
      </c>
      <c r="H879" s="302">
        <f t="shared" si="323"/>
        <v>10.085519717354602</v>
      </c>
      <c r="I879" s="303"/>
      <c r="J879" s="302">
        <v>7.9415599450258467</v>
      </c>
      <c r="K879" s="302">
        <v>0.31790039585137264</v>
      </c>
      <c r="L879" s="302">
        <f t="shared" si="324"/>
        <v>8.2594603408772187</v>
      </c>
      <c r="M879" s="236"/>
      <c r="N879" s="236"/>
    </row>
    <row r="880" spans="1:14" x14ac:dyDescent="0.2">
      <c r="A880" s="237" t="str">
        <f>name!E$8</f>
        <v>Skilled trades occupations</v>
      </c>
      <c r="B880" s="302">
        <v>0.17143913498482555</v>
      </c>
      <c r="C880" s="302">
        <v>0.82258760777523776</v>
      </c>
      <c r="D880" s="302">
        <f t="shared" si="322"/>
        <v>0.99402674276006331</v>
      </c>
      <c r="E880" s="303"/>
      <c r="F880" s="302">
        <v>0.29778014309716466</v>
      </c>
      <c r="G880" s="302">
        <v>0.55767481584347722</v>
      </c>
      <c r="H880" s="302">
        <f t="shared" si="323"/>
        <v>0.85545495894064194</v>
      </c>
      <c r="I880" s="303"/>
      <c r="J880" s="302">
        <v>0.53604092516599844</v>
      </c>
      <c r="K880" s="302">
        <v>0.53950979166834456</v>
      </c>
      <c r="L880" s="302">
        <f t="shared" si="324"/>
        <v>1.075550716834343</v>
      </c>
      <c r="M880" s="236"/>
      <c r="N880" s="236"/>
    </row>
    <row r="881" spans="1:14" x14ac:dyDescent="0.2">
      <c r="A881" s="237" t="str">
        <f>name!E$9</f>
        <v>Caring, leisure and other service occupations</v>
      </c>
      <c r="B881" s="302">
        <v>0.10317496798060799</v>
      </c>
      <c r="C881" s="302">
        <v>8.2449653634939293E-2</v>
      </c>
      <c r="D881" s="302">
        <f t="shared" si="322"/>
        <v>0.18562462161554727</v>
      </c>
      <c r="E881" s="303"/>
      <c r="F881" s="302">
        <v>0.15379322642556895</v>
      </c>
      <c r="G881" s="302">
        <v>7.0801790579991156E-2</v>
      </c>
      <c r="H881" s="302">
        <f t="shared" si="323"/>
        <v>0.22459501700556012</v>
      </c>
      <c r="I881" s="303"/>
      <c r="J881" s="302">
        <v>0.20189335351950349</v>
      </c>
      <c r="K881" s="302">
        <v>0.12021337161869314</v>
      </c>
      <c r="L881" s="302">
        <f t="shared" si="324"/>
        <v>0.3221067251381966</v>
      </c>
      <c r="M881" s="236"/>
      <c r="N881" s="236"/>
    </row>
    <row r="882" spans="1:14" x14ac:dyDescent="0.2">
      <c r="A882" s="237" t="str">
        <f>name!E$10</f>
        <v>Sales and customer service occupations</v>
      </c>
      <c r="B882" s="302">
        <v>0.90009625114231795</v>
      </c>
      <c r="C882" s="302">
        <v>0.33139200495236076</v>
      </c>
      <c r="D882" s="302">
        <f t="shared" si="322"/>
        <v>1.2314882560946787</v>
      </c>
      <c r="E882" s="303"/>
      <c r="F882" s="302">
        <v>1.2173516745098467</v>
      </c>
      <c r="G882" s="302">
        <v>0.30145508264743787</v>
      </c>
      <c r="H882" s="302">
        <f t="shared" si="323"/>
        <v>1.5188067571572845</v>
      </c>
      <c r="I882" s="303"/>
      <c r="J882" s="302">
        <v>1.2456510223930533</v>
      </c>
      <c r="K882" s="302">
        <v>0.3699821651755682</v>
      </c>
      <c r="L882" s="302">
        <f t="shared" si="324"/>
        <v>1.6156331875686214</v>
      </c>
      <c r="M882" s="236"/>
      <c r="N882" s="236"/>
    </row>
    <row r="883" spans="1:14" x14ac:dyDescent="0.2">
      <c r="A883" s="237" t="str">
        <f>name!E$11</f>
        <v>Process, plant and machine operatives</v>
      </c>
      <c r="B883" s="302">
        <v>4.636775997580711E-2</v>
      </c>
      <c r="C883" s="302">
        <v>0.34459396740211218</v>
      </c>
      <c r="D883" s="302">
        <f t="shared" si="322"/>
        <v>0.39096172737791929</v>
      </c>
      <c r="E883" s="303"/>
      <c r="F883" s="302">
        <v>6.4571077211777517E-2</v>
      </c>
      <c r="G883" s="302">
        <v>0.26780693564565689</v>
      </c>
      <c r="H883" s="302">
        <f t="shared" si="323"/>
        <v>0.3323780128574344</v>
      </c>
      <c r="I883" s="303"/>
      <c r="J883" s="302">
        <v>7.4428500135624714E-2</v>
      </c>
      <c r="K883" s="302">
        <v>0.31367022187516541</v>
      </c>
      <c r="L883" s="302">
        <f t="shared" si="324"/>
        <v>0.3880987220107901</v>
      </c>
      <c r="M883" s="236"/>
      <c r="N883" s="236"/>
    </row>
    <row r="884" spans="1:14" x14ac:dyDescent="0.2">
      <c r="A884" s="237" t="str">
        <f>name!E$12</f>
        <v>Elementary occupations</v>
      </c>
      <c r="B884" s="302">
        <v>0.40444225856446125</v>
      </c>
      <c r="C884" s="302">
        <v>0.17123549254698919</v>
      </c>
      <c r="D884" s="302">
        <f t="shared" si="322"/>
        <v>0.57567775111145048</v>
      </c>
      <c r="E884" s="303"/>
      <c r="F884" s="302">
        <v>0.50433438227629124</v>
      </c>
      <c r="G884" s="302">
        <v>0.13736335475804787</v>
      </c>
      <c r="H884" s="302">
        <f t="shared" si="323"/>
        <v>0.64169773703433908</v>
      </c>
      <c r="I884" s="303"/>
      <c r="J884" s="302">
        <v>0.49348074534150083</v>
      </c>
      <c r="K884" s="302">
        <v>0.12125203320831755</v>
      </c>
      <c r="L884" s="302">
        <f t="shared" si="324"/>
        <v>0.61473277854981834</v>
      </c>
      <c r="M884" s="236"/>
      <c r="N884" s="236"/>
    </row>
    <row r="885" spans="1:14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  <c r="N885" s="236"/>
    </row>
    <row r="886" spans="1:14" x14ac:dyDescent="0.2">
      <c r="A886" s="244" t="s">
        <v>32</v>
      </c>
      <c r="B886" s="311">
        <f>SUM(B876:B884)</f>
        <v>16.908999999574036</v>
      </c>
      <c r="C886" s="311">
        <f t="shared" ref="C886:D886" si="325">SUM(C876:C884)</f>
        <v>13.702000000279224</v>
      </c>
      <c r="D886" s="311">
        <f t="shared" si="325"/>
        <v>30.610999999853256</v>
      </c>
      <c r="E886" s="311"/>
      <c r="F886" s="311">
        <f t="shared" ref="F886:H886" si="326">SUM(F876:F884)</f>
        <v>28.405999999353789</v>
      </c>
      <c r="G886" s="311">
        <f t="shared" si="326"/>
        <v>13.575999999718128</v>
      </c>
      <c r="H886" s="311">
        <f t="shared" si="326"/>
        <v>41.981999999071917</v>
      </c>
      <c r="I886" s="311"/>
      <c r="J886" s="311">
        <f t="shared" ref="J886:L886" si="327">SUM(J876:J884)</f>
        <v>30.870000000382369</v>
      </c>
      <c r="K886" s="311">
        <f t="shared" si="327"/>
        <v>15.372999999821786</v>
      </c>
      <c r="L886" s="311">
        <f t="shared" si="327"/>
        <v>46.243000000204148</v>
      </c>
      <c r="M886" s="236"/>
      <c r="N886" s="236"/>
    </row>
    <row r="887" spans="1:14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  <c r="N887" s="236"/>
    </row>
    <row r="888" spans="1:14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56" t="s">
        <v>35</v>
      </c>
      <c r="M888" s="236"/>
      <c r="N888" s="236"/>
    </row>
    <row r="889" spans="1:14" x14ac:dyDescent="0.2">
      <c r="A889" s="242"/>
      <c r="B889" s="250"/>
      <c r="C889" s="250"/>
      <c r="D889" s="250"/>
      <c r="E889" s="250"/>
      <c r="F889" s="250"/>
      <c r="G889" s="250"/>
      <c r="H889" s="250"/>
      <c r="I889" s="250"/>
      <c r="J889" s="250"/>
      <c r="K889" s="250"/>
      <c r="L889" s="236"/>
      <c r="M889" s="236"/>
      <c r="N889" s="236"/>
    </row>
    <row r="890" spans="1:14" x14ac:dyDescent="0.2">
      <c r="A890" s="241" t="str">
        <f>name!A55</f>
        <v>Head offices, etc</v>
      </c>
      <c r="B890" s="372">
        <f>B$6</f>
        <v>2015</v>
      </c>
      <c r="C890" s="372"/>
      <c r="D890" s="372"/>
      <c r="E890" s="253"/>
      <c r="F890" s="372">
        <f>F$6</f>
        <v>2020</v>
      </c>
      <c r="G890" s="372"/>
      <c r="H890" s="372"/>
      <c r="I890" s="253"/>
      <c r="J890" s="372">
        <f>J$6</f>
        <v>2035</v>
      </c>
      <c r="K890" s="372"/>
      <c r="L890" s="372"/>
      <c r="M890" s="236"/>
      <c r="N890" s="236"/>
    </row>
    <row r="891" spans="1:14" x14ac:dyDescent="0.2">
      <c r="A891" s="254"/>
      <c r="B891" s="255" t="s">
        <v>352</v>
      </c>
      <c r="C891" s="255" t="s">
        <v>353</v>
      </c>
      <c r="D891" s="255" t="s">
        <v>32</v>
      </c>
      <c r="E891" s="255"/>
      <c r="F891" s="255" t="s">
        <v>352</v>
      </c>
      <c r="G891" s="255" t="s">
        <v>353</v>
      </c>
      <c r="H891" s="255" t="s">
        <v>32</v>
      </c>
      <c r="I891" s="255"/>
      <c r="J891" s="255" t="s">
        <v>352</v>
      </c>
      <c r="K891" s="255" t="s">
        <v>353</v>
      </c>
      <c r="L891" s="255" t="s">
        <v>32</v>
      </c>
      <c r="M891" s="236"/>
      <c r="N891" s="236"/>
    </row>
    <row r="892" spans="1:14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  <c r="N892" s="236"/>
    </row>
    <row r="893" spans="1:14" x14ac:dyDescent="0.2">
      <c r="A893" s="237" t="str">
        <f>name!E$4</f>
        <v>Managers, directors and senior officials</v>
      </c>
      <c r="B893" s="302">
        <v>2.210823104308123</v>
      </c>
      <c r="C893" s="302">
        <v>4.5027987605276945</v>
      </c>
      <c r="D893" s="302">
        <f>SUM(B893:C893)</f>
        <v>6.713621864835817</v>
      </c>
      <c r="E893" s="303"/>
      <c r="F893" s="302">
        <v>4.0670274860567375</v>
      </c>
      <c r="G893" s="302">
        <v>5.1712286020421461</v>
      </c>
      <c r="H893" s="302">
        <f>SUM(F893:G893)</f>
        <v>9.2382560880988827</v>
      </c>
      <c r="I893" s="303"/>
      <c r="J893" s="302">
        <v>4.6145631155369067</v>
      </c>
      <c r="K893" s="302">
        <v>5.0760202799394829</v>
      </c>
      <c r="L893" s="302">
        <f>SUM(J893:K893)</f>
        <v>9.6905833954763896</v>
      </c>
      <c r="M893" s="236"/>
      <c r="N893" s="236"/>
    </row>
    <row r="894" spans="1:14" x14ac:dyDescent="0.2">
      <c r="A894" s="237" t="str">
        <f>name!E$5</f>
        <v>Professional occupations</v>
      </c>
      <c r="B894" s="302">
        <v>5.8580001399383033</v>
      </c>
      <c r="C894" s="302">
        <v>11.305136729100454</v>
      </c>
      <c r="D894" s="302">
        <f t="shared" ref="D894:D901" si="328">SUM(B894:C894)</f>
        <v>17.163136869038759</v>
      </c>
      <c r="E894" s="303"/>
      <c r="F894" s="302">
        <v>10.991576588589643</v>
      </c>
      <c r="G894" s="302">
        <v>13.892704592043923</v>
      </c>
      <c r="H894" s="302">
        <f t="shared" ref="H894:H901" si="329">SUM(F894:G894)</f>
        <v>24.884281180633565</v>
      </c>
      <c r="I894" s="303"/>
      <c r="J894" s="302">
        <v>13.642026468440449</v>
      </c>
      <c r="K894" s="302">
        <v>14.96084824205353</v>
      </c>
      <c r="L894" s="302">
        <f t="shared" ref="L894:L901" si="330">SUM(J894:K894)</f>
        <v>28.602874710493978</v>
      </c>
      <c r="M894" s="236"/>
      <c r="N894" s="236"/>
    </row>
    <row r="895" spans="1:14" x14ac:dyDescent="0.2">
      <c r="A895" s="237" t="str">
        <f>name!E$6</f>
        <v>Associate professional occupations</v>
      </c>
      <c r="B895" s="302">
        <v>3.4980564409196724</v>
      </c>
      <c r="C895" s="302">
        <v>4.7333547067366162</v>
      </c>
      <c r="D895" s="302">
        <f t="shared" si="328"/>
        <v>8.2314111476562886</v>
      </c>
      <c r="E895" s="303"/>
      <c r="F895" s="302">
        <v>5.5031390948849754</v>
      </c>
      <c r="G895" s="302">
        <v>5.6372389804930974</v>
      </c>
      <c r="H895" s="302">
        <f t="shared" si="329"/>
        <v>11.140378075378074</v>
      </c>
      <c r="I895" s="303"/>
      <c r="J895" s="302">
        <v>6.1908175980925702</v>
      </c>
      <c r="K895" s="302">
        <v>4.8556120228240713</v>
      </c>
      <c r="L895" s="302">
        <f t="shared" si="330"/>
        <v>11.046429620916641</v>
      </c>
      <c r="M895" s="236"/>
      <c r="N895" s="236"/>
    </row>
    <row r="896" spans="1:14" x14ac:dyDescent="0.2">
      <c r="A896" s="237" t="str">
        <f>name!E$7</f>
        <v>Administrative and secretarial occupations</v>
      </c>
      <c r="B896" s="302">
        <v>10.234975299526587</v>
      </c>
      <c r="C896" s="302">
        <v>0.8653774630524762</v>
      </c>
      <c r="D896" s="302">
        <f t="shared" si="328"/>
        <v>11.100352762579064</v>
      </c>
      <c r="E896" s="303"/>
      <c r="F896" s="302">
        <v>13.627194419729333</v>
      </c>
      <c r="G896" s="302">
        <v>0.97146937890943852</v>
      </c>
      <c r="H896" s="302">
        <f t="shared" si="329"/>
        <v>14.598663798638771</v>
      </c>
      <c r="I896" s="303"/>
      <c r="J896" s="302">
        <v>11.292702676638882</v>
      </c>
      <c r="K896" s="302">
        <v>0.55920741693076137</v>
      </c>
      <c r="L896" s="302">
        <f t="shared" si="330"/>
        <v>11.851910093569643</v>
      </c>
      <c r="M896" s="236"/>
      <c r="N896" s="236"/>
    </row>
    <row r="897" spans="1:14" x14ac:dyDescent="0.2">
      <c r="A897" s="237" t="str">
        <f>name!E$8</f>
        <v>Skilled trades occupations</v>
      </c>
      <c r="B897" s="302">
        <v>0.2261035142197291</v>
      </c>
      <c r="C897" s="302">
        <v>1.5890230804567775</v>
      </c>
      <c r="D897" s="302">
        <f t="shared" si="328"/>
        <v>1.8151265946765067</v>
      </c>
      <c r="E897" s="303"/>
      <c r="F897" s="302">
        <v>0.3431140701305968</v>
      </c>
      <c r="G897" s="302">
        <v>1.191359088920835</v>
      </c>
      <c r="H897" s="302">
        <f t="shared" si="329"/>
        <v>1.5344731590514318</v>
      </c>
      <c r="I897" s="303"/>
      <c r="J897" s="302">
        <v>0.59010042677532171</v>
      </c>
      <c r="K897" s="302">
        <v>0.96535750224666916</v>
      </c>
      <c r="L897" s="302">
        <f t="shared" si="330"/>
        <v>1.555457929021991</v>
      </c>
      <c r="M897" s="236"/>
      <c r="N897" s="236"/>
    </row>
    <row r="898" spans="1:14" x14ac:dyDescent="0.2">
      <c r="A898" s="237" t="str">
        <f>name!E$9</f>
        <v>Caring, leisure and other service occupations</v>
      </c>
      <c r="B898" s="302">
        <v>0.1368925873545066</v>
      </c>
      <c r="C898" s="302">
        <v>0.11590956295878628</v>
      </c>
      <c r="D898" s="302">
        <f t="shared" si="328"/>
        <v>0.25280215031329289</v>
      </c>
      <c r="E898" s="303"/>
      <c r="F898" s="302">
        <v>0.18094423504473489</v>
      </c>
      <c r="G898" s="302">
        <v>0.11539843572223636</v>
      </c>
      <c r="H898" s="302">
        <f t="shared" si="329"/>
        <v>0.29634267076697124</v>
      </c>
      <c r="I898" s="303"/>
      <c r="J898" s="302">
        <v>0.20266425779491307</v>
      </c>
      <c r="K898" s="302">
        <v>0.15394442087652219</v>
      </c>
      <c r="L898" s="302">
        <f t="shared" si="330"/>
        <v>0.35660867867143525</v>
      </c>
      <c r="M898" s="236"/>
      <c r="N898" s="236"/>
    </row>
    <row r="899" spans="1:14" x14ac:dyDescent="0.2">
      <c r="A899" s="237" t="str">
        <f>name!E$10</f>
        <v>Sales and customer service occupations</v>
      </c>
      <c r="B899" s="302">
        <v>1.254455402905994</v>
      </c>
      <c r="C899" s="302">
        <v>0.64486957718263516</v>
      </c>
      <c r="D899" s="302">
        <f t="shared" si="328"/>
        <v>1.8993249800886292</v>
      </c>
      <c r="E899" s="303"/>
      <c r="F899" s="302">
        <v>1.5985194285193152</v>
      </c>
      <c r="G899" s="302">
        <v>0.67555219321135518</v>
      </c>
      <c r="H899" s="302">
        <f t="shared" si="329"/>
        <v>2.2740716217306702</v>
      </c>
      <c r="I899" s="303"/>
      <c r="J899" s="302">
        <v>1.6260677033488642</v>
      </c>
      <c r="K899" s="302">
        <v>0.74100524338464602</v>
      </c>
      <c r="L899" s="302">
        <f t="shared" si="330"/>
        <v>2.3670729467335101</v>
      </c>
      <c r="M899" s="236"/>
      <c r="N899" s="236"/>
    </row>
    <row r="900" spans="1:14" x14ac:dyDescent="0.2">
      <c r="A900" s="237" t="str">
        <f>name!E$11</f>
        <v>Process, plant and machine operatives</v>
      </c>
      <c r="B900" s="302">
        <v>7.0550760853813899E-2</v>
      </c>
      <c r="C900" s="302">
        <v>0.72189878673096808</v>
      </c>
      <c r="D900" s="302">
        <f t="shared" si="328"/>
        <v>0.79244954758478192</v>
      </c>
      <c r="E900" s="303"/>
      <c r="F900" s="302">
        <v>8.4535582883677643E-2</v>
      </c>
      <c r="G900" s="302">
        <v>0.6137366212099068</v>
      </c>
      <c r="H900" s="302">
        <f t="shared" si="329"/>
        <v>0.69827220409358448</v>
      </c>
      <c r="I900" s="303"/>
      <c r="J900" s="302">
        <v>9.6770644292827696E-2</v>
      </c>
      <c r="K900" s="302">
        <v>0.62308901592449117</v>
      </c>
      <c r="L900" s="302">
        <f t="shared" si="330"/>
        <v>0.71985966021731884</v>
      </c>
      <c r="M900" s="236"/>
      <c r="N900" s="236"/>
    </row>
    <row r="901" spans="1:14" x14ac:dyDescent="0.2">
      <c r="A901" s="237" t="str">
        <f>name!E$12</f>
        <v>Elementary occupations</v>
      </c>
      <c r="B901" s="302">
        <v>0.61014274944455371</v>
      </c>
      <c r="C901" s="302">
        <v>0.37563133363613077</v>
      </c>
      <c r="D901" s="302">
        <f t="shared" si="328"/>
        <v>0.98577408308068448</v>
      </c>
      <c r="E901" s="303"/>
      <c r="F901" s="302">
        <v>0.68794909340915922</v>
      </c>
      <c r="G901" s="302">
        <v>0.32531210679260075</v>
      </c>
      <c r="H901" s="302">
        <f t="shared" si="329"/>
        <v>1.01326120020176</v>
      </c>
      <c r="I901" s="303"/>
      <c r="J901" s="302">
        <v>0.59828710953683928</v>
      </c>
      <c r="K901" s="302">
        <v>0.24691585539648037</v>
      </c>
      <c r="L901" s="302">
        <f t="shared" si="330"/>
        <v>0.8452029649333197</v>
      </c>
      <c r="M901" s="236"/>
      <c r="N901" s="236"/>
    </row>
    <row r="902" spans="1:14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  <c r="N902" s="236"/>
    </row>
    <row r="903" spans="1:14" x14ac:dyDescent="0.2">
      <c r="A903" s="244" t="s">
        <v>32</v>
      </c>
      <c r="B903" s="311">
        <f>SUM(B893:B901)</f>
        <v>24.099999999471279</v>
      </c>
      <c r="C903" s="311">
        <f t="shared" ref="C903:D903" si="331">SUM(C893:C901)</f>
        <v>24.854000000382538</v>
      </c>
      <c r="D903" s="311">
        <f t="shared" si="331"/>
        <v>48.953999999853821</v>
      </c>
      <c r="E903" s="311"/>
      <c r="F903" s="311">
        <f t="shared" ref="F903:H903" si="332">SUM(F893:F901)</f>
        <v>37.083999999248171</v>
      </c>
      <c r="G903" s="311">
        <f t="shared" si="332"/>
        <v>28.593999999345542</v>
      </c>
      <c r="H903" s="311">
        <f t="shared" si="332"/>
        <v>65.677999998593705</v>
      </c>
      <c r="I903" s="311"/>
      <c r="J903" s="311">
        <f t="shared" ref="J903:L903" si="333">SUM(J893:J901)</f>
        <v>38.854000000457575</v>
      </c>
      <c r="K903" s="311">
        <f t="shared" si="333"/>
        <v>28.181999999576657</v>
      </c>
      <c r="L903" s="311">
        <f t="shared" si="333"/>
        <v>67.036000000034235</v>
      </c>
      <c r="M903" s="236"/>
      <c r="N903" s="236"/>
    </row>
    <row r="904" spans="1:14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  <c r="N904" s="236"/>
    </row>
    <row r="905" spans="1:14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56" t="s">
        <v>35</v>
      </c>
      <c r="M905" s="236"/>
      <c r="N905" s="236"/>
    </row>
    <row r="906" spans="1:14" x14ac:dyDescent="0.2">
      <c r="A906" s="242"/>
      <c r="B906" s="250"/>
      <c r="C906" s="250"/>
      <c r="D906" s="250"/>
      <c r="E906" s="250"/>
      <c r="F906" s="250"/>
      <c r="G906" s="250"/>
      <c r="H906" s="250"/>
      <c r="I906" s="250"/>
      <c r="J906" s="250"/>
      <c r="K906" s="250"/>
      <c r="L906" s="236"/>
      <c r="M906" s="236"/>
      <c r="N906" s="236"/>
    </row>
    <row r="907" spans="1:14" x14ac:dyDescent="0.2">
      <c r="A907" s="241" t="str">
        <f>name!A56</f>
        <v>Architectural and related</v>
      </c>
      <c r="B907" s="372">
        <f>B$6</f>
        <v>2015</v>
      </c>
      <c r="C907" s="372"/>
      <c r="D907" s="372"/>
      <c r="E907" s="253"/>
      <c r="F907" s="372">
        <f>F$6</f>
        <v>2020</v>
      </c>
      <c r="G907" s="372"/>
      <c r="H907" s="372"/>
      <c r="I907" s="253"/>
      <c r="J907" s="372">
        <f>J$6</f>
        <v>2035</v>
      </c>
      <c r="K907" s="372"/>
      <c r="L907" s="372"/>
      <c r="M907" s="236"/>
      <c r="N907" s="236"/>
    </row>
    <row r="908" spans="1:14" x14ac:dyDescent="0.2">
      <c r="A908" s="254"/>
      <c r="B908" s="255" t="s">
        <v>352</v>
      </c>
      <c r="C908" s="255" t="s">
        <v>353</v>
      </c>
      <c r="D908" s="255" t="s">
        <v>32</v>
      </c>
      <c r="E908" s="255"/>
      <c r="F908" s="255" t="s">
        <v>352</v>
      </c>
      <c r="G908" s="255" t="s">
        <v>353</v>
      </c>
      <c r="H908" s="255" t="s">
        <v>32</v>
      </c>
      <c r="I908" s="255"/>
      <c r="J908" s="255" t="s">
        <v>352</v>
      </c>
      <c r="K908" s="255" t="s">
        <v>353</v>
      </c>
      <c r="L908" s="255" t="s">
        <v>32</v>
      </c>
      <c r="M908" s="236"/>
      <c r="N908" s="236"/>
    </row>
    <row r="909" spans="1:14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  <c r="N909" s="236"/>
    </row>
    <row r="910" spans="1:14" x14ac:dyDescent="0.2">
      <c r="A910" s="237" t="str">
        <f>name!E$4</f>
        <v>Managers, directors and senior officials</v>
      </c>
      <c r="B910" s="302">
        <v>0.95130887080361659</v>
      </c>
      <c r="C910" s="302">
        <v>4.3947421290311217</v>
      </c>
      <c r="D910" s="302">
        <f>SUM(B910:C910)</f>
        <v>5.3460509998347385</v>
      </c>
      <c r="E910" s="303"/>
      <c r="F910" s="302">
        <v>1.4883248345503581</v>
      </c>
      <c r="G910" s="302">
        <v>5.4723917679143526</v>
      </c>
      <c r="H910" s="302">
        <f>SUM(F910:G910)</f>
        <v>6.9607166024647107</v>
      </c>
      <c r="I910" s="303"/>
      <c r="J910" s="302">
        <v>1.7813427124685643</v>
      </c>
      <c r="K910" s="302">
        <v>5.4460072508122117</v>
      </c>
      <c r="L910" s="302">
        <f>SUM(J910:K910)</f>
        <v>7.2273499632807763</v>
      </c>
      <c r="M910" s="236"/>
      <c r="N910" s="236"/>
    </row>
    <row r="911" spans="1:14" x14ac:dyDescent="0.2">
      <c r="A911" s="237" t="str">
        <f>name!E$5</f>
        <v>Professional occupations</v>
      </c>
      <c r="B911" s="302">
        <v>2.6163063828706417</v>
      </c>
      <c r="C911" s="302">
        <v>11.36056493151882</v>
      </c>
      <c r="D911" s="302">
        <f t="shared" ref="D911:D918" si="334">SUM(B911:C911)</f>
        <v>13.976871314389461</v>
      </c>
      <c r="E911" s="303"/>
      <c r="F911" s="302">
        <v>4.5499151539133198</v>
      </c>
      <c r="G911" s="302">
        <v>15.293456986804875</v>
      </c>
      <c r="H911" s="302">
        <f t="shared" ref="H911:H918" si="335">SUM(F911:G911)</f>
        <v>19.843372140718195</v>
      </c>
      <c r="I911" s="303"/>
      <c r="J911" s="302">
        <v>6.1318872770483104</v>
      </c>
      <c r="K911" s="302">
        <v>16.530701937470358</v>
      </c>
      <c r="L911" s="302">
        <f t="shared" ref="L911:L918" si="336">SUM(J911:K911)</f>
        <v>22.662589214518668</v>
      </c>
      <c r="M911" s="236"/>
      <c r="N911" s="236"/>
    </row>
    <row r="912" spans="1:14" x14ac:dyDescent="0.2">
      <c r="A912" s="237" t="str">
        <f>name!E$6</f>
        <v>Associate professional occupations</v>
      </c>
      <c r="B912" s="302">
        <v>1.529062775169457</v>
      </c>
      <c r="C912" s="302">
        <v>4.5877093863728389</v>
      </c>
      <c r="D912" s="302">
        <f t="shared" si="334"/>
        <v>6.1167721615422961</v>
      </c>
      <c r="E912" s="303"/>
      <c r="F912" s="302">
        <v>2.2010101364109476</v>
      </c>
      <c r="G912" s="302">
        <v>5.8954282657880208</v>
      </c>
      <c r="H912" s="302">
        <f t="shared" si="335"/>
        <v>8.0964384021989684</v>
      </c>
      <c r="I912" s="303"/>
      <c r="J912" s="302">
        <v>2.5775470295861096</v>
      </c>
      <c r="K912" s="302">
        <v>5.2376667089445714</v>
      </c>
      <c r="L912" s="302">
        <f t="shared" si="336"/>
        <v>7.815213738530681</v>
      </c>
      <c r="M912" s="236"/>
      <c r="N912" s="236"/>
    </row>
    <row r="913" spans="1:14" x14ac:dyDescent="0.2">
      <c r="A913" s="237" t="str">
        <f>name!E$7</f>
        <v>Administrative and secretarial occupations</v>
      </c>
      <c r="B913" s="302">
        <v>4.1287281709437069</v>
      </c>
      <c r="C913" s="302">
        <v>0.79021109366255471</v>
      </c>
      <c r="D913" s="302">
        <f t="shared" si="334"/>
        <v>4.9189392646062613</v>
      </c>
      <c r="E913" s="303"/>
      <c r="F913" s="302">
        <v>4.3317070293689408</v>
      </c>
      <c r="G913" s="302">
        <v>0.9120368565470377</v>
      </c>
      <c r="H913" s="302">
        <f t="shared" si="335"/>
        <v>5.2437438859159782</v>
      </c>
      <c r="I913" s="303"/>
      <c r="J913" s="302">
        <v>3.3365205068161341</v>
      </c>
      <c r="K913" s="302">
        <v>0.62359035052070733</v>
      </c>
      <c r="L913" s="302">
        <f t="shared" si="336"/>
        <v>3.9601108573368413</v>
      </c>
      <c r="M913" s="236"/>
      <c r="N913" s="236"/>
    </row>
    <row r="914" spans="1:14" x14ac:dyDescent="0.2">
      <c r="A914" s="237" t="str">
        <f>name!E$8</f>
        <v>Skilled trades occupations</v>
      </c>
      <c r="B914" s="302">
        <v>9.0776721115130785E-2</v>
      </c>
      <c r="C914" s="302">
        <v>1.4699221166827734</v>
      </c>
      <c r="D914" s="302">
        <f t="shared" si="334"/>
        <v>1.5606988377979041</v>
      </c>
      <c r="E914" s="303"/>
      <c r="F914" s="302">
        <v>0.13214523841521156</v>
      </c>
      <c r="G914" s="302">
        <v>1.2318448730377305</v>
      </c>
      <c r="H914" s="302">
        <f t="shared" si="335"/>
        <v>1.363990111452942</v>
      </c>
      <c r="I914" s="303"/>
      <c r="J914" s="302">
        <v>0.24974722676621924</v>
      </c>
      <c r="K914" s="302">
        <v>0.99083349962266576</v>
      </c>
      <c r="L914" s="302">
        <f t="shared" si="336"/>
        <v>1.2405807263888851</v>
      </c>
      <c r="M914" s="236"/>
      <c r="N914" s="236"/>
    </row>
    <row r="915" spans="1:14" x14ac:dyDescent="0.2">
      <c r="A915" s="237" t="str">
        <f>name!E$9</f>
        <v>Caring, leisure and other service occupations</v>
      </c>
      <c r="B915" s="302">
        <v>5.6096763886010113E-2</v>
      </c>
      <c r="C915" s="302">
        <v>0.11979790953561831</v>
      </c>
      <c r="D915" s="302">
        <f t="shared" si="334"/>
        <v>0.17589467342162843</v>
      </c>
      <c r="E915" s="303"/>
      <c r="F915" s="302">
        <v>6.7498990844948051E-2</v>
      </c>
      <c r="G915" s="302">
        <v>0.12427873169654166</v>
      </c>
      <c r="H915" s="302">
        <f t="shared" si="335"/>
        <v>0.19177772254148973</v>
      </c>
      <c r="I915" s="303"/>
      <c r="J915" s="302">
        <v>8.2852763497535675E-2</v>
      </c>
      <c r="K915" s="302">
        <v>0.18253022094541949</v>
      </c>
      <c r="L915" s="302">
        <f t="shared" si="336"/>
        <v>0.26538298444295516</v>
      </c>
      <c r="M915" s="236"/>
      <c r="N915" s="236"/>
    </row>
    <row r="916" spans="1:14" x14ac:dyDescent="0.2">
      <c r="A916" s="237" t="str">
        <f>name!E$10</f>
        <v>Sales and customer service occupations</v>
      </c>
      <c r="B916" s="302">
        <v>0.53747470161804101</v>
      </c>
      <c r="C916" s="302">
        <v>0.53498440184663243</v>
      </c>
      <c r="D916" s="302">
        <f t="shared" si="334"/>
        <v>1.0724591034646735</v>
      </c>
      <c r="E916" s="303"/>
      <c r="F916" s="302">
        <v>0.58836503994625056</v>
      </c>
      <c r="G916" s="302">
        <v>0.50810197625076325</v>
      </c>
      <c r="H916" s="302">
        <f t="shared" si="335"/>
        <v>1.0964670161970138</v>
      </c>
      <c r="I916" s="303"/>
      <c r="J916" s="302">
        <v>0.60768547013888408</v>
      </c>
      <c r="K916" s="302">
        <v>0.5453752481529115</v>
      </c>
      <c r="L916" s="302">
        <f t="shared" si="336"/>
        <v>1.1530607182917956</v>
      </c>
      <c r="M916" s="236"/>
      <c r="N916" s="236"/>
    </row>
    <row r="917" spans="1:14" x14ac:dyDescent="0.2">
      <c r="A917" s="237" t="str">
        <f>name!E$11</f>
        <v>Process, plant and machine operatives</v>
      </c>
      <c r="B917" s="302">
        <v>2.7120215605431978E-2</v>
      </c>
      <c r="C917" s="302">
        <v>0.63503773927472118</v>
      </c>
      <c r="D917" s="302">
        <f t="shared" si="334"/>
        <v>0.66215795488015317</v>
      </c>
      <c r="E917" s="303"/>
      <c r="F917" s="302">
        <v>2.6552247273278339E-2</v>
      </c>
      <c r="G917" s="302">
        <v>0.54642503681917254</v>
      </c>
      <c r="H917" s="302">
        <f t="shared" si="335"/>
        <v>0.57297728409245086</v>
      </c>
      <c r="I917" s="303"/>
      <c r="J917" s="302">
        <v>2.8943773879845335E-2</v>
      </c>
      <c r="K917" s="302">
        <v>0.54783442678534044</v>
      </c>
      <c r="L917" s="302">
        <f t="shared" si="336"/>
        <v>0.57677820066518581</v>
      </c>
      <c r="M917" s="236"/>
      <c r="N917" s="236"/>
    </row>
    <row r="918" spans="1:14" x14ac:dyDescent="0.2">
      <c r="A918" s="237" t="str">
        <f>name!E$12</f>
        <v>Elementary occupations</v>
      </c>
      <c r="B918" s="302">
        <v>0.25012539773782899</v>
      </c>
      <c r="C918" s="302">
        <v>0.31303029249815539</v>
      </c>
      <c r="D918" s="302">
        <f t="shared" si="334"/>
        <v>0.56315569023598444</v>
      </c>
      <c r="E918" s="303"/>
      <c r="F918" s="302">
        <v>0.23648132894368348</v>
      </c>
      <c r="G918" s="302">
        <v>0.27603550442717573</v>
      </c>
      <c r="H918" s="302">
        <f t="shared" si="335"/>
        <v>0.51251683337085918</v>
      </c>
      <c r="I918" s="303"/>
      <c r="J918" s="302">
        <v>0.24347323999219597</v>
      </c>
      <c r="K918" s="302">
        <v>0.21246035629302065</v>
      </c>
      <c r="L918" s="302">
        <f t="shared" si="336"/>
        <v>0.45593359628521662</v>
      </c>
      <c r="M918" s="236"/>
      <c r="N918" s="236"/>
    </row>
    <row r="919" spans="1:14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  <c r="N919" s="236"/>
    </row>
    <row r="920" spans="1:14" x14ac:dyDescent="0.2">
      <c r="A920" s="244" t="s">
        <v>32</v>
      </c>
      <c r="B920" s="311">
        <f>SUM(B910:B918)</f>
        <v>10.186999999749865</v>
      </c>
      <c r="C920" s="311">
        <f t="shared" ref="C920:D920" si="337">SUM(C910:C918)</f>
        <v>24.206000000423238</v>
      </c>
      <c r="D920" s="311">
        <f t="shared" si="337"/>
        <v>34.393000000173103</v>
      </c>
      <c r="E920" s="311"/>
      <c r="F920" s="311">
        <f t="shared" ref="F920:H920" si="338">SUM(F910:F918)</f>
        <v>13.62199999966694</v>
      </c>
      <c r="G920" s="311">
        <f t="shared" si="338"/>
        <v>30.259999999285668</v>
      </c>
      <c r="H920" s="311">
        <f t="shared" si="338"/>
        <v>43.881999998952601</v>
      </c>
      <c r="I920" s="311"/>
      <c r="J920" s="311">
        <f t="shared" ref="J920:L920" si="339">SUM(J910:J918)</f>
        <v>15.040000000193801</v>
      </c>
      <c r="K920" s="311">
        <f t="shared" si="339"/>
        <v>30.31699999954721</v>
      </c>
      <c r="L920" s="311">
        <f t="shared" si="339"/>
        <v>45.356999999741014</v>
      </c>
      <c r="M920" s="236"/>
      <c r="N920" s="236"/>
    </row>
    <row r="921" spans="1:14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  <c r="N921" s="236"/>
    </row>
    <row r="922" spans="1:14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56" t="s">
        <v>35</v>
      </c>
      <c r="M922" s="236"/>
      <c r="N922" s="236"/>
    </row>
    <row r="923" spans="1:14" x14ac:dyDescent="0.2">
      <c r="A923" s="242"/>
      <c r="B923" s="250"/>
      <c r="C923" s="250"/>
      <c r="D923" s="250"/>
      <c r="E923" s="250"/>
      <c r="F923" s="250"/>
      <c r="G923" s="250"/>
      <c r="H923" s="250"/>
      <c r="I923" s="250"/>
      <c r="J923" s="250"/>
      <c r="K923" s="250"/>
      <c r="L923" s="236"/>
      <c r="M923" s="236"/>
      <c r="N923" s="236"/>
    </row>
    <row r="924" spans="1:14" x14ac:dyDescent="0.2">
      <c r="A924" s="241" t="str">
        <f>name!A57</f>
        <v>Scientific research and development</v>
      </c>
      <c r="B924" s="372">
        <f>B$6</f>
        <v>2015</v>
      </c>
      <c r="C924" s="372"/>
      <c r="D924" s="372"/>
      <c r="E924" s="253"/>
      <c r="F924" s="372">
        <f>F$6</f>
        <v>2020</v>
      </c>
      <c r="G924" s="372"/>
      <c r="H924" s="372"/>
      <c r="I924" s="253"/>
      <c r="J924" s="372">
        <f>J$6</f>
        <v>2035</v>
      </c>
      <c r="K924" s="372"/>
      <c r="L924" s="372"/>
      <c r="M924" s="236"/>
      <c r="N924" s="236"/>
    </row>
    <row r="925" spans="1:14" x14ac:dyDescent="0.2">
      <c r="A925" s="254"/>
      <c r="B925" s="255" t="s">
        <v>352</v>
      </c>
      <c r="C925" s="255" t="s">
        <v>353</v>
      </c>
      <c r="D925" s="255" t="s">
        <v>32</v>
      </c>
      <c r="E925" s="255"/>
      <c r="F925" s="255" t="s">
        <v>352</v>
      </c>
      <c r="G925" s="255" t="s">
        <v>353</v>
      </c>
      <c r="H925" s="255" t="s">
        <v>32</v>
      </c>
      <c r="I925" s="255"/>
      <c r="J925" s="255" t="s">
        <v>352</v>
      </c>
      <c r="K925" s="255" t="s">
        <v>353</v>
      </c>
      <c r="L925" s="255" t="s">
        <v>32</v>
      </c>
      <c r="M925" s="236"/>
      <c r="N925" s="236"/>
    </row>
    <row r="926" spans="1:14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  <c r="N926" s="236"/>
    </row>
    <row r="927" spans="1:14" x14ac:dyDescent="0.2">
      <c r="A927" s="237" t="str">
        <f>name!E$4</f>
        <v>Managers, directors and senior officials</v>
      </c>
      <c r="B927" s="302">
        <v>8.1878236725140469E-2</v>
      </c>
      <c r="C927" s="302">
        <v>0.62947016957661039</v>
      </c>
      <c r="D927" s="302">
        <f>SUM(B927:C927)</f>
        <v>0.71134840630175089</v>
      </c>
      <c r="E927" s="303"/>
      <c r="F927" s="302">
        <v>0.27336677632458678</v>
      </c>
      <c r="G927" s="302">
        <v>0.77451710388594086</v>
      </c>
      <c r="H927" s="302">
        <f>SUM(F927:G927)</f>
        <v>1.0478838802105277</v>
      </c>
      <c r="I927" s="303"/>
      <c r="J927" s="302">
        <v>0.29892180069498597</v>
      </c>
      <c r="K927" s="302">
        <v>0.9632405067452966</v>
      </c>
      <c r="L927" s="302">
        <f>SUM(J927:K927)</f>
        <v>1.2621623074402826</v>
      </c>
      <c r="M927" s="236"/>
      <c r="N927" s="236"/>
    </row>
    <row r="928" spans="1:14" x14ac:dyDescent="0.2">
      <c r="A928" s="237" t="str">
        <f>name!E$5</f>
        <v>Professional occupations</v>
      </c>
      <c r="B928" s="302">
        <v>0.37304414077999543</v>
      </c>
      <c r="C928" s="302">
        <v>2.6302632136427588</v>
      </c>
      <c r="D928" s="302">
        <f t="shared" ref="D928:D935" si="340">SUM(B928:C928)</f>
        <v>3.0033073544227542</v>
      </c>
      <c r="E928" s="303"/>
      <c r="F928" s="302">
        <v>1.1275525845844681</v>
      </c>
      <c r="G928" s="302">
        <v>3.4109960522546734</v>
      </c>
      <c r="H928" s="302">
        <f t="shared" ref="H928:H935" si="341">SUM(F928:G928)</f>
        <v>4.5385486368391419</v>
      </c>
      <c r="I928" s="303"/>
      <c r="J928" s="302">
        <v>1.5273171479950665</v>
      </c>
      <c r="K928" s="302">
        <v>4.0453554053429057</v>
      </c>
      <c r="L928" s="302">
        <f t="shared" ref="L928:L935" si="342">SUM(J928:K928)</f>
        <v>5.5726725533379717</v>
      </c>
      <c r="M928" s="236"/>
      <c r="N928" s="236"/>
    </row>
    <row r="929" spans="1:14" x14ac:dyDescent="0.2">
      <c r="A929" s="237" t="str">
        <f>name!E$6</f>
        <v>Associate professional occupations</v>
      </c>
      <c r="B929" s="302">
        <v>0.11786108146615706</v>
      </c>
      <c r="C929" s="302">
        <v>0.57401967766691675</v>
      </c>
      <c r="D929" s="302">
        <f t="shared" si="340"/>
        <v>0.69188075913307379</v>
      </c>
      <c r="E929" s="303"/>
      <c r="F929" s="302">
        <v>0.34727341059246464</v>
      </c>
      <c r="G929" s="302">
        <v>0.77947939369804475</v>
      </c>
      <c r="H929" s="302">
        <f t="shared" si="341"/>
        <v>1.1267528042905095</v>
      </c>
      <c r="I929" s="303"/>
      <c r="J929" s="302">
        <v>0.4363233180212272</v>
      </c>
      <c r="K929" s="302">
        <v>0.79504665161533261</v>
      </c>
      <c r="L929" s="302">
        <f t="shared" si="342"/>
        <v>1.2313699696365599</v>
      </c>
      <c r="M929" s="236"/>
      <c r="N929" s="236"/>
    </row>
    <row r="930" spans="1:14" x14ac:dyDescent="0.2">
      <c r="A930" s="237" t="str">
        <f>name!E$7</f>
        <v>Administrative and secretarial occupations</v>
      </c>
      <c r="B930" s="302">
        <v>0.18476960525002703</v>
      </c>
      <c r="C930" s="302">
        <v>8.2670540095405323E-2</v>
      </c>
      <c r="D930" s="302">
        <f t="shared" si="340"/>
        <v>0.26744014534543237</v>
      </c>
      <c r="E930" s="303"/>
      <c r="F930" s="302">
        <v>0.53260908306878629</v>
      </c>
      <c r="G930" s="302">
        <v>9.5983955622031561E-2</v>
      </c>
      <c r="H930" s="302">
        <f t="shared" si="341"/>
        <v>0.62859303869081784</v>
      </c>
      <c r="I930" s="303"/>
      <c r="J930" s="302">
        <v>0.49287162435582205</v>
      </c>
      <c r="K930" s="302">
        <v>9.5087719568901261E-2</v>
      </c>
      <c r="L930" s="302">
        <f t="shared" si="342"/>
        <v>0.58795934392472327</v>
      </c>
      <c r="M930" s="236"/>
      <c r="N930" s="236"/>
    </row>
    <row r="931" spans="1:14" x14ac:dyDescent="0.2">
      <c r="A931" s="237" t="str">
        <f>name!E$8</f>
        <v>Skilled trades occupations</v>
      </c>
      <c r="B931" s="302">
        <v>2.4316774559831812E-2</v>
      </c>
      <c r="C931" s="302">
        <v>0.29801278783872992</v>
      </c>
      <c r="D931" s="302">
        <f t="shared" si="340"/>
        <v>0.32232956239856175</v>
      </c>
      <c r="E931" s="303"/>
      <c r="F931" s="302">
        <v>6.5958950113551643E-2</v>
      </c>
      <c r="G931" s="302">
        <v>0.26475481593088129</v>
      </c>
      <c r="H931" s="302">
        <f t="shared" si="341"/>
        <v>0.33071376604443292</v>
      </c>
      <c r="I931" s="303"/>
      <c r="J931" s="302">
        <v>0.11538716761177162</v>
      </c>
      <c r="K931" s="302">
        <v>0.28471499536392114</v>
      </c>
      <c r="L931" s="302">
        <f t="shared" si="342"/>
        <v>0.40010216297569279</v>
      </c>
      <c r="M931" s="236"/>
      <c r="N931" s="236"/>
    </row>
    <row r="932" spans="1:14" x14ac:dyDescent="0.2">
      <c r="A932" s="237" t="str">
        <f>name!E$9</f>
        <v>Caring, leisure and other service occupations</v>
      </c>
      <c r="B932" s="302">
        <v>9.4867155116310706E-2</v>
      </c>
      <c r="C932" s="302">
        <v>7.1017166579705401E-2</v>
      </c>
      <c r="D932" s="302">
        <f t="shared" si="340"/>
        <v>0.16588432169601611</v>
      </c>
      <c r="E932" s="303"/>
      <c r="F932" s="302">
        <v>0.25102412258407625</v>
      </c>
      <c r="G932" s="302">
        <v>9.0872565098255628E-2</v>
      </c>
      <c r="H932" s="302">
        <f t="shared" si="341"/>
        <v>0.34189668768233189</v>
      </c>
      <c r="I932" s="303"/>
      <c r="J932" s="302">
        <v>0.4819516098520677</v>
      </c>
      <c r="K932" s="302">
        <v>0.12344930633670403</v>
      </c>
      <c r="L932" s="302">
        <f t="shared" si="342"/>
        <v>0.60540091618877168</v>
      </c>
      <c r="M932" s="236"/>
      <c r="N932" s="236"/>
    </row>
    <row r="933" spans="1:14" x14ac:dyDescent="0.2">
      <c r="A933" s="237" t="str">
        <f>name!E$10</f>
        <v>Sales and customer service occupations</v>
      </c>
      <c r="B933" s="302">
        <v>4.3188614786923887E-2</v>
      </c>
      <c r="C933" s="302">
        <v>0.10629440810015901</v>
      </c>
      <c r="D933" s="302">
        <f t="shared" si="340"/>
        <v>0.1494830228870829</v>
      </c>
      <c r="E933" s="303"/>
      <c r="F933" s="302">
        <v>0.11032723727467127</v>
      </c>
      <c r="G933" s="302">
        <v>0.11002799164642844</v>
      </c>
      <c r="H933" s="302">
        <f t="shared" si="341"/>
        <v>0.22035522892109971</v>
      </c>
      <c r="I933" s="303"/>
      <c r="J933" s="302">
        <v>0.15144515300614514</v>
      </c>
      <c r="K933" s="302">
        <v>0.13097491262053326</v>
      </c>
      <c r="L933" s="302">
        <f t="shared" si="342"/>
        <v>0.28242006562667843</v>
      </c>
      <c r="M933" s="236"/>
      <c r="N933" s="236"/>
    </row>
    <row r="934" spans="1:14" x14ac:dyDescent="0.2">
      <c r="A934" s="237" t="str">
        <f>name!E$11</f>
        <v>Process, plant and machine operatives</v>
      </c>
      <c r="B934" s="302">
        <v>6.3985106701738483E-3</v>
      </c>
      <c r="C934" s="302">
        <v>0.13228988091259253</v>
      </c>
      <c r="D934" s="302">
        <f t="shared" si="340"/>
        <v>0.13868839158276638</v>
      </c>
      <c r="E934" s="303"/>
      <c r="F934" s="302">
        <v>1.7878736015633993E-2</v>
      </c>
      <c r="G934" s="302">
        <v>0.13933143226484948</v>
      </c>
      <c r="H934" s="302">
        <f t="shared" si="341"/>
        <v>0.15721016828048348</v>
      </c>
      <c r="I934" s="303"/>
      <c r="J934" s="302">
        <v>2.0360707763720533E-2</v>
      </c>
      <c r="K934" s="302">
        <v>0.17184554425780421</v>
      </c>
      <c r="L934" s="302">
        <f t="shared" si="342"/>
        <v>0.19220625202152475</v>
      </c>
      <c r="M934" s="236"/>
      <c r="N934" s="236"/>
    </row>
    <row r="935" spans="1:14" x14ac:dyDescent="0.2">
      <c r="A935" s="237" t="str">
        <f>name!E$12</f>
        <v>Elementary occupations</v>
      </c>
      <c r="B935" s="302">
        <v>0.11167588062014507</v>
      </c>
      <c r="C935" s="302">
        <v>7.4962155715906961E-2</v>
      </c>
      <c r="D935" s="302">
        <f t="shared" si="340"/>
        <v>0.18663803633605203</v>
      </c>
      <c r="E935" s="303"/>
      <c r="F935" s="302">
        <v>0.20500909935257985</v>
      </c>
      <c r="G935" s="302">
        <v>6.6036689506892676E-2</v>
      </c>
      <c r="H935" s="302">
        <f t="shared" si="341"/>
        <v>0.2710457888594725</v>
      </c>
      <c r="I935" s="303"/>
      <c r="J935" s="302">
        <v>0.25842147075442212</v>
      </c>
      <c r="K935" s="302">
        <v>6.7284958090785468E-2</v>
      </c>
      <c r="L935" s="302">
        <f t="shared" si="342"/>
        <v>0.32570642884520762</v>
      </c>
      <c r="M935" s="236"/>
      <c r="N935" s="236"/>
    </row>
    <row r="936" spans="1:14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  <c r="N936" s="236"/>
    </row>
    <row r="937" spans="1:14" x14ac:dyDescent="0.2">
      <c r="A937" s="244" t="s">
        <v>32</v>
      </c>
      <c r="B937" s="311">
        <f>SUM(B927:B935)</f>
        <v>1.0379999999747054</v>
      </c>
      <c r="C937" s="311">
        <f t="shared" ref="C937:D937" si="343">SUM(C927:C935)</f>
        <v>4.5990000001287852</v>
      </c>
      <c r="D937" s="311">
        <f t="shared" si="343"/>
        <v>5.6370000001034892</v>
      </c>
      <c r="E937" s="311"/>
      <c r="F937" s="311">
        <f t="shared" ref="F937:H937" si="344">SUM(F927:F935)</f>
        <v>2.9309999999108189</v>
      </c>
      <c r="G937" s="311">
        <f t="shared" si="344"/>
        <v>5.7319999999079982</v>
      </c>
      <c r="H937" s="311">
        <f t="shared" si="344"/>
        <v>8.662999999818819</v>
      </c>
      <c r="I937" s="311"/>
      <c r="J937" s="311">
        <f t="shared" ref="J937:L937" si="345">SUM(J927:J935)</f>
        <v>3.7830000000552291</v>
      </c>
      <c r="K937" s="311">
        <f t="shared" si="345"/>
        <v>6.6769999999421836</v>
      </c>
      <c r="L937" s="311">
        <f t="shared" si="345"/>
        <v>10.459999999997414</v>
      </c>
      <c r="M937" s="236"/>
      <c r="N937" s="236"/>
    </row>
    <row r="938" spans="1:14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  <c r="N938" s="236"/>
    </row>
    <row r="939" spans="1:14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56" t="s">
        <v>35</v>
      </c>
      <c r="M939" s="236"/>
      <c r="N939" s="236"/>
    </row>
    <row r="940" spans="1:14" x14ac:dyDescent="0.2">
      <c r="A940" s="242"/>
      <c r="B940" s="250"/>
      <c r="C940" s="250"/>
      <c r="D940" s="250"/>
      <c r="E940" s="250"/>
      <c r="F940" s="250"/>
      <c r="G940" s="250"/>
      <c r="H940" s="250"/>
      <c r="I940" s="250"/>
      <c r="J940" s="250"/>
      <c r="K940" s="250"/>
      <c r="L940" s="236"/>
      <c r="M940" s="236"/>
      <c r="N940" s="236"/>
    </row>
    <row r="941" spans="1:14" x14ac:dyDescent="0.2">
      <c r="A941" s="241" t="str">
        <f>name!A58</f>
        <v>Advertising, etc</v>
      </c>
      <c r="B941" s="372">
        <f>B$6</f>
        <v>2015</v>
      </c>
      <c r="C941" s="372"/>
      <c r="D941" s="372"/>
      <c r="E941" s="253"/>
      <c r="F941" s="372">
        <f>F$6</f>
        <v>2020</v>
      </c>
      <c r="G941" s="372"/>
      <c r="H941" s="372"/>
      <c r="I941" s="253"/>
      <c r="J941" s="372">
        <f>J$6</f>
        <v>2035</v>
      </c>
      <c r="K941" s="372"/>
      <c r="L941" s="372"/>
      <c r="M941" s="236"/>
      <c r="N941" s="236"/>
    </row>
    <row r="942" spans="1:14" x14ac:dyDescent="0.2">
      <c r="A942" s="254"/>
      <c r="B942" s="255" t="s">
        <v>352</v>
      </c>
      <c r="C942" s="255" t="s">
        <v>353</v>
      </c>
      <c r="D942" s="255" t="s">
        <v>32</v>
      </c>
      <c r="E942" s="255"/>
      <c r="F942" s="255" t="s">
        <v>352</v>
      </c>
      <c r="G942" s="255" t="s">
        <v>353</v>
      </c>
      <c r="H942" s="255" t="s">
        <v>32</v>
      </c>
      <c r="I942" s="255"/>
      <c r="J942" s="255" t="s">
        <v>352</v>
      </c>
      <c r="K942" s="255" t="s">
        <v>353</v>
      </c>
      <c r="L942" s="255" t="s">
        <v>32</v>
      </c>
      <c r="M942" s="236"/>
      <c r="N942" s="236"/>
    </row>
    <row r="943" spans="1:14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  <c r="N943" s="236"/>
    </row>
    <row r="944" spans="1:14" x14ac:dyDescent="0.2">
      <c r="A944" s="237" t="str">
        <f>name!E$4</f>
        <v>Managers, directors and senior officials</v>
      </c>
      <c r="B944" s="302">
        <v>0.3483698877917451</v>
      </c>
      <c r="C944" s="302">
        <v>0.61822521416289755</v>
      </c>
      <c r="D944" s="302">
        <f>SUM(B944:C944)</f>
        <v>0.9665951019546426</v>
      </c>
      <c r="E944" s="303"/>
      <c r="F944" s="302">
        <v>0.39255886598306383</v>
      </c>
      <c r="G944" s="302">
        <v>0.29800247233892385</v>
      </c>
      <c r="H944" s="302">
        <f>SUM(F944:G944)</f>
        <v>0.69056133832198774</v>
      </c>
      <c r="I944" s="303"/>
      <c r="J944" s="302">
        <v>0.49898466998276242</v>
      </c>
      <c r="K944" s="302">
        <v>0.3774090809142141</v>
      </c>
      <c r="L944" s="302">
        <f>SUM(J944:K944)</f>
        <v>0.87639375089697658</v>
      </c>
      <c r="M944" s="236"/>
      <c r="N944" s="236"/>
    </row>
    <row r="945" spans="1:14" x14ac:dyDescent="0.2">
      <c r="A945" s="237" t="str">
        <f>name!E$5</f>
        <v>Professional occupations</v>
      </c>
      <c r="B945" s="302">
        <v>0.86641856274592433</v>
      </c>
      <c r="C945" s="302">
        <v>1.6772963880391429</v>
      </c>
      <c r="D945" s="302">
        <f t="shared" ref="D945:D952" si="346">SUM(B945:C945)</f>
        <v>2.5437149507850672</v>
      </c>
      <c r="E945" s="303"/>
      <c r="F945" s="302">
        <v>0.94310275900856932</v>
      </c>
      <c r="G945" s="302">
        <v>0.80921144227107333</v>
      </c>
      <c r="H945" s="302">
        <f t="shared" ref="H945:H952" si="347">SUM(F945:G945)</f>
        <v>1.7523142012796427</v>
      </c>
      <c r="I945" s="303"/>
      <c r="J945" s="302">
        <v>1.3485839103536539</v>
      </c>
      <c r="K945" s="302">
        <v>0.961461051543123</v>
      </c>
      <c r="L945" s="302">
        <f t="shared" ref="L945:L952" si="348">SUM(J945:K945)</f>
        <v>2.3100449618967769</v>
      </c>
      <c r="M945" s="236"/>
      <c r="N945" s="236"/>
    </row>
    <row r="946" spans="1:14" x14ac:dyDescent="0.2">
      <c r="A946" s="237" t="str">
        <f>name!E$6</f>
        <v>Associate professional occupations</v>
      </c>
      <c r="B946" s="302">
        <v>0.5264229596548089</v>
      </c>
      <c r="C946" s="302">
        <v>0.63615783543787419</v>
      </c>
      <c r="D946" s="302">
        <f t="shared" si="346"/>
        <v>1.162580795092683</v>
      </c>
      <c r="E946" s="303"/>
      <c r="F946" s="302">
        <v>0.49045451249802813</v>
      </c>
      <c r="G946" s="302">
        <v>0.30652655859787648</v>
      </c>
      <c r="H946" s="302">
        <f t="shared" si="347"/>
        <v>0.79698107109590466</v>
      </c>
      <c r="I946" s="303"/>
      <c r="J946" s="302">
        <v>0.66205676795622348</v>
      </c>
      <c r="K946" s="302">
        <v>0.32315956563941639</v>
      </c>
      <c r="L946" s="302">
        <f t="shared" si="348"/>
        <v>0.98521633359563987</v>
      </c>
      <c r="M946" s="236"/>
      <c r="N946" s="236"/>
    </row>
    <row r="947" spans="1:14" x14ac:dyDescent="0.2">
      <c r="A947" s="237" t="str">
        <f>name!E$7</f>
        <v>Administrative and secretarial occupations</v>
      </c>
      <c r="B947" s="302">
        <v>1.3418466255362071</v>
      </c>
      <c r="C947" s="302">
        <v>0.11163652279428067</v>
      </c>
      <c r="D947" s="302">
        <f t="shared" si="346"/>
        <v>1.4534831483304878</v>
      </c>
      <c r="E947" s="303"/>
      <c r="F947" s="302">
        <v>1.0716269392526647</v>
      </c>
      <c r="G947" s="302">
        <v>4.7330851151233533E-2</v>
      </c>
      <c r="H947" s="302">
        <f t="shared" si="347"/>
        <v>1.1189577904038983</v>
      </c>
      <c r="I947" s="303"/>
      <c r="J947" s="302">
        <v>1.0025376999473574</v>
      </c>
      <c r="K947" s="302">
        <v>4.1454826893935905E-2</v>
      </c>
      <c r="L947" s="302">
        <f t="shared" si="348"/>
        <v>1.0439925268412933</v>
      </c>
      <c r="M947" s="236"/>
      <c r="N947" s="236"/>
    </row>
    <row r="948" spans="1:14" x14ac:dyDescent="0.2">
      <c r="A948" s="237" t="str">
        <f>name!E$8</f>
        <v>Skilled trades occupations</v>
      </c>
      <c r="B948" s="302">
        <v>4.4357607635434004E-2</v>
      </c>
      <c r="C948" s="302">
        <v>0.20129539661101026</v>
      </c>
      <c r="D948" s="302">
        <f t="shared" si="346"/>
        <v>0.24565300424644426</v>
      </c>
      <c r="E948" s="303"/>
      <c r="F948" s="302">
        <v>4.3817839769644248E-2</v>
      </c>
      <c r="G948" s="302">
        <v>6.4744517691289749E-2</v>
      </c>
      <c r="H948" s="302">
        <f t="shared" si="347"/>
        <v>0.108562357460934</v>
      </c>
      <c r="I948" s="303"/>
      <c r="J948" s="302">
        <v>8.4495627457618641E-2</v>
      </c>
      <c r="K948" s="302">
        <v>6.9282911689209567E-2</v>
      </c>
      <c r="L948" s="302">
        <f t="shared" si="348"/>
        <v>0.15377853914682821</v>
      </c>
      <c r="M948" s="236"/>
      <c r="N948" s="236"/>
    </row>
    <row r="949" spans="1:14" x14ac:dyDescent="0.2">
      <c r="A949" s="237" t="str">
        <f>name!E$9</f>
        <v>Caring, leisure and other service occupations</v>
      </c>
      <c r="B949" s="302">
        <v>2.5239736088291154E-2</v>
      </c>
      <c r="C949" s="302">
        <v>2.7622034524386458E-2</v>
      </c>
      <c r="D949" s="302">
        <f t="shared" si="346"/>
        <v>5.2861770612677612E-2</v>
      </c>
      <c r="E949" s="303"/>
      <c r="F949" s="302">
        <v>2.2479803712855746E-2</v>
      </c>
      <c r="G949" s="302">
        <v>1.0715637120759441E-2</v>
      </c>
      <c r="H949" s="302">
        <f t="shared" si="347"/>
        <v>3.3195440833615183E-2</v>
      </c>
      <c r="I949" s="303"/>
      <c r="J949" s="302">
        <v>3.924992608140037E-2</v>
      </c>
      <c r="K949" s="302">
        <v>2.2309957859771534E-2</v>
      </c>
      <c r="L949" s="302">
        <f t="shared" si="348"/>
        <v>6.15598839411719E-2</v>
      </c>
      <c r="M949" s="236"/>
      <c r="N949" s="236"/>
    </row>
    <row r="950" spans="1:14" x14ac:dyDescent="0.2">
      <c r="A950" s="237" t="str">
        <f>name!E$10</f>
        <v>Sales and customer service occupations</v>
      </c>
      <c r="B950" s="302">
        <v>0.18079105959858335</v>
      </c>
      <c r="C950" s="302">
        <v>9.2320726817672574E-2</v>
      </c>
      <c r="D950" s="302">
        <f t="shared" si="346"/>
        <v>0.27311178641625594</v>
      </c>
      <c r="E950" s="303"/>
      <c r="F950" s="302">
        <v>0.1321682325316253</v>
      </c>
      <c r="G950" s="302">
        <v>3.1507032586583508E-2</v>
      </c>
      <c r="H950" s="302">
        <f t="shared" si="347"/>
        <v>0.16367526511820879</v>
      </c>
      <c r="I950" s="303"/>
      <c r="J950" s="302">
        <v>0.14640031797021094</v>
      </c>
      <c r="K950" s="302">
        <v>4.0442007774391581E-2</v>
      </c>
      <c r="L950" s="302">
        <f t="shared" si="348"/>
        <v>0.18684232574460252</v>
      </c>
      <c r="M950" s="236"/>
      <c r="N950" s="236"/>
    </row>
    <row r="951" spans="1:14" x14ac:dyDescent="0.2">
      <c r="A951" s="237" t="str">
        <f>name!E$11</f>
        <v>Process, plant and machine operatives</v>
      </c>
      <c r="B951" s="302">
        <v>1.1441515937438656E-2</v>
      </c>
      <c r="C951" s="302">
        <v>7.7957370156607877E-2</v>
      </c>
      <c r="D951" s="302">
        <f t="shared" si="346"/>
        <v>8.9398886094046531E-2</v>
      </c>
      <c r="E951" s="303"/>
      <c r="F951" s="302">
        <v>9.1245055462810237E-3</v>
      </c>
      <c r="G951" s="302">
        <v>2.7621035680436692E-2</v>
      </c>
      <c r="H951" s="302">
        <f t="shared" si="347"/>
        <v>3.6745541226717714E-2</v>
      </c>
      <c r="I951" s="303"/>
      <c r="J951" s="302">
        <v>1.1705762251170629E-2</v>
      </c>
      <c r="K951" s="302">
        <v>3.3991035568217684E-2</v>
      </c>
      <c r="L951" s="302">
        <f t="shared" si="348"/>
        <v>4.5696797819388311E-2</v>
      </c>
      <c r="M951" s="236"/>
      <c r="N951" s="236"/>
    </row>
    <row r="952" spans="1:14" x14ac:dyDescent="0.2">
      <c r="A952" s="237" t="str">
        <f>name!E$12</f>
        <v>Elementary occupations</v>
      </c>
      <c r="B952" s="302">
        <v>8.3112044937496077E-2</v>
      </c>
      <c r="C952" s="302">
        <v>3.8488511546613986E-2</v>
      </c>
      <c r="D952" s="302">
        <f t="shared" si="346"/>
        <v>0.12160055648411006</v>
      </c>
      <c r="E952" s="303"/>
      <c r="F952" s="302">
        <v>5.4666541623808323E-2</v>
      </c>
      <c r="G952" s="302">
        <v>1.3340452532427039E-2</v>
      </c>
      <c r="H952" s="302">
        <f t="shared" si="347"/>
        <v>6.8006994156235359E-2</v>
      </c>
      <c r="I952" s="303"/>
      <c r="J952" s="302">
        <v>6.3985318048083314E-2</v>
      </c>
      <c r="K952" s="302">
        <v>1.2489562107162915E-2</v>
      </c>
      <c r="L952" s="302">
        <f t="shared" si="348"/>
        <v>7.6474880155246228E-2</v>
      </c>
      <c r="M952" s="236"/>
      <c r="N952" s="236"/>
    </row>
    <row r="953" spans="1:14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  <c r="N953" s="236"/>
    </row>
    <row r="954" spans="1:14" x14ac:dyDescent="0.2">
      <c r="A954" s="244" t="s">
        <v>32</v>
      </c>
      <c r="B954" s="311">
        <f>SUM(B944:B952)</f>
        <v>3.427999999925929</v>
      </c>
      <c r="C954" s="311">
        <f t="shared" ref="C954:D954" si="349">SUM(C944:C952)</f>
        <v>3.481000000090487</v>
      </c>
      <c r="D954" s="311">
        <f t="shared" si="349"/>
        <v>6.9090000000164151</v>
      </c>
      <c r="E954" s="311"/>
      <c r="F954" s="311">
        <f t="shared" ref="F954:H954" si="350">SUM(F944:F952)</f>
        <v>3.1599999999265407</v>
      </c>
      <c r="G954" s="311">
        <f t="shared" si="350"/>
        <v>1.6089999999706039</v>
      </c>
      <c r="H954" s="311">
        <f t="shared" si="350"/>
        <v>4.7689999998971437</v>
      </c>
      <c r="I954" s="311"/>
      <c r="J954" s="311">
        <f t="shared" ref="J954:L954" si="351">SUM(J944:J952)</f>
        <v>3.8580000000484809</v>
      </c>
      <c r="K954" s="311">
        <f t="shared" si="351"/>
        <v>1.8819999999894428</v>
      </c>
      <c r="L954" s="311">
        <f t="shared" si="351"/>
        <v>5.7400000000379245</v>
      </c>
      <c r="M954" s="236"/>
      <c r="N954" s="236"/>
    </row>
    <row r="955" spans="1:14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  <c r="N955" s="236"/>
    </row>
    <row r="956" spans="1:14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56" t="s">
        <v>35</v>
      </c>
      <c r="M956" s="236"/>
      <c r="N956" s="236"/>
    </row>
    <row r="957" spans="1:14" x14ac:dyDescent="0.2">
      <c r="A957" s="242"/>
      <c r="B957" s="250"/>
      <c r="C957" s="250"/>
      <c r="D957" s="250"/>
      <c r="E957" s="250"/>
      <c r="F957" s="250"/>
      <c r="G957" s="250"/>
      <c r="H957" s="250"/>
      <c r="I957" s="250"/>
      <c r="J957" s="250"/>
      <c r="K957" s="250"/>
      <c r="L957" s="236"/>
      <c r="M957" s="236"/>
      <c r="N957" s="236"/>
    </row>
    <row r="958" spans="1:14" x14ac:dyDescent="0.2">
      <c r="A958" s="241" t="str">
        <f>name!A59</f>
        <v>Other professional</v>
      </c>
      <c r="B958" s="372">
        <f>B$6</f>
        <v>2015</v>
      </c>
      <c r="C958" s="372"/>
      <c r="D958" s="372"/>
      <c r="E958" s="253"/>
      <c r="F958" s="372">
        <f>F$6</f>
        <v>2020</v>
      </c>
      <c r="G958" s="372"/>
      <c r="H958" s="372"/>
      <c r="I958" s="253"/>
      <c r="J958" s="372">
        <f>J$6</f>
        <v>2035</v>
      </c>
      <c r="K958" s="372"/>
      <c r="L958" s="372"/>
      <c r="M958" s="236"/>
      <c r="N958" s="236"/>
    </row>
    <row r="959" spans="1:14" x14ac:dyDescent="0.2">
      <c r="A959" s="254"/>
      <c r="B959" s="255" t="s">
        <v>352</v>
      </c>
      <c r="C959" s="255" t="s">
        <v>353</v>
      </c>
      <c r="D959" s="255" t="s">
        <v>32</v>
      </c>
      <c r="E959" s="255"/>
      <c r="F959" s="255" t="s">
        <v>352</v>
      </c>
      <c r="G959" s="255" t="s">
        <v>353</v>
      </c>
      <c r="H959" s="255" t="s">
        <v>32</v>
      </c>
      <c r="I959" s="255"/>
      <c r="J959" s="255" t="s">
        <v>352</v>
      </c>
      <c r="K959" s="255" t="s">
        <v>353</v>
      </c>
      <c r="L959" s="255" t="s">
        <v>32</v>
      </c>
      <c r="M959" s="236"/>
      <c r="N959" s="236"/>
    </row>
    <row r="960" spans="1:14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  <c r="N960" s="236"/>
    </row>
    <row r="961" spans="1:14" x14ac:dyDescent="0.2">
      <c r="A961" s="237" t="str">
        <f>name!E$4</f>
        <v>Managers, directors and senior officials</v>
      </c>
      <c r="B961" s="302">
        <v>1.0181378078067345</v>
      </c>
      <c r="C961" s="302">
        <v>2.3464037373810096</v>
      </c>
      <c r="D961" s="302">
        <f>SUM(B961:C961)</f>
        <v>3.3645415451877438</v>
      </c>
      <c r="E961" s="303"/>
      <c r="F961" s="302">
        <v>2.1270164955336597</v>
      </c>
      <c r="G961" s="302">
        <v>2.0832885953076992</v>
      </c>
      <c r="H961" s="302">
        <f>SUM(F961:G961)</f>
        <v>4.2103050908413593</v>
      </c>
      <c r="I961" s="303"/>
      <c r="J961" s="302">
        <v>2.8224649043374073</v>
      </c>
      <c r="K961" s="302">
        <v>2.8117900587290032</v>
      </c>
      <c r="L961" s="302">
        <f>SUM(J961:K961)</f>
        <v>5.6342549630664109</v>
      </c>
      <c r="M961" s="236"/>
      <c r="N961" s="236"/>
    </row>
    <row r="962" spans="1:14" x14ac:dyDescent="0.2">
      <c r="A962" s="237" t="str">
        <f>name!E$5</f>
        <v>Professional occupations</v>
      </c>
      <c r="B962" s="302">
        <v>2.0891297725089468</v>
      </c>
      <c r="C962" s="302">
        <v>4.3449184611035907</v>
      </c>
      <c r="D962" s="302">
        <f t="shared" ref="D962:D969" si="352">SUM(B962:C962)</f>
        <v>6.434048233612538</v>
      </c>
      <c r="E962" s="303"/>
      <c r="F962" s="302">
        <v>4.4907057448553562</v>
      </c>
      <c r="G962" s="302">
        <v>4.2693091620531947</v>
      </c>
      <c r="H962" s="302">
        <f t="shared" ref="H962:H969" si="353">SUM(F962:G962)</f>
        <v>8.7600149069085518</v>
      </c>
      <c r="I962" s="303"/>
      <c r="J962" s="302">
        <v>6.9150056433094909</v>
      </c>
      <c r="K962" s="302">
        <v>5.2487308131301926</v>
      </c>
      <c r="L962" s="302">
        <f t="shared" ref="L962:L969" si="354">SUM(J962:K962)</f>
        <v>12.163736456439683</v>
      </c>
      <c r="M962" s="236"/>
      <c r="N962" s="236"/>
    </row>
    <row r="963" spans="1:14" x14ac:dyDescent="0.2">
      <c r="A963" s="237" t="str">
        <f>name!E$6</f>
        <v>Associate professional occupations</v>
      </c>
      <c r="B963" s="302">
        <v>1.6580804874881301</v>
      </c>
      <c r="C963" s="302">
        <v>2.3949797381184781</v>
      </c>
      <c r="D963" s="302">
        <f t="shared" si="352"/>
        <v>4.0530602256066084</v>
      </c>
      <c r="E963" s="303"/>
      <c r="F963" s="302">
        <v>2.9672694246856812</v>
      </c>
      <c r="G963" s="302">
        <v>2.2426722948126354</v>
      </c>
      <c r="H963" s="302">
        <f t="shared" si="353"/>
        <v>5.2099417194983166</v>
      </c>
      <c r="I963" s="303"/>
      <c r="J963" s="302">
        <v>4.069112386738877</v>
      </c>
      <c r="K963" s="302">
        <v>2.3416979989167901</v>
      </c>
      <c r="L963" s="302">
        <f t="shared" si="354"/>
        <v>6.4108103856556671</v>
      </c>
      <c r="M963" s="236"/>
      <c r="N963" s="236"/>
    </row>
    <row r="964" spans="1:14" x14ac:dyDescent="0.2">
      <c r="A964" s="237" t="str">
        <f>name!E$7</f>
        <v>Administrative and secretarial occupations</v>
      </c>
      <c r="B964" s="302">
        <v>3.2033437036984385</v>
      </c>
      <c r="C964" s="302">
        <v>0.39940480054594585</v>
      </c>
      <c r="D964" s="302">
        <f t="shared" si="352"/>
        <v>3.6027485042443841</v>
      </c>
      <c r="E964" s="303"/>
      <c r="F964" s="302">
        <v>5.0006985837929001</v>
      </c>
      <c r="G964" s="302">
        <v>0.35269768592467604</v>
      </c>
      <c r="H964" s="302">
        <f t="shared" si="353"/>
        <v>5.3533962697175763</v>
      </c>
      <c r="I964" s="303"/>
      <c r="J964" s="302">
        <v>5.0456413201126828</v>
      </c>
      <c r="K964" s="302">
        <v>0.3368883547920295</v>
      </c>
      <c r="L964" s="302">
        <f t="shared" si="354"/>
        <v>5.3825296749047125</v>
      </c>
      <c r="M964" s="236"/>
      <c r="N964" s="236"/>
    </row>
    <row r="965" spans="1:14" x14ac:dyDescent="0.2">
      <c r="A965" s="237" t="str">
        <f>name!E$8</f>
        <v>Skilled trades occupations</v>
      </c>
      <c r="B965" s="302">
        <v>0.1607376977243708</v>
      </c>
      <c r="C965" s="302">
        <v>0.86546065056770727</v>
      </c>
      <c r="D965" s="302">
        <f t="shared" si="352"/>
        <v>1.026198348292078</v>
      </c>
      <c r="E965" s="303"/>
      <c r="F965" s="302">
        <v>0.29745099800083058</v>
      </c>
      <c r="G965" s="302">
        <v>0.54414767559575905</v>
      </c>
      <c r="H965" s="302">
        <f t="shared" si="353"/>
        <v>0.84159867359658969</v>
      </c>
      <c r="I965" s="303"/>
      <c r="J965" s="302">
        <v>0.53201843219571832</v>
      </c>
      <c r="K965" s="302">
        <v>0.57484651791356911</v>
      </c>
      <c r="L965" s="302">
        <f t="shared" si="354"/>
        <v>1.1068649501092875</v>
      </c>
      <c r="M965" s="236"/>
      <c r="N965" s="236"/>
    </row>
    <row r="966" spans="1:14" x14ac:dyDescent="0.2">
      <c r="A966" s="237" t="str">
        <f>name!E$9</f>
        <v>Caring, leisure and other service occupations</v>
      </c>
      <c r="B966" s="302">
        <v>0.76981341886425514</v>
      </c>
      <c r="C966" s="302">
        <v>0.31106124470890573</v>
      </c>
      <c r="D966" s="302">
        <f t="shared" si="352"/>
        <v>1.080874663573161</v>
      </c>
      <c r="E966" s="303"/>
      <c r="F966" s="302">
        <v>1.1583404791272651</v>
      </c>
      <c r="G966" s="302">
        <v>0.24810148024039244</v>
      </c>
      <c r="H966" s="302">
        <f t="shared" si="353"/>
        <v>1.4064419593676576</v>
      </c>
      <c r="I966" s="303"/>
      <c r="J966" s="302">
        <v>1.1713329795362093</v>
      </c>
      <c r="K966" s="302">
        <v>0.3965532315966524</v>
      </c>
      <c r="L966" s="302">
        <f t="shared" si="354"/>
        <v>1.5678862111328618</v>
      </c>
      <c r="M966" s="236"/>
      <c r="N966" s="236"/>
    </row>
    <row r="967" spans="1:14" x14ac:dyDescent="0.2">
      <c r="A967" s="237" t="str">
        <f>name!E$10</f>
        <v>Sales and customer service occupations</v>
      </c>
      <c r="B967" s="302">
        <v>0.65060874896249044</v>
      </c>
      <c r="C967" s="302">
        <v>0.48610235781618677</v>
      </c>
      <c r="D967" s="302">
        <f t="shared" si="352"/>
        <v>1.1367111067786773</v>
      </c>
      <c r="E967" s="303"/>
      <c r="F967" s="302">
        <v>0.94384453203581709</v>
      </c>
      <c r="G967" s="302">
        <v>0.32818466458272322</v>
      </c>
      <c r="H967" s="302">
        <f t="shared" si="353"/>
        <v>1.2720291966185404</v>
      </c>
      <c r="I967" s="303"/>
      <c r="J967" s="302">
        <v>1.1744406855034444</v>
      </c>
      <c r="K967" s="302">
        <v>0.42077380974054218</v>
      </c>
      <c r="L967" s="302">
        <f t="shared" si="354"/>
        <v>1.5952144952439866</v>
      </c>
      <c r="M967" s="236"/>
      <c r="N967" s="236"/>
    </row>
    <row r="968" spans="1:14" x14ac:dyDescent="0.2">
      <c r="A968" s="237" t="str">
        <f>name!E$11</f>
        <v>Process, plant and machine operatives</v>
      </c>
      <c r="B968" s="302">
        <v>5.790137514644083E-2</v>
      </c>
      <c r="C968" s="302">
        <v>0.44628565308725265</v>
      </c>
      <c r="D968" s="302">
        <f t="shared" si="352"/>
        <v>0.50418702823369344</v>
      </c>
      <c r="E968" s="303"/>
      <c r="F968" s="302">
        <v>7.7241654870009308E-2</v>
      </c>
      <c r="G968" s="302">
        <v>0.32632908364523683</v>
      </c>
      <c r="H968" s="302">
        <f t="shared" si="353"/>
        <v>0.40357073851524616</v>
      </c>
      <c r="I968" s="303"/>
      <c r="J968" s="302">
        <v>9.2426073394268254E-2</v>
      </c>
      <c r="K968" s="302">
        <v>0.34311850557606327</v>
      </c>
      <c r="L968" s="302">
        <f t="shared" si="354"/>
        <v>0.4355445789703315</v>
      </c>
      <c r="M968" s="236"/>
      <c r="N968" s="236"/>
    </row>
    <row r="969" spans="1:14" x14ac:dyDescent="0.2">
      <c r="A969" s="237" t="str">
        <f>name!E$12</f>
        <v>Elementary occupations</v>
      </c>
      <c r="B969" s="302">
        <v>1.6532469876487499</v>
      </c>
      <c r="C969" s="302">
        <v>1.6763833569198805</v>
      </c>
      <c r="D969" s="302">
        <f t="shared" si="352"/>
        <v>3.3296303445686304</v>
      </c>
      <c r="E969" s="303"/>
      <c r="F969" s="302">
        <v>1.9784320867359053</v>
      </c>
      <c r="G969" s="302">
        <v>1.2212693576908973</v>
      </c>
      <c r="H969" s="302">
        <f t="shared" si="353"/>
        <v>3.1997014444268026</v>
      </c>
      <c r="I969" s="303"/>
      <c r="J969" s="302">
        <v>1.5535575751200028</v>
      </c>
      <c r="K969" s="302">
        <v>1.0916007095403732</v>
      </c>
      <c r="L969" s="302">
        <f t="shared" si="354"/>
        <v>2.6451582846603761</v>
      </c>
      <c r="M969" s="236"/>
      <c r="N969" s="236"/>
    </row>
    <row r="970" spans="1:14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  <c r="N970" s="236"/>
    </row>
    <row r="971" spans="1:14" x14ac:dyDescent="0.2">
      <c r="A971" s="244" t="s">
        <v>32</v>
      </c>
      <c r="B971" s="311">
        <f>SUM(B961:B969)</f>
        <v>11.260999999848556</v>
      </c>
      <c r="C971" s="311">
        <f t="shared" ref="C971:D971" si="355">SUM(C961:C969)</f>
        <v>13.271000000248957</v>
      </c>
      <c r="D971" s="311">
        <f t="shared" si="355"/>
        <v>24.532000000097515</v>
      </c>
      <c r="E971" s="311"/>
      <c r="F971" s="311">
        <f t="shared" ref="F971:H971" si="356">SUM(F961:F969)</f>
        <v>19.040999999637421</v>
      </c>
      <c r="G971" s="311">
        <f t="shared" si="356"/>
        <v>11.615999999853212</v>
      </c>
      <c r="H971" s="311">
        <f t="shared" si="356"/>
        <v>30.656999999490644</v>
      </c>
      <c r="I971" s="311"/>
      <c r="J971" s="311">
        <f t="shared" ref="J971:L971" si="357">SUM(J961:J969)</f>
        <v>23.376000000248105</v>
      </c>
      <c r="K971" s="311">
        <f t="shared" si="357"/>
        <v>13.565999999935213</v>
      </c>
      <c r="L971" s="311">
        <f t="shared" si="357"/>
        <v>36.942000000183313</v>
      </c>
      <c r="M971" s="236"/>
      <c r="N971" s="236"/>
    </row>
    <row r="972" spans="1:14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  <c r="N972" s="236"/>
    </row>
    <row r="973" spans="1:14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56" t="s">
        <v>35</v>
      </c>
      <c r="M973" s="236"/>
      <c r="N973" s="236"/>
    </row>
    <row r="974" spans="1:14" x14ac:dyDescent="0.2">
      <c r="A974" s="242"/>
      <c r="B974" s="250"/>
      <c r="C974" s="250"/>
      <c r="D974" s="250"/>
      <c r="E974" s="250"/>
      <c r="F974" s="250"/>
      <c r="G974" s="250"/>
      <c r="H974" s="250"/>
      <c r="I974" s="250"/>
      <c r="J974" s="250"/>
      <c r="K974" s="250"/>
      <c r="L974" s="236"/>
      <c r="M974" s="236"/>
      <c r="N974" s="236"/>
    </row>
    <row r="975" spans="1:14" x14ac:dyDescent="0.2">
      <c r="A975" s="241" t="str">
        <f>name!A60</f>
        <v>Veterinary</v>
      </c>
      <c r="B975" s="372">
        <f>B$6</f>
        <v>2015</v>
      </c>
      <c r="C975" s="372"/>
      <c r="D975" s="372"/>
      <c r="E975" s="253"/>
      <c r="F975" s="372">
        <f>F$6</f>
        <v>2020</v>
      </c>
      <c r="G975" s="372"/>
      <c r="H975" s="372"/>
      <c r="I975" s="253"/>
      <c r="J975" s="372">
        <f>J$6</f>
        <v>2035</v>
      </c>
      <c r="K975" s="372"/>
      <c r="L975" s="372"/>
      <c r="M975" s="236"/>
      <c r="N975" s="236"/>
    </row>
    <row r="976" spans="1:14" x14ac:dyDescent="0.2">
      <c r="A976" s="254"/>
      <c r="B976" s="255" t="s">
        <v>352</v>
      </c>
      <c r="C976" s="255" t="s">
        <v>353</v>
      </c>
      <c r="D976" s="255" t="s">
        <v>32</v>
      </c>
      <c r="E976" s="255"/>
      <c r="F976" s="255" t="s">
        <v>352</v>
      </c>
      <c r="G976" s="255" t="s">
        <v>353</v>
      </c>
      <c r="H976" s="255" t="s">
        <v>32</v>
      </c>
      <c r="I976" s="255"/>
      <c r="J976" s="255" t="s">
        <v>352</v>
      </c>
      <c r="K976" s="255" t="s">
        <v>353</v>
      </c>
      <c r="L976" s="255" t="s">
        <v>32</v>
      </c>
      <c r="M976" s="236"/>
      <c r="N976" s="236"/>
    </row>
    <row r="977" spans="1:14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  <c r="N977" s="236"/>
    </row>
    <row r="978" spans="1:14" x14ac:dyDescent="0.2">
      <c r="A978" s="237" t="str">
        <f>name!E$4</f>
        <v>Managers, directors and senior officials</v>
      </c>
      <c r="B978" s="302">
        <v>0.11179075714067468</v>
      </c>
      <c r="C978" s="302">
        <v>0.16108777357014489</v>
      </c>
      <c r="D978" s="302">
        <f>SUM(B978:C978)</f>
        <v>0.27287853071081958</v>
      </c>
      <c r="E978" s="303"/>
      <c r="F978" s="302">
        <v>0.31326161028432836</v>
      </c>
      <c r="G978" s="302">
        <v>0.23703775441700775</v>
      </c>
      <c r="H978" s="302">
        <f>SUM(F978:G978)</f>
        <v>0.55029936470133611</v>
      </c>
      <c r="I978" s="303"/>
      <c r="J978" s="302">
        <v>0.47338522164687563</v>
      </c>
      <c r="K978" s="302">
        <v>0.24144407950473154</v>
      </c>
      <c r="L978" s="302">
        <f>SUM(J978:K978)</f>
        <v>0.71482930115160714</v>
      </c>
      <c r="M978" s="236"/>
      <c r="N978" s="236"/>
    </row>
    <row r="979" spans="1:14" x14ac:dyDescent="0.2">
      <c r="A979" s="237" t="str">
        <f>name!E$5</f>
        <v>Professional occupations</v>
      </c>
      <c r="B979" s="302">
        <v>0.65144017044464508</v>
      </c>
      <c r="C979" s="302">
        <v>0.88010986722300977</v>
      </c>
      <c r="D979" s="302">
        <f t="shared" ref="D979:D986" si="358">SUM(B979:C979)</f>
        <v>1.531550037667655</v>
      </c>
      <c r="E979" s="303"/>
      <c r="F979" s="302">
        <v>2.1083695722514961</v>
      </c>
      <c r="G979" s="302">
        <v>1.2780793367597121</v>
      </c>
      <c r="H979" s="302">
        <f t="shared" ref="H979:H986" si="359">SUM(F979:G979)</f>
        <v>3.3864489090112082</v>
      </c>
      <c r="I979" s="303"/>
      <c r="J979" s="302">
        <v>2.8657265310102984</v>
      </c>
      <c r="K979" s="302">
        <v>1.353437254622619</v>
      </c>
      <c r="L979" s="302">
        <f t="shared" ref="L979:L986" si="360">SUM(J979:K979)</f>
        <v>4.2191637856329169</v>
      </c>
      <c r="M979" s="236"/>
      <c r="N979" s="236"/>
    </row>
    <row r="980" spans="1:14" x14ac:dyDescent="0.2">
      <c r="A980" s="237" t="str">
        <f>name!E$6</f>
        <v>Associate professional occupations</v>
      </c>
      <c r="B980" s="302">
        <v>0.3252372909078714</v>
      </c>
      <c r="C980" s="302">
        <v>0.29112880421157111</v>
      </c>
      <c r="D980" s="302">
        <f t="shared" si="358"/>
        <v>0.61636609511944251</v>
      </c>
      <c r="E980" s="303"/>
      <c r="F980" s="302">
        <v>0.89723006915292691</v>
      </c>
      <c r="G980" s="302">
        <v>0.40382490377906555</v>
      </c>
      <c r="H980" s="302">
        <f t="shared" si="359"/>
        <v>1.3010549729319925</v>
      </c>
      <c r="I980" s="303"/>
      <c r="J980" s="302">
        <v>1.1729603427238626</v>
      </c>
      <c r="K980" s="302">
        <v>0.4030741935287549</v>
      </c>
      <c r="L980" s="302">
        <f t="shared" si="360"/>
        <v>1.5760345362526176</v>
      </c>
      <c r="M980" s="236"/>
      <c r="N980" s="236"/>
    </row>
    <row r="981" spans="1:14" x14ac:dyDescent="0.2">
      <c r="A981" s="237" t="str">
        <f>name!E$7</f>
        <v>Administrative and secretarial occupations</v>
      </c>
      <c r="B981" s="302">
        <v>0.18101652098809184</v>
      </c>
      <c r="C981" s="302">
        <v>9.6532643157914169E-2</v>
      </c>
      <c r="D981" s="302">
        <f t="shared" si="358"/>
        <v>0.277549164146006</v>
      </c>
      <c r="E981" s="303"/>
      <c r="F981" s="302">
        <v>0.39748968839837223</v>
      </c>
      <c r="G981" s="302">
        <v>0.11777042261688365</v>
      </c>
      <c r="H981" s="302">
        <f t="shared" si="359"/>
        <v>0.51526011101525593</v>
      </c>
      <c r="I981" s="303"/>
      <c r="J981" s="302">
        <v>0.2523645090130745</v>
      </c>
      <c r="K981" s="302">
        <v>0.10882946601405245</v>
      </c>
      <c r="L981" s="302">
        <f t="shared" si="360"/>
        <v>0.36119397502712697</v>
      </c>
      <c r="M981" s="236"/>
      <c r="N981" s="236"/>
    </row>
    <row r="982" spans="1:14" x14ac:dyDescent="0.2">
      <c r="A982" s="237" t="str">
        <f>name!E$8</f>
        <v>Skilled trades occupations</v>
      </c>
      <c r="B982" s="302">
        <v>2.3740861537305244E-2</v>
      </c>
      <c r="C982" s="302">
        <v>6.7548800488986274E-2</v>
      </c>
      <c r="D982" s="302">
        <f t="shared" si="358"/>
        <v>9.1289662026291518E-2</v>
      </c>
      <c r="E982" s="303"/>
      <c r="F982" s="302">
        <v>5.5862303466096289E-2</v>
      </c>
      <c r="G982" s="302">
        <v>6.390663710063775E-2</v>
      </c>
      <c r="H982" s="302">
        <f t="shared" si="359"/>
        <v>0.11976894056673404</v>
      </c>
      <c r="I982" s="303"/>
      <c r="J982" s="302">
        <v>7.6114218879931403E-2</v>
      </c>
      <c r="K982" s="302">
        <v>5.3792652998177266E-2</v>
      </c>
      <c r="L982" s="302">
        <f t="shared" si="360"/>
        <v>0.12990687187810868</v>
      </c>
      <c r="M982" s="236"/>
      <c r="N982" s="236"/>
    </row>
    <row r="983" spans="1:14" x14ac:dyDescent="0.2">
      <c r="A983" s="237" t="str">
        <f>name!E$9</f>
        <v>Caring, leisure and other service occupations</v>
      </c>
      <c r="B983" s="302">
        <v>1.0287826925924988</v>
      </c>
      <c r="C983" s="302">
        <v>0.6171345724371361</v>
      </c>
      <c r="D983" s="302">
        <f t="shared" si="358"/>
        <v>1.645917265029635</v>
      </c>
      <c r="E983" s="303"/>
      <c r="F983" s="302">
        <v>2.7256876779747592</v>
      </c>
      <c r="G983" s="302">
        <v>0.83703560301264346</v>
      </c>
      <c r="H983" s="302">
        <f t="shared" si="359"/>
        <v>3.5627232809874028</v>
      </c>
      <c r="I983" s="303"/>
      <c r="J983" s="302">
        <v>3.376823608023348</v>
      </c>
      <c r="K983" s="302">
        <v>1.3269825476213175</v>
      </c>
      <c r="L983" s="302">
        <f t="shared" si="360"/>
        <v>4.7038061556446653</v>
      </c>
      <c r="M983" s="236"/>
      <c r="N983" s="236"/>
    </row>
    <row r="984" spans="1:14" x14ac:dyDescent="0.2">
      <c r="A984" s="237" t="str">
        <f>name!E$10</f>
        <v>Sales and customer service occupations</v>
      </c>
      <c r="B984" s="302">
        <v>3.355773277017271E-2</v>
      </c>
      <c r="C984" s="302">
        <v>2.8412475302333918E-2</v>
      </c>
      <c r="D984" s="302">
        <f t="shared" si="358"/>
        <v>6.1970208072506625E-2</v>
      </c>
      <c r="E984" s="303"/>
      <c r="F984" s="302">
        <v>6.6598107465171086E-2</v>
      </c>
      <c r="G984" s="302">
        <v>3.0846094579331435E-2</v>
      </c>
      <c r="H984" s="302">
        <f t="shared" si="359"/>
        <v>9.744420204450252E-2</v>
      </c>
      <c r="I984" s="303"/>
      <c r="J984" s="302">
        <v>9.2436674751117429E-2</v>
      </c>
      <c r="K984" s="302">
        <v>2.9567372270962827E-2</v>
      </c>
      <c r="L984" s="302">
        <f t="shared" si="360"/>
        <v>0.12200404702208026</v>
      </c>
      <c r="M984" s="236"/>
      <c r="N984" s="236"/>
    </row>
    <row r="985" spans="1:14" x14ac:dyDescent="0.2">
      <c r="A985" s="237" t="str">
        <f>name!E$11</f>
        <v>Process, plant and machine operatives</v>
      </c>
      <c r="B985" s="302">
        <v>5.8839924755374265E-3</v>
      </c>
      <c r="C985" s="302">
        <v>2.5798811209549213E-2</v>
      </c>
      <c r="D985" s="302">
        <f t="shared" si="358"/>
        <v>3.1682803685086636E-2</v>
      </c>
      <c r="E985" s="303"/>
      <c r="F985" s="302">
        <v>1.2038743405171677E-2</v>
      </c>
      <c r="G985" s="302">
        <v>2.4751513929780308E-2</v>
      </c>
      <c r="H985" s="302">
        <f t="shared" si="359"/>
        <v>3.6790257334951983E-2</v>
      </c>
      <c r="I985" s="303"/>
      <c r="J985" s="302">
        <v>9.2811307049776495E-3</v>
      </c>
      <c r="K985" s="302">
        <v>1.9477576275488663E-2</v>
      </c>
      <c r="L985" s="302">
        <f t="shared" si="360"/>
        <v>2.8758706980466314E-2</v>
      </c>
      <c r="M985" s="236"/>
      <c r="N985" s="236"/>
    </row>
    <row r="986" spans="1:14" x14ac:dyDescent="0.2">
      <c r="A986" s="237" t="str">
        <f>name!E$12</f>
        <v>Elementary occupations</v>
      </c>
      <c r="B986" s="302">
        <v>4.4549981019639424E-2</v>
      </c>
      <c r="C986" s="302">
        <v>8.9246252477641549E-2</v>
      </c>
      <c r="D986" s="302">
        <f t="shared" si="358"/>
        <v>0.13379623349728098</v>
      </c>
      <c r="E986" s="303"/>
      <c r="F986" s="302">
        <v>8.546222774681711E-2</v>
      </c>
      <c r="G986" s="302">
        <v>7.8747733792057018E-2</v>
      </c>
      <c r="H986" s="302">
        <f t="shared" si="359"/>
        <v>0.16420996153887413</v>
      </c>
      <c r="I986" s="303"/>
      <c r="J986" s="302">
        <v>4.5907763269279915E-2</v>
      </c>
      <c r="K986" s="302">
        <v>7.5394857195430889E-2</v>
      </c>
      <c r="L986" s="302">
        <f t="shared" si="360"/>
        <v>0.1213026204647108</v>
      </c>
      <c r="M986" s="236"/>
      <c r="N986" s="236"/>
    </row>
    <row r="987" spans="1:14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  <c r="N987" s="236"/>
    </row>
    <row r="988" spans="1:14" x14ac:dyDescent="0.2">
      <c r="A988" s="244" t="s">
        <v>32</v>
      </c>
      <c r="B988" s="311">
        <f>SUM(B978:B986)</f>
        <v>2.4059999998764363</v>
      </c>
      <c r="C988" s="311">
        <f t="shared" ref="C988:D988" si="361">SUM(C978:C986)</f>
        <v>2.2570000000782873</v>
      </c>
      <c r="D988" s="311">
        <f t="shared" si="361"/>
        <v>4.6629999999547245</v>
      </c>
      <c r="E988" s="311"/>
      <c r="F988" s="311">
        <f t="shared" ref="F988:H988" si="362">SUM(F978:F986)</f>
        <v>6.662000000145138</v>
      </c>
      <c r="G988" s="311">
        <f t="shared" si="362"/>
        <v>3.0719999999871188</v>
      </c>
      <c r="H988" s="311">
        <f t="shared" si="362"/>
        <v>9.7340000001322604</v>
      </c>
      <c r="I988" s="311"/>
      <c r="J988" s="311">
        <f t="shared" ref="J988:L988" si="363">SUM(J978:J986)</f>
        <v>8.365000000022766</v>
      </c>
      <c r="K988" s="311">
        <f t="shared" si="363"/>
        <v>3.6120000000315353</v>
      </c>
      <c r="L988" s="311">
        <f t="shared" si="363"/>
        <v>11.9770000000543</v>
      </c>
      <c r="M988" s="236"/>
      <c r="N988" s="236"/>
    </row>
    <row r="989" spans="1:14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  <c r="N989" s="236"/>
    </row>
    <row r="990" spans="1:14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56" t="s">
        <v>35</v>
      </c>
      <c r="M990" s="236"/>
      <c r="N990" s="236"/>
    </row>
    <row r="991" spans="1:14" x14ac:dyDescent="0.2">
      <c r="A991" s="242"/>
      <c r="B991" s="250"/>
      <c r="C991" s="250"/>
      <c r="D991" s="250"/>
      <c r="E991" s="250"/>
      <c r="F991" s="250"/>
      <c r="G991" s="250"/>
      <c r="H991" s="250"/>
      <c r="I991" s="250"/>
      <c r="J991" s="250"/>
      <c r="K991" s="250"/>
      <c r="L991" s="236"/>
      <c r="M991" s="236"/>
      <c r="N991" s="236"/>
    </row>
    <row r="992" spans="1:14" x14ac:dyDescent="0.2">
      <c r="A992" s="241" t="str">
        <f>name!A61</f>
        <v>Rental and leasing</v>
      </c>
      <c r="B992" s="372">
        <f>B$6</f>
        <v>2015</v>
      </c>
      <c r="C992" s="372"/>
      <c r="D992" s="372"/>
      <c r="E992" s="253"/>
      <c r="F992" s="372">
        <f>F$6</f>
        <v>2020</v>
      </c>
      <c r="G992" s="372"/>
      <c r="H992" s="372"/>
      <c r="I992" s="253"/>
      <c r="J992" s="372">
        <f>J$6</f>
        <v>2035</v>
      </c>
      <c r="K992" s="372"/>
      <c r="L992" s="372"/>
      <c r="M992" s="236"/>
      <c r="N992" s="236"/>
    </row>
    <row r="993" spans="1:14" x14ac:dyDescent="0.2">
      <c r="A993" s="254"/>
      <c r="B993" s="255" t="s">
        <v>352</v>
      </c>
      <c r="C993" s="255" t="s">
        <v>353</v>
      </c>
      <c r="D993" s="255" t="s">
        <v>32</v>
      </c>
      <c r="E993" s="255"/>
      <c r="F993" s="255" t="s">
        <v>352</v>
      </c>
      <c r="G993" s="255" t="s">
        <v>353</v>
      </c>
      <c r="H993" s="255" t="s">
        <v>32</v>
      </c>
      <c r="I993" s="255"/>
      <c r="J993" s="255" t="s">
        <v>352</v>
      </c>
      <c r="K993" s="255" t="s">
        <v>353</v>
      </c>
      <c r="L993" s="255" t="s">
        <v>32</v>
      </c>
      <c r="M993" s="236"/>
      <c r="N993" s="236"/>
    </row>
    <row r="994" spans="1:14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  <c r="N994" s="236"/>
    </row>
    <row r="995" spans="1:14" x14ac:dyDescent="0.2">
      <c r="A995" s="237" t="str">
        <f>name!E$4</f>
        <v>Managers, directors and senior officials</v>
      </c>
      <c r="B995" s="302">
        <v>0.2404809797768373</v>
      </c>
      <c r="C995" s="302">
        <v>1.7983146708188738</v>
      </c>
      <c r="D995" s="302">
        <f>SUM(B995:C995)</f>
        <v>2.038795650595711</v>
      </c>
      <c r="E995" s="303"/>
      <c r="F995" s="302">
        <v>0.4283974819716424</v>
      </c>
      <c r="G995" s="302">
        <v>3.1184290480484576</v>
      </c>
      <c r="H995" s="302">
        <f>SUM(F995:G995)</f>
        <v>3.5468265300201001</v>
      </c>
      <c r="I995" s="303"/>
      <c r="J995" s="302">
        <v>0.52486442480098949</v>
      </c>
      <c r="K995" s="302">
        <v>3.6770682115289226</v>
      </c>
      <c r="L995" s="302">
        <f>SUM(J995:K995)</f>
        <v>4.2019326363299125</v>
      </c>
      <c r="M995" s="236"/>
      <c r="N995" s="236"/>
    </row>
    <row r="996" spans="1:14" x14ac:dyDescent="0.2">
      <c r="A996" s="237" t="str">
        <f>name!E$5</f>
        <v>Professional occupations</v>
      </c>
      <c r="B996" s="302">
        <v>0.23692451700730049</v>
      </c>
      <c r="C996" s="302">
        <v>1.4279124524732367</v>
      </c>
      <c r="D996" s="302">
        <f t="shared" ref="D996:D1003" si="364">SUM(B996:C996)</f>
        <v>1.6648369694805372</v>
      </c>
      <c r="E996" s="303"/>
      <c r="F996" s="302">
        <v>0.41806189760745111</v>
      </c>
      <c r="G996" s="302">
        <v>2.7053157904135414</v>
      </c>
      <c r="H996" s="302">
        <f t="shared" ref="H996:H1003" si="365">SUM(F996:G996)</f>
        <v>3.1233776880209927</v>
      </c>
      <c r="I996" s="303"/>
      <c r="J996" s="302">
        <v>0.53552147936072447</v>
      </c>
      <c r="K996" s="302">
        <v>3.6430528812490603</v>
      </c>
      <c r="L996" s="302">
        <f t="shared" ref="L996:L1003" si="366">SUM(J996:K996)</f>
        <v>4.1785743606097849</v>
      </c>
      <c r="M996" s="236"/>
      <c r="N996" s="236"/>
    </row>
    <row r="997" spans="1:14" x14ac:dyDescent="0.2">
      <c r="A997" s="237" t="str">
        <f>name!E$6</f>
        <v>Associate professional occupations</v>
      </c>
      <c r="B997" s="302">
        <v>0.27527054464862638</v>
      </c>
      <c r="C997" s="302">
        <v>1.024826133840121</v>
      </c>
      <c r="D997" s="302">
        <f t="shared" si="364"/>
        <v>1.3000966784887473</v>
      </c>
      <c r="E997" s="303"/>
      <c r="F997" s="302">
        <v>0.40089620251770502</v>
      </c>
      <c r="G997" s="302">
        <v>1.8023023091049963</v>
      </c>
      <c r="H997" s="302">
        <f t="shared" si="365"/>
        <v>2.2031985116227015</v>
      </c>
      <c r="I997" s="303"/>
      <c r="J997" s="302">
        <v>0.45675139365223449</v>
      </c>
      <c r="K997" s="302">
        <v>1.9067101846355878</v>
      </c>
      <c r="L997" s="302">
        <f t="shared" si="366"/>
        <v>2.3634615782878221</v>
      </c>
      <c r="M997" s="236"/>
      <c r="N997" s="236"/>
    </row>
    <row r="998" spans="1:14" x14ac:dyDescent="0.2">
      <c r="A998" s="237" t="str">
        <f>name!E$7</f>
        <v>Administrative and secretarial occupations</v>
      </c>
      <c r="B998" s="302">
        <v>1.091408429512152</v>
      </c>
      <c r="C998" s="302">
        <v>0.30920066399317514</v>
      </c>
      <c r="D998" s="302">
        <f t="shared" si="364"/>
        <v>1.4006090935053273</v>
      </c>
      <c r="E998" s="303"/>
      <c r="F998" s="302">
        <v>1.2165516505215683</v>
      </c>
      <c r="G998" s="302">
        <v>0.52714830391087986</v>
      </c>
      <c r="H998" s="302">
        <f t="shared" si="365"/>
        <v>1.7436999544324481</v>
      </c>
      <c r="I998" s="303"/>
      <c r="J998" s="302">
        <v>1.0914738596008413</v>
      </c>
      <c r="K998" s="302">
        <v>0.57696839204041128</v>
      </c>
      <c r="L998" s="302">
        <f t="shared" si="366"/>
        <v>1.6684422516412525</v>
      </c>
      <c r="M998" s="236"/>
      <c r="N998" s="236"/>
    </row>
    <row r="999" spans="1:14" x14ac:dyDescent="0.2">
      <c r="A999" s="237" t="str">
        <f>name!E$8</f>
        <v>Skilled trades occupations</v>
      </c>
      <c r="B999" s="302">
        <v>6.4214136044199788E-2</v>
      </c>
      <c r="C999" s="302">
        <v>1.3026708848799016</v>
      </c>
      <c r="D999" s="302">
        <f t="shared" si="364"/>
        <v>1.3668850209241015</v>
      </c>
      <c r="E999" s="303"/>
      <c r="F999" s="302">
        <v>0.10910915778147533</v>
      </c>
      <c r="G999" s="302">
        <v>1.6210209850863813</v>
      </c>
      <c r="H999" s="302">
        <f t="shared" si="365"/>
        <v>1.7301301428678566</v>
      </c>
      <c r="I999" s="303"/>
      <c r="J999" s="302">
        <v>0.19997379720000402</v>
      </c>
      <c r="K999" s="302">
        <v>1.5344521118974361</v>
      </c>
      <c r="L999" s="302">
        <f t="shared" si="366"/>
        <v>1.7344259090974401</v>
      </c>
      <c r="M999" s="236"/>
      <c r="N999" s="236"/>
    </row>
    <row r="1000" spans="1:14" x14ac:dyDescent="0.2">
      <c r="A1000" s="237" t="str">
        <f>name!E$9</f>
        <v>Caring, leisure and other service occupations</v>
      </c>
      <c r="B1000" s="302">
        <v>7.9789689600787403E-2</v>
      </c>
      <c r="C1000" s="302">
        <v>0.25229723846123953</v>
      </c>
      <c r="D1000" s="302">
        <f t="shared" si="364"/>
        <v>0.33208692806202694</v>
      </c>
      <c r="E1000" s="303"/>
      <c r="F1000" s="302">
        <v>0.11123671341675535</v>
      </c>
      <c r="G1000" s="302">
        <v>0.40069025134120478</v>
      </c>
      <c r="H1000" s="302">
        <f t="shared" si="365"/>
        <v>0.51192696475796018</v>
      </c>
      <c r="I1000" s="303"/>
      <c r="J1000" s="302">
        <v>0.11477735667090785</v>
      </c>
      <c r="K1000" s="302">
        <v>0.63511457755319978</v>
      </c>
      <c r="L1000" s="302">
        <f t="shared" si="366"/>
        <v>0.7498919342241076</v>
      </c>
      <c r="M1000" s="236"/>
      <c r="N1000" s="236"/>
    </row>
    <row r="1001" spans="1:14" x14ac:dyDescent="0.2">
      <c r="A1001" s="237" t="str">
        <f>name!E$10</f>
        <v>Sales and customer service occupations</v>
      </c>
      <c r="B1001" s="302">
        <v>0.57399659691075633</v>
      </c>
      <c r="C1001" s="302">
        <v>0.46826672624251453</v>
      </c>
      <c r="D1001" s="302">
        <f t="shared" si="364"/>
        <v>1.042263323153271</v>
      </c>
      <c r="E1001" s="303"/>
      <c r="F1001" s="302">
        <v>0.65378762007816715</v>
      </c>
      <c r="G1001" s="302">
        <v>0.62680312849058872</v>
      </c>
      <c r="H1001" s="302">
        <f t="shared" si="365"/>
        <v>1.280590748568756</v>
      </c>
      <c r="I1001" s="303"/>
      <c r="J1001" s="302">
        <v>0.83273200228356059</v>
      </c>
      <c r="K1001" s="302">
        <v>0.59739660926979732</v>
      </c>
      <c r="L1001" s="302">
        <f t="shared" si="366"/>
        <v>1.430128611553358</v>
      </c>
      <c r="M1001" s="236"/>
      <c r="N1001" s="236"/>
    </row>
    <row r="1002" spans="1:14" x14ac:dyDescent="0.2">
      <c r="A1002" s="237" t="str">
        <f>name!E$11</f>
        <v>Process, plant and machine operatives</v>
      </c>
      <c r="B1002" s="302">
        <v>3.5435094566503837E-2</v>
      </c>
      <c r="C1002" s="302">
        <v>1.5420385488367763</v>
      </c>
      <c r="D1002" s="302">
        <f t="shared" si="364"/>
        <v>1.5774736434032801</v>
      </c>
      <c r="E1002" s="303"/>
      <c r="F1002" s="302">
        <v>3.0957762846589732E-2</v>
      </c>
      <c r="G1002" s="302">
        <v>2.0517752797255766</v>
      </c>
      <c r="H1002" s="302">
        <f t="shared" si="365"/>
        <v>2.0827330425721664</v>
      </c>
      <c r="I1002" s="303"/>
      <c r="J1002" s="302">
        <v>5.5721389815685814E-2</v>
      </c>
      <c r="K1002" s="302">
        <v>2.0222627672670734</v>
      </c>
      <c r="L1002" s="302">
        <f t="shared" si="366"/>
        <v>2.0779841570827591</v>
      </c>
      <c r="M1002" s="236"/>
      <c r="N1002" s="236"/>
    </row>
    <row r="1003" spans="1:14" x14ac:dyDescent="0.2">
      <c r="A1003" s="237" t="str">
        <f>name!E$12</f>
        <v>Elementary occupations</v>
      </c>
      <c r="B1003" s="302">
        <v>0.12548001194640773</v>
      </c>
      <c r="C1003" s="302">
        <v>0.16547268044633218</v>
      </c>
      <c r="D1003" s="302">
        <f t="shared" si="364"/>
        <v>0.29095269239273991</v>
      </c>
      <c r="E1003" s="303"/>
      <c r="F1003" s="302">
        <v>0.12000151326421064</v>
      </c>
      <c r="G1003" s="302">
        <v>0.19251490386278539</v>
      </c>
      <c r="H1003" s="302">
        <f t="shared" si="365"/>
        <v>0.31251641712699602</v>
      </c>
      <c r="I1003" s="303"/>
      <c r="J1003" s="302">
        <v>0.11018429660424399</v>
      </c>
      <c r="K1003" s="302">
        <v>0.16597426456500555</v>
      </c>
      <c r="L1003" s="302">
        <f t="shared" si="366"/>
        <v>0.27615856116924953</v>
      </c>
      <c r="M1003" s="236"/>
      <c r="N1003" s="236"/>
    </row>
    <row r="1004" spans="1:14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  <c r="N1004" s="236"/>
    </row>
    <row r="1005" spans="1:14" x14ac:dyDescent="0.2">
      <c r="A1005" s="244" t="s">
        <v>32</v>
      </c>
      <c r="B1005" s="311">
        <f>SUM(B995:B1003)</f>
        <v>2.7230000000135712</v>
      </c>
      <c r="C1005" s="311">
        <f t="shared" ref="C1005:D1005" si="367">SUM(C995:C1003)</f>
        <v>8.2909999999921702</v>
      </c>
      <c r="D1005" s="311">
        <f t="shared" si="367"/>
        <v>11.014000000005742</v>
      </c>
      <c r="E1005" s="311"/>
      <c r="F1005" s="311">
        <f t="shared" ref="F1005:H1005" si="368">SUM(F995:F1003)</f>
        <v>3.4890000000055652</v>
      </c>
      <c r="G1005" s="311">
        <f t="shared" si="368"/>
        <v>13.045999999984412</v>
      </c>
      <c r="H1005" s="311">
        <f t="shared" si="368"/>
        <v>16.534999999989978</v>
      </c>
      <c r="I1005" s="311"/>
      <c r="J1005" s="311">
        <f t="shared" ref="J1005:L1005" si="369">SUM(J995:J1003)</f>
        <v>3.9219999999891924</v>
      </c>
      <c r="K1005" s="311">
        <f t="shared" si="369"/>
        <v>14.759000000006491</v>
      </c>
      <c r="L1005" s="311">
        <f t="shared" si="369"/>
        <v>18.680999999995688</v>
      </c>
      <c r="M1005" s="236"/>
      <c r="N1005" s="236"/>
    </row>
    <row r="1006" spans="1:14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  <c r="N1006" s="236"/>
    </row>
    <row r="1007" spans="1:14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56" t="s">
        <v>35</v>
      </c>
      <c r="M1007" s="236"/>
      <c r="N1007" s="236"/>
    </row>
    <row r="1008" spans="1:14" x14ac:dyDescent="0.2">
      <c r="A1008" s="242"/>
      <c r="B1008" s="250"/>
      <c r="C1008" s="250"/>
      <c r="D1008" s="250"/>
      <c r="E1008" s="250"/>
      <c r="F1008" s="250"/>
      <c r="G1008" s="250"/>
      <c r="H1008" s="250"/>
      <c r="I1008" s="250"/>
      <c r="J1008" s="250"/>
      <c r="K1008" s="250"/>
      <c r="L1008" s="236"/>
      <c r="M1008" s="236"/>
      <c r="N1008" s="236"/>
    </row>
    <row r="1009" spans="1:14" x14ac:dyDescent="0.2">
      <c r="A1009" s="241" t="str">
        <f>name!A62</f>
        <v>Employment activities</v>
      </c>
      <c r="B1009" s="372">
        <f>B$6</f>
        <v>2015</v>
      </c>
      <c r="C1009" s="372"/>
      <c r="D1009" s="372"/>
      <c r="E1009" s="253"/>
      <c r="F1009" s="372">
        <f>F$6</f>
        <v>2020</v>
      </c>
      <c r="G1009" s="372"/>
      <c r="H1009" s="372"/>
      <c r="I1009" s="253"/>
      <c r="J1009" s="372">
        <f>J$6</f>
        <v>2035</v>
      </c>
      <c r="K1009" s="372"/>
      <c r="L1009" s="372"/>
      <c r="M1009" s="236"/>
      <c r="N1009" s="236"/>
    </row>
    <row r="1010" spans="1:14" x14ac:dyDescent="0.2">
      <c r="A1010" s="254"/>
      <c r="B1010" s="255" t="s">
        <v>352</v>
      </c>
      <c r="C1010" s="255" t="s">
        <v>353</v>
      </c>
      <c r="D1010" s="255" t="s">
        <v>32</v>
      </c>
      <c r="E1010" s="255"/>
      <c r="F1010" s="255" t="s">
        <v>352</v>
      </c>
      <c r="G1010" s="255" t="s">
        <v>353</v>
      </c>
      <c r="H1010" s="255" t="s">
        <v>32</v>
      </c>
      <c r="I1010" s="255"/>
      <c r="J1010" s="255" t="s">
        <v>352</v>
      </c>
      <c r="K1010" s="255" t="s">
        <v>353</v>
      </c>
      <c r="L1010" s="255" t="s">
        <v>32</v>
      </c>
      <c r="M1010" s="236"/>
      <c r="N1010" s="236"/>
    </row>
    <row r="1011" spans="1:14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  <c r="N1011" s="236"/>
    </row>
    <row r="1012" spans="1:14" x14ac:dyDescent="0.2">
      <c r="A1012" s="237" t="str">
        <f>name!E$4</f>
        <v>Managers, directors and senior officials</v>
      </c>
      <c r="B1012" s="302">
        <v>3.1497846099101663</v>
      </c>
      <c r="C1012" s="302">
        <v>8.3195591502537045</v>
      </c>
      <c r="D1012" s="302">
        <f>SUM(B1012:C1012)</f>
        <v>11.46934376016387</v>
      </c>
      <c r="E1012" s="303"/>
      <c r="F1012" s="302">
        <v>2.7160964175814635</v>
      </c>
      <c r="G1012" s="302">
        <v>7.4995430270870873</v>
      </c>
      <c r="H1012" s="302">
        <f>SUM(F1012:G1012)</f>
        <v>10.21563944466855</v>
      </c>
      <c r="I1012" s="303"/>
      <c r="J1012" s="302">
        <v>3.4520309969977414</v>
      </c>
      <c r="K1012" s="302">
        <v>8.9542639344109922</v>
      </c>
      <c r="L1012" s="302">
        <f>SUM(J1012:K1012)</f>
        <v>12.406294931408734</v>
      </c>
      <c r="M1012" s="236"/>
      <c r="N1012" s="236"/>
    </row>
    <row r="1013" spans="1:14" x14ac:dyDescent="0.2">
      <c r="A1013" s="237" t="str">
        <f>name!E$5</f>
        <v>Professional occupations</v>
      </c>
      <c r="B1013" s="302">
        <v>3.9274215777158208</v>
      </c>
      <c r="C1013" s="302">
        <v>7.2421719997111031</v>
      </c>
      <c r="D1013" s="302">
        <f t="shared" ref="D1013:D1020" si="370">SUM(B1013:C1013)</f>
        <v>11.169593577426923</v>
      </c>
      <c r="E1013" s="303"/>
      <c r="F1013" s="302">
        <v>3.7556749296158554</v>
      </c>
      <c r="G1013" s="302">
        <v>7.2046359876527584</v>
      </c>
      <c r="H1013" s="302">
        <f t="shared" ref="H1013:H1020" si="371">SUM(F1013:G1013)</f>
        <v>10.960310917268615</v>
      </c>
      <c r="I1013" s="303"/>
      <c r="J1013" s="302">
        <v>5.149518618142964</v>
      </c>
      <c r="K1013" s="302">
        <v>9.4798445782405985</v>
      </c>
      <c r="L1013" s="302">
        <f t="shared" ref="L1013:L1020" si="372">SUM(J1013:K1013)</f>
        <v>14.629363196383562</v>
      </c>
      <c r="M1013" s="236"/>
      <c r="N1013" s="236"/>
    </row>
    <row r="1014" spans="1:14" x14ac:dyDescent="0.2">
      <c r="A1014" s="237" t="str">
        <f>name!E$6</f>
        <v>Associate professional occupations</v>
      </c>
      <c r="B1014" s="302">
        <v>5.4363592719503755</v>
      </c>
      <c r="C1014" s="302">
        <v>10.791478392130921</v>
      </c>
      <c r="D1014" s="302">
        <f t="shared" si="370"/>
        <v>16.227837664081296</v>
      </c>
      <c r="E1014" s="303"/>
      <c r="F1014" s="302">
        <v>4.7279546065911839</v>
      </c>
      <c r="G1014" s="302">
        <v>9.6487655829691974</v>
      </c>
      <c r="H1014" s="302">
        <f t="shared" si="371"/>
        <v>14.37672018956038</v>
      </c>
      <c r="I1014" s="303"/>
      <c r="J1014" s="302">
        <v>5.418592364836134</v>
      </c>
      <c r="K1014" s="302">
        <v>9.7154548702258552</v>
      </c>
      <c r="L1014" s="302">
        <f t="shared" si="372"/>
        <v>15.134047235061988</v>
      </c>
      <c r="M1014" s="236"/>
      <c r="N1014" s="236"/>
    </row>
    <row r="1015" spans="1:14" x14ac:dyDescent="0.2">
      <c r="A1015" s="237" t="str">
        <f>name!E$7</f>
        <v>Administrative and secretarial occupations</v>
      </c>
      <c r="B1015" s="302">
        <v>9.8827859605131909</v>
      </c>
      <c r="C1015" s="302">
        <v>2.5801110700702306</v>
      </c>
      <c r="D1015" s="302">
        <f t="shared" si="370"/>
        <v>12.462897030583422</v>
      </c>
      <c r="E1015" s="303"/>
      <c r="F1015" s="302">
        <v>6.7700298980864737</v>
      </c>
      <c r="G1015" s="302">
        <v>2.4328377973631556</v>
      </c>
      <c r="H1015" s="302">
        <f t="shared" si="371"/>
        <v>9.2028676954496298</v>
      </c>
      <c r="I1015" s="303"/>
      <c r="J1015" s="302">
        <v>6.4286223499367061</v>
      </c>
      <c r="K1015" s="302">
        <v>2.4515714106844912</v>
      </c>
      <c r="L1015" s="302">
        <f t="shared" si="372"/>
        <v>8.8801937606211965</v>
      </c>
      <c r="M1015" s="236"/>
      <c r="N1015" s="236"/>
    </row>
    <row r="1016" spans="1:14" x14ac:dyDescent="0.2">
      <c r="A1016" s="237" t="str">
        <f>name!E$8</f>
        <v>Skilled trades occupations</v>
      </c>
      <c r="B1016" s="302">
        <v>0.67580742645478586</v>
      </c>
      <c r="C1016" s="302">
        <v>4.3403902026101342</v>
      </c>
      <c r="D1016" s="302">
        <f t="shared" si="370"/>
        <v>5.0161976290649202</v>
      </c>
      <c r="E1016" s="303"/>
      <c r="F1016" s="302">
        <v>0.59438826487992147</v>
      </c>
      <c r="G1016" s="302">
        <v>2.6808144803417613</v>
      </c>
      <c r="H1016" s="302">
        <f t="shared" si="371"/>
        <v>3.2752027452216828</v>
      </c>
      <c r="I1016" s="303"/>
      <c r="J1016" s="302">
        <v>0.95248495305285508</v>
      </c>
      <c r="K1016" s="302">
        <v>2.7094665545487451</v>
      </c>
      <c r="L1016" s="302">
        <f t="shared" si="372"/>
        <v>3.6619515076016</v>
      </c>
      <c r="M1016" s="236"/>
      <c r="N1016" s="236"/>
    </row>
    <row r="1017" spans="1:14" x14ac:dyDescent="0.2">
      <c r="A1017" s="237" t="str">
        <f>name!E$9</f>
        <v>Caring, leisure and other service occupations</v>
      </c>
      <c r="B1017" s="302">
        <v>5.7587347601392347</v>
      </c>
      <c r="C1017" s="302">
        <v>2.8173758991826836</v>
      </c>
      <c r="D1017" s="302">
        <f t="shared" si="370"/>
        <v>8.5761106593219179</v>
      </c>
      <c r="E1017" s="303"/>
      <c r="F1017" s="302">
        <v>4.2676510110335908</v>
      </c>
      <c r="G1017" s="302">
        <v>2.8514285492856879</v>
      </c>
      <c r="H1017" s="302">
        <f t="shared" si="371"/>
        <v>7.1190795603192782</v>
      </c>
      <c r="I1017" s="303"/>
      <c r="J1017" s="302">
        <v>5.3439225019689074</v>
      </c>
      <c r="K1017" s="302">
        <v>3.7332676151860351</v>
      </c>
      <c r="L1017" s="302">
        <f t="shared" si="372"/>
        <v>9.0771901171549416</v>
      </c>
      <c r="M1017" s="236"/>
      <c r="N1017" s="236"/>
    </row>
    <row r="1018" spans="1:14" x14ac:dyDescent="0.2">
      <c r="A1018" s="237" t="str">
        <f>name!E$10</f>
        <v>Sales and customer service occupations</v>
      </c>
      <c r="B1018" s="302">
        <v>3.073908748606144</v>
      </c>
      <c r="C1018" s="302">
        <v>3.5783443232811432</v>
      </c>
      <c r="D1018" s="302">
        <f t="shared" si="370"/>
        <v>6.6522530718872872</v>
      </c>
      <c r="E1018" s="303"/>
      <c r="F1018" s="302">
        <v>2.1896658890918008</v>
      </c>
      <c r="G1018" s="302">
        <v>2.9710427206017029</v>
      </c>
      <c r="H1018" s="302">
        <f t="shared" si="371"/>
        <v>5.1607086096935042</v>
      </c>
      <c r="I1018" s="303"/>
      <c r="J1018" s="302">
        <v>3.1505309330405877</v>
      </c>
      <c r="K1018" s="302">
        <v>3.5813386789644972</v>
      </c>
      <c r="L1018" s="302">
        <f t="shared" si="372"/>
        <v>6.7318696120050845</v>
      </c>
      <c r="M1018" s="236"/>
      <c r="N1018" s="236"/>
    </row>
    <row r="1019" spans="1:14" x14ac:dyDescent="0.2">
      <c r="A1019" s="237" t="str">
        <f>name!E$11</f>
        <v>Process, plant and machine operatives</v>
      </c>
      <c r="B1019" s="302">
        <v>0.37340908309663584</v>
      </c>
      <c r="C1019" s="302">
        <v>4.8616822573661596</v>
      </c>
      <c r="D1019" s="302">
        <f t="shared" si="370"/>
        <v>5.2350913404627955</v>
      </c>
      <c r="E1019" s="303"/>
      <c r="F1019" s="302">
        <v>0.20522525869479347</v>
      </c>
      <c r="G1019" s="302">
        <v>3.7224424429455576</v>
      </c>
      <c r="H1019" s="302">
        <f t="shared" si="371"/>
        <v>3.9276677016403512</v>
      </c>
      <c r="I1019" s="303"/>
      <c r="J1019" s="302">
        <v>0.32142986186827832</v>
      </c>
      <c r="K1019" s="302">
        <v>3.7902072608721635</v>
      </c>
      <c r="L1019" s="302">
        <f t="shared" si="372"/>
        <v>4.1116371227404418</v>
      </c>
      <c r="M1019" s="236"/>
      <c r="N1019" s="236"/>
    </row>
    <row r="1020" spans="1:14" ht="13.5" customHeight="1" x14ac:dyDescent="0.2">
      <c r="A1020" s="237" t="str">
        <f>name!E$12</f>
        <v>Elementary occupations</v>
      </c>
      <c r="B1020" s="302">
        <v>10.909788561946002</v>
      </c>
      <c r="C1020" s="302">
        <v>25.786886705214606</v>
      </c>
      <c r="D1020" s="302">
        <f t="shared" si="370"/>
        <v>36.696675267160607</v>
      </c>
      <c r="E1020" s="303"/>
      <c r="F1020" s="302">
        <v>6.7463137244646667</v>
      </c>
      <c r="G1020" s="302">
        <v>18.899489412007256</v>
      </c>
      <c r="H1020" s="302">
        <f t="shared" si="371"/>
        <v>25.645803136471923</v>
      </c>
      <c r="I1020" s="303"/>
      <c r="J1020" s="302">
        <v>6.286867419933289</v>
      </c>
      <c r="K1020" s="302">
        <v>20.948585097153043</v>
      </c>
      <c r="L1020" s="302">
        <f t="shared" si="372"/>
        <v>27.23545251708633</v>
      </c>
      <c r="M1020" s="236"/>
      <c r="N1020" s="236"/>
    </row>
    <row r="1021" spans="1:14" ht="13.5" customHeight="1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  <c r="N1021" s="236"/>
    </row>
    <row r="1022" spans="1:14" x14ac:dyDescent="0.2">
      <c r="A1022" s="244" t="s">
        <v>32</v>
      </c>
      <c r="B1022" s="311">
        <f>SUM(B1012:B1020)</f>
        <v>43.188000000332352</v>
      </c>
      <c r="C1022" s="311">
        <f t="shared" ref="C1022:D1022" si="373">SUM(C1012:C1020)</f>
        <v>70.317999999820699</v>
      </c>
      <c r="D1022" s="311">
        <f t="shared" si="373"/>
        <v>113.50600000015305</v>
      </c>
      <c r="E1022" s="311"/>
      <c r="F1022" s="311">
        <f t="shared" ref="F1022:H1022" si="374">SUM(F1012:F1020)</f>
        <v>31.973000000039747</v>
      </c>
      <c r="G1022" s="311">
        <f t="shared" si="374"/>
        <v>57.911000000254163</v>
      </c>
      <c r="H1022" s="311">
        <f t="shared" si="374"/>
        <v>89.884000000293909</v>
      </c>
      <c r="I1022" s="311"/>
      <c r="J1022" s="311">
        <f t="shared" ref="J1022:L1022" si="375">SUM(J1012:J1020)</f>
        <v>36.503999999777463</v>
      </c>
      <c r="K1022" s="311">
        <f t="shared" si="375"/>
        <v>65.364000000286424</v>
      </c>
      <c r="L1022" s="311">
        <f t="shared" si="375"/>
        <v>101.86800000006389</v>
      </c>
      <c r="M1022" s="236"/>
      <c r="N1022" s="236"/>
    </row>
    <row r="1023" spans="1:14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  <c r="N1023" s="236"/>
    </row>
    <row r="1024" spans="1:14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56" t="s">
        <v>35</v>
      </c>
      <c r="M1024" s="236"/>
      <c r="N1024" s="236"/>
    </row>
    <row r="1025" spans="1:14" x14ac:dyDescent="0.2">
      <c r="A1025" s="242"/>
      <c r="B1025" s="250"/>
      <c r="C1025" s="250"/>
      <c r="D1025" s="250"/>
      <c r="E1025" s="250"/>
      <c r="F1025" s="250"/>
      <c r="G1025" s="250"/>
      <c r="H1025" s="250"/>
      <c r="I1025" s="250"/>
      <c r="J1025" s="250"/>
      <c r="K1025" s="250"/>
      <c r="L1025" s="236"/>
      <c r="M1025" s="236"/>
      <c r="N1025" s="236"/>
    </row>
    <row r="1026" spans="1:14" x14ac:dyDescent="0.2">
      <c r="A1026" s="241" t="str">
        <f>name!A63</f>
        <v>Travel, etc</v>
      </c>
      <c r="B1026" s="372">
        <f>B$6</f>
        <v>2015</v>
      </c>
      <c r="C1026" s="372"/>
      <c r="D1026" s="372"/>
      <c r="E1026" s="253"/>
      <c r="F1026" s="372">
        <f>F$6</f>
        <v>2020</v>
      </c>
      <c r="G1026" s="372"/>
      <c r="H1026" s="372"/>
      <c r="I1026" s="253"/>
      <c r="J1026" s="372">
        <f>J$6</f>
        <v>2035</v>
      </c>
      <c r="K1026" s="372"/>
      <c r="L1026" s="372"/>
      <c r="M1026" s="236"/>
      <c r="N1026" s="236"/>
    </row>
    <row r="1027" spans="1:14" x14ac:dyDescent="0.2">
      <c r="A1027" s="254"/>
      <c r="B1027" s="255" t="s">
        <v>352</v>
      </c>
      <c r="C1027" s="255" t="s">
        <v>353</v>
      </c>
      <c r="D1027" s="255" t="s">
        <v>32</v>
      </c>
      <c r="E1027" s="255"/>
      <c r="F1027" s="255" t="s">
        <v>352</v>
      </c>
      <c r="G1027" s="255" t="s">
        <v>353</v>
      </c>
      <c r="H1027" s="255" t="s">
        <v>32</v>
      </c>
      <c r="I1027" s="255"/>
      <c r="J1027" s="255" t="s">
        <v>352</v>
      </c>
      <c r="K1027" s="255" t="s">
        <v>353</v>
      </c>
      <c r="L1027" s="255" t="s">
        <v>32</v>
      </c>
      <c r="M1027" s="236"/>
      <c r="N1027" s="236"/>
    </row>
    <row r="1028" spans="1:14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  <c r="N1028" s="236"/>
    </row>
    <row r="1029" spans="1:14" x14ac:dyDescent="0.2">
      <c r="A1029" s="237" t="str">
        <f>name!E$4</f>
        <v>Managers, directors and senior officials</v>
      </c>
      <c r="B1029" s="302">
        <v>0.12478391302972698</v>
      </c>
      <c r="C1029" s="302">
        <v>0.39940189060567144</v>
      </c>
      <c r="D1029" s="302">
        <f>SUM(B1029:C1029)</f>
        <v>0.52418580363539846</v>
      </c>
      <c r="E1029" s="303"/>
      <c r="F1029" s="302">
        <v>0.1078485643588057</v>
      </c>
      <c r="G1029" s="302">
        <v>0.25792864351891764</v>
      </c>
      <c r="H1029" s="302">
        <f>SUM(F1029:G1029)</f>
        <v>0.36577720787772333</v>
      </c>
      <c r="I1029" s="303"/>
      <c r="J1029" s="302">
        <v>0.12688569471013075</v>
      </c>
      <c r="K1029" s="302">
        <v>0.31617413670362865</v>
      </c>
      <c r="L1029" s="302">
        <f>SUM(J1029:K1029)</f>
        <v>0.44305983141375938</v>
      </c>
      <c r="M1029" s="236"/>
      <c r="N1029" s="236"/>
    </row>
    <row r="1030" spans="1:14" x14ac:dyDescent="0.2">
      <c r="A1030" s="237" t="str">
        <f>name!E$5</f>
        <v>Professional occupations</v>
      </c>
      <c r="B1030" s="302">
        <v>6.5923034647991222E-2</v>
      </c>
      <c r="C1030" s="302">
        <v>0.25248742430859927</v>
      </c>
      <c r="D1030" s="302">
        <f t="shared" ref="D1030:D1037" si="376">SUM(B1030:C1030)</f>
        <v>0.31841045895659048</v>
      </c>
      <c r="E1030" s="303"/>
      <c r="F1030" s="302">
        <v>5.5185612441384209E-2</v>
      </c>
      <c r="G1030" s="302">
        <v>0.16652053155948829</v>
      </c>
      <c r="H1030" s="302">
        <f t="shared" ref="H1030:H1037" si="377">SUM(F1030:G1030)</f>
        <v>0.22170614400087249</v>
      </c>
      <c r="I1030" s="303"/>
      <c r="J1030" s="302">
        <v>7.2195126413331992E-2</v>
      </c>
      <c r="K1030" s="302">
        <v>0.23398887424161074</v>
      </c>
      <c r="L1030" s="302">
        <f t="shared" ref="L1030:L1037" si="378">SUM(J1030:K1030)</f>
        <v>0.30618400065494272</v>
      </c>
      <c r="M1030" s="236"/>
      <c r="N1030" s="236"/>
    </row>
    <row r="1031" spans="1:14" x14ac:dyDescent="0.2">
      <c r="A1031" s="237" t="str">
        <f>name!E$6</f>
        <v>Associate professional occupations</v>
      </c>
      <c r="B1031" s="302">
        <v>9.3212568342792818E-2</v>
      </c>
      <c r="C1031" s="302">
        <v>0.2278074546451429</v>
      </c>
      <c r="D1031" s="302">
        <f t="shared" si="376"/>
        <v>0.32102002298793575</v>
      </c>
      <c r="E1031" s="303"/>
      <c r="F1031" s="302">
        <v>6.6271055875008353E-2</v>
      </c>
      <c r="G1031" s="302">
        <v>0.14748878057267276</v>
      </c>
      <c r="H1031" s="302">
        <f t="shared" si="377"/>
        <v>0.2137598364476811</v>
      </c>
      <c r="I1031" s="303"/>
      <c r="J1031" s="302">
        <v>7.888131823755902E-2</v>
      </c>
      <c r="K1031" s="302">
        <v>0.15415635192261357</v>
      </c>
      <c r="L1031" s="302">
        <f t="shared" si="378"/>
        <v>0.23303767016017257</v>
      </c>
      <c r="M1031" s="236"/>
      <c r="N1031" s="236"/>
    </row>
    <row r="1032" spans="1:14" x14ac:dyDescent="0.2">
      <c r="A1032" s="237" t="str">
        <f>name!E$7</f>
        <v>Administrative and secretarial occupations</v>
      </c>
      <c r="B1032" s="302">
        <v>0.50231457390008261</v>
      </c>
      <c r="C1032" s="302">
        <v>0.27144365882020616</v>
      </c>
      <c r="D1032" s="302">
        <f t="shared" si="376"/>
        <v>0.77375823272028876</v>
      </c>
      <c r="E1032" s="303"/>
      <c r="F1032" s="302">
        <v>0.30070617667063532</v>
      </c>
      <c r="G1032" s="302">
        <v>0.18563140562312513</v>
      </c>
      <c r="H1032" s="302">
        <f t="shared" si="377"/>
        <v>0.48633758229376045</v>
      </c>
      <c r="I1032" s="303"/>
      <c r="J1032" s="302">
        <v>0.28685516553321061</v>
      </c>
      <c r="K1032" s="302">
        <v>0.20734067231530826</v>
      </c>
      <c r="L1032" s="302">
        <f t="shared" si="378"/>
        <v>0.49419583784851884</v>
      </c>
      <c r="M1032" s="236"/>
      <c r="N1032" s="236"/>
    </row>
    <row r="1033" spans="1:14" x14ac:dyDescent="0.2">
      <c r="A1033" s="237" t="str">
        <f>name!E$8</f>
        <v>Skilled trades occupations</v>
      </c>
      <c r="B1033" s="302">
        <v>1.8524235386105668E-2</v>
      </c>
      <c r="C1033" s="302">
        <v>0.12525214015203179</v>
      </c>
      <c r="D1033" s="302">
        <f t="shared" si="376"/>
        <v>0.14377637553813746</v>
      </c>
      <c r="E1033" s="303"/>
      <c r="F1033" s="302">
        <v>1.4589168080965748E-2</v>
      </c>
      <c r="G1033" s="302">
        <v>5.5470099157017012E-2</v>
      </c>
      <c r="H1033" s="302">
        <f t="shared" si="377"/>
        <v>7.0059267237982753E-2</v>
      </c>
      <c r="I1033" s="303"/>
      <c r="J1033" s="302">
        <v>3.0639101276474057E-2</v>
      </c>
      <c r="K1033" s="302">
        <v>6.2545490572141829E-2</v>
      </c>
      <c r="L1033" s="302">
        <f t="shared" si="378"/>
        <v>9.3184591848615883E-2</v>
      </c>
      <c r="M1033" s="236"/>
      <c r="N1033" s="236"/>
    </row>
    <row r="1034" spans="1:14" x14ac:dyDescent="0.2">
      <c r="A1034" s="237" t="str">
        <f>name!E$9</f>
        <v>Caring, leisure and other service occupations</v>
      </c>
      <c r="B1034" s="302">
        <v>0.74416463031424496</v>
      </c>
      <c r="C1034" s="302">
        <v>0.12702992447180012</v>
      </c>
      <c r="D1034" s="302">
        <f t="shared" si="376"/>
        <v>0.87119455478604513</v>
      </c>
      <c r="E1034" s="303"/>
      <c r="F1034" s="302">
        <v>0.46102620746062922</v>
      </c>
      <c r="G1034" s="302">
        <v>8.033231554317688E-2</v>
      </c>
      <c r="H1034" s="302">
        <f t="shared" si="377"/>
        <v>0.54135852300380605</v>
      </c>
      <c r="I1034" s="303"/>
      <c r="J1034" s="302">
        <v>0.46012937739294579</v>
      </c>
      <c r="K1034" s="302">
        <v>8.9721663843226468E-2</v>
      </c>
      <c r="L1034" s="302">
        <f t="shared" si="378"/>
        <v>0.54985104123617223</v>
      </c>
      <c r="M1034" s="236"/>
      <c r="N1034" s="236"/>
    </row>
    <row r="1035" spans="1:14" x14ac:dyDescent="0.2">
      <c r="A1035" s="237" t="str">
        <f>name!E$10</f>
        <v>Sales and customer service occupations</v>
      </c>
      <c r="B1035" s="302">
        <v>0.18133721251836812</v>
      </c>
      <c r="C1035" s="302">
        <v>0.61828207104233091</v>
      </c>
      <c r="D1035" s="302">
        <f t="shared" si="376"/>
        <v>0.799619283560699</v>
      </c>
      <c r="E1035" s="303"/>
      <c r="F1035" s="302">
        <v>0.10370339446250464</v>
      </c>
      <c r="G1035" s="302">
        <v>0.52313946943538636</v>
      </c>
      <c r="H1035" s="302">
        <f t="shared" si="377"/>
        <v>0.62684286389789101</v>
      </c>
      <c r="I1035" s="303"/>
      <c r="J1035" s="302">
        <v>0.14318123303982674</v>
      </c>
      <c r="K1035" s="302">
        <v>0.65615400683865843</v>
      </c>
      <c r="L1035" s="302">
        <f t="shared" si="378"/>
        <v>0.7993352398784852</v>
      </c>
      <c r="M1035" s="236"/>
      <c r="N1035" s="236"/>
    </row>
    <row r="1036" spans="1:14" x14ac:dyDescent="0.2">
      <c r="A1036" s="237" t="str">
        <f>name!E$11</f>
        <v>Process, plant and machine operatives</v>
      </c>
      <c r="B1036" s="302">
        <v>7.2015545075577045E-2</v>
      </c>
      <c r="C1036" s="302">
        <v>1.1067545215943047</v>
      </c>
      <c r="D1036" s="302">
        <f t="shared" si="376"/>
        <v>1.1787700666698817</v>
      </c>
      <c r="E1036" s="303"/>
      <c r="F1036" s="302">
        <v>4.0414828937136577E-2</v>
      </c>
      <c r="G1036" s="302">
        <v>0.51069688246859846</v>
      </c>
      <c r="H1036" s="302">
        <f t="shared" si="377"/>
        <v>0.55111171140573501</v>
      </c>
      <c r="I1036" s="303"/>
      <c r="J1036" s="302">
        <v>9.7770503037633349E-2</v>
      </c>
      <c r="K1036" s="302">
        <v>0.56716823134074346</v>
      </c>
      <c r="L1036" s="302">
        <f t="shared" si="378"/>
        <v>0.66493873437837681</v>
      </c>
      <c r="M1036" s="236"/>
      <c r="N1036" s="236"/>
    </row>
    <row r="1037" spans="1:14" x14ac:dyDescent="0.2">
      <c r="A1037" s="237" t="str">
        <f>name!E$12</f>
        <v>Elementary occupations</v>
      </c>
      <c r="B1037" s="302">
        <v>0.36972428681268044</v>
      </c>
      <c r="C1037" s="302">
        <v>0.93054091432945596</v>
      </c>
      <c r="D1037" s="302">
        <f t="shared" si="376"/>
        <v>1.3002652011421363</v>
      </c>
      <c r="E1037" s="303"/>
      <c r="F1037" s="302">
        <v>0.18525499171617144</v>
      </c>
      <c r="G1037" s="302">
        <v>0.38679187212544125</v>
      </c>
      <c r="H1037" s="302">
        <f t="shared" si="377"/>
        <v>0.57204686384161274</v>
      </c>
      <c r="I1037" s="303"/>
      <c r="J1037" s="302">
        <v>0.20046248034410064</v>
      </c>
      <c r="K1037" s="302">
        <v>0.32575057223641868</v>
      </c>
      <c r="L1037" s="302">
        <f t="shared" si="378"/>
        <v>0.52621305258051931</v>
      </c>
      <c r="M1037" s="236"/>
      <c r="N1037" s="236"/>
    </row>
    <row r="1038" spans="1:14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  <c r="N1038" s="236"/>
    </row>
    <row r="1039" spans="1:14" x14ac:dyDescent="0.2">
      <c r="A1039" s="244" t="s">
        <v>32</v>
      </c>
      <c r="B1039" s="311">
        <f>SUM(B1029:B1037)</f>
        <v>2.1720000000275697</v>
      </c>
      <c r="C1039" s="311">
        <f t="shared" ref="C1039:D1039" si="379">SUM(C1029:C1037)</f>
        <v>4.0589999999695427</v>
      </c>
      <c r="D1039" s="311">
        <f t="shared" si="379"/>
        <v>6.2309999999971124</v>
      </c>
      <c r="E1039" s="311"/>
      <c r="F1039" s="311">
        <f t="shared" ref="F1039:H1039" si="380">SUM(F1029:F1037)</f>
        <v>1.3350000000032411</v>
      </c>
      <c r="G1039" s="311">
        <f t="shared" si="380"/>
        <v>2.3140000000038237</v>
      </c>
      <c r="H1039" s="311">
        <f t="shared" si="380"/>
        <v>3.6490000000070646</v>
      </c>
      <c r="I1039" s="311"/>
      <c r="J1039" s="311">
        <f t="shared" ref="J1039:L1039" si="381">SUM(J1029:J1037)</f>
        <v>1.4969999999852133</v>
      </c>
      <c r="K1039" s="311">
        <f t="shared" si="381"/>
        <v>2.6130000000143498</v>
      </c>
      <c r="L1039" s="311">
        <f t="shared" si="381"/>
        <v>4.1099999999995624</v>
      </c>
      <c r="M1039" s="236"/>
      <c r="N1039" s="236"/>
    </row>
    <row r="1040" spans="1:14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  <c r="N1040" s="236"/>
    </row>
    <row r="1041" spans="1:14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56" t="s">
        <v>35</v>
      </c>
      <c r="M1041" s="236"/>
      <c r="N1041" s="236"/>
    </row>
    <row r="1042" spans="1:14" x14ac:dyDescent="0.2">
      <c r="A1042" s="242"/>
      <c r="B1042" s="250"/>
      <c r="C1042" s="250"/>
      <c r="D1042" s="250"/>
      <c r="E1042" s="250"/>
      <c r="F1042" s="250"/>
      <c r="G1042" s="250"/>
      <c r="H1042" s="250"/>
      <c r="I1042" s="250"/>
      <c r="J1042" s="250"/>
      <c r="K1042" s="250"/>
      <c r="L1042" s="236"/>
      <c r="M1042" s="236"/>
      <c r="N1042" s="236"/>
    </row>
    <row r="1043" spans="1:14" x14ac:dyDescent="0.2">
      <c r="A1043" s="241" t="str">
        <f>name!A64</f>
        <v>Security, etc</v>
      </c>
      <c r="B1043" s="372">
        <f>B$6</f>
        <v>2015</v>
      </c>
      <c r="C1043" s="372"/>
      <c r="D1043" s="372"/>
      <c r="E1043" s="253"/>
      <c r="F1043" s="372">
        <f>F$6</f>
        <v>2020</v>
      </c>
      <c r="G1043" s="372"/>
      <c r="H1043" s="372"/>
      <c r="I1043" s="253"/>
      <c r="J1043" s="372">
        <f>J$6</f>
        <v>2035</v>
      </c>
      <c r="K1043" s="372"/>
      <c r="L1043" s="372"/>
      <c r="M1043" s="236"/>
      <c r="N1043" s="236"/>
    </row>
    <row r="1044" spans="1:14" x14ac:dyDescent="0.2">
      <c r="A1044" s="254"/>
      <c r="B1044" s="255" t="s">
        <v>352</v>
      </c>
      <c r="C1044" s="255" t="s">
        <v>353</v>
      </c>
      <c r="D1044" s="255" t="s">
        <v>32</v>
      </c>
      <c r="E1044" s="255"/>
      <c r="F1044" s="255" t="s">
        <v>352</v>
      </c>
      <c r="G1044" s="255" t="s">
        <v>353</v>
      </c>
      <c r="H1044" s="255" t="s">
        <v>32</v>
      </c>
      <c r="I1044" s="255"/>
      <c r="J1044" s="255" t="s">
        <v>352</v>
      </c>
      <c r="K1044" s="255" t="s">
        <v>353</v>
      </c>
      <c r="L1044" s="255" t="s">
        <v>32</v>
      </c>
      <c r="M1044" s="236"/>
      <c r="N1044" s="236"/>
    </row>
    <row r="1045" spans="1:14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  <c r="N1045" s="236"/>
    </row>
    <row r="1046" spans="1:14" x14ac:dyDescent="0.2">
      <c r="A1046" s="237" t="str">
        <f>name!E$4</f>
        <v>Managers, directors and senior officials</v>
      </c>
      <c r="B1046" s="302">
        <v>0.22786455857888085</v>
      </c>
      <c r="C1046" s="302">
        <v>0.77304731255514347</v>
      </c>
      <c r="D1046" s="302">
        <f>SUM(B1046:C1046)</f>
        <v>1.0009118711340244</v>
      </c>
      <c r="E1046" s="303"/>
      <c r="F1046" s="302">
        <v>0.37595377502956273</v>
      </c>
      <c r="G1046" s="302">
        <v>1.3049245263716394</v>
      </c>
      <c r="H1046" s="302">
        <f>SUM(F1046:G1046)</f>
        <v>1.6808783014012021</v>
      </c>
      <c r="I1046" s="303"/>
      <c r="J1046" s="302">
        <v>0.49078565576903282</v>
      </c>
      <c r="K1046" s="302">
        <v>1.5821282001617754</v>
      </c>
      <c r="L1046" s="302">
        <f>SUM(J1046:K1046)</f>
        <v>2.0729138559308082</v>
      </c>
      <c r="M1046" s="236"/>
      <c r="N1046" s="236"/>
    </row>
    <row r="1047" spans="1:14" x14ac:dyDescent="0.2">
      <c r="A1047" s="237" t="str">
        <f>name!E$5</f>
        <v>Professional occupations</v>
      </c>
      <c r="B1047" s="302">
        <v>0.29911049712051346</v>
      </c>
      <c r="C1047" s="302">
        <v>0.5908628943054689</v>
      </c>
      <c r="D1047" s="302">
        <f t="shared" ref="D1047:D1054" si="382">SUM(B1047:C1047)</f>
        <v>0.88997339142598242</v>
      </c>
      <c r="E1047" s="303"/>
      <c r="F1047" s="302">
        <v>0.50886204015874992</v>
      </c>
      <c r="G1047" s="302">
        <v>1.1767810959830622</v>
      </c>
      <c r="H1047" s="302">
        <f t="shared" ref="H1047:H1054" si="383">SUM(F1047:G1047)</f>
        <v>1.6856431361418123</v>
      </c>
      <c r="I1047" s="303"/>
      <c r="J1047" s="302">
        <v>0.69781603128408232</v>
      </c>
      <c r="K1047" s="302">
        <v>1.5147664024571217</v>
      </c>
      <c r="L1047" s="302">
        <f t="shared" ref="L1047:L1054" si="384">SUM(J1047:K1047)</f>
        <v>2.2125824337412041</v>
      </c>
      <c r="M1047" s="236"/>
      <c r="N1047" s="236"/>
    </row>
    <row r="1048" spans="1:14" x14ac:dyDescent="0.2">
      <c r="A1048" s="237" t="str">
        <f>name!E$6</f>
        <v>Associate professional occupations</v>
      </c>
      <c r="B1048" s="302">
        <v>0.41325308600962807</v>
      </c>
      <c r="C1048" s="302">
        <v>0.91173596552277025</v>
      </c>
      <c r="D1048" s="302">
        <f t="shared" si="382"/>
        <v>1.3249890515323983</v>
      </c>
      <c r="E1048" s="303"/>
      <c r="F1048" s="302">
        <v>0.59967939041003915</v>
      </c>
      <c r="G1048" s="302">
        <v>1.5883925570880342</v>
      </c>
      <c r="H1048" s="302">
        <f t="shared" si="383"/>
        <v>2.1880719474980732</v>
      </c>
      <c r="I1048" s="303"/>
      <c r="J1048" s="302">
        <v>0.7014496023629635</v>
      </c>
      <c r="K1048" s="302">
        <v>1.5958239229219835</v>
      </c>
      <c r="L1048" s="302">
        <f t="shared" si="384"/>
        <v>2.2972735252849468</v>
      </c>
      <c r="M1048" s="236"/>
      <c r="N1048" s="236"/>
    </row>
    <row r="1049" spans="1:14" x14ac:dyDescent="0.2">
      <c r="A1049" s="237" t="str">
        <f>name!E$7</f>
        <v>Administrative and secretarial occupations</v>
      </c>
      <c r="B1049" s="302">
        <v>0.91847824785109677</v>
      </c>
      <c r="C1049" s="302">
        <v>0.23799429995274274</v>
      </c>
      <c r="D1049" s="302">
        <f t="shared" si="382"/>
        <v>1.1564725478038396</v>
      </c>
      <c r="E1049" s="303"/>
      <c r="F1049" s="302">
        <v>0.99878939566481917</v>
      </c>
      <c r="G1049" s="302">
        <v>0.36764954459650401</v>
      </c>
      <c r="H1049" s="302">
        <f t="shared" si="383"/>
        <v>1.3664389402613231</v>
      </c>
      <c r="I1049" s="303"/>
      <c r="J1049" s="302">
        <v>0.9269294994551599</v>
      </c>
      <c r="K1049" s="302">
        <v>0.38512038166464546</v>
      </c>
      <c r="L1049" s="302">
        <f t="shared" si="384"/>
        <v>1.3120498811198054</v>
      </c>
      <c r="M1049" s="236"/>
      <c r="N1049" s="236"/>
    </row>
    <row r="1050" spans="1:14" x14ac:dyDescent="0.2">
      <c r="A1050" s="237" t="str">
        <f>name!E$8</f>
        <v>Skilled trades occupations</v>
      </c>
      <c r="B1050" s="302">
        <v>4.1075203986634161E-2</v>
      </c>
      <c r="C1050" s="302">
        <v>0.37794673456984812</v>
      </c>
      <c r="D1050" s="302">
        <f t="shared" si="382"/>
        <v>0.41902193855648229</v>
      </c>
      <c r="E1050" s="303"/>
      <c r="F1050" s="302">
        <v>5.217009007450233E-2</v>
      </c>
      <c r="G1050" s="302">
        <v>0.41741991897156561</v>
      </c>
      <c r="H1050" s="302">
        <f t="shared" si="383"/>
        <v>0.46959000904606796</v>
      </c>
      <c r="I1050" s="303"/>
      <c r="J1050" s="302">
        <v>8.2325032318056518E-2</v>
      </c>
      <c r="K1050" s="302">
        <v>0.40284323311393144</v>
      </c>
      <c r="L1050" s="302">
        <f t="shared" si="384"/>
        <v>0.48516826543198799</v>
      </c>
      <c r="M1050" s="236"/>
      <c r="N1050" s="236"/>
    </row>
    <row r="1051" spans="1:14" x14ac:dyDescent="0.2">
      <c r="A1051" s="237" t="str">
        <f>name!E$9</f>
        <v>Caring, leisure and other service occupations</v>
      </c>
      <c r="B1051" s="302">
        <v>0.57371459573066841</v>
      </c>
      <c r="C1051" s="302">
        <v>0.26708739616776667</v>
      </c>
      <c r="D1051" s="302">
        <f t="shared" si="382"/>
        <v>0.84080199189843507</v>
      </c>
      <c r="E1051" s="303"/>
      <c r="F1051" s="302">
        <v>0.59592927779848293</v>
      </c>
      <c r="G1051" s="302">
        <v>0.39977261244433215</v>
      </c>
      <c r="H1051" s="302">
        <f t="shared" si="383"/>
        <v>0.99570189024281508</v>
      </c>
      <c r="I1051" s="303"/>
      <c r="J1051" s="302">
        <v>0.76227729888797358</v>
      </c>
      <c r="K1051" s="302">
        <v>0.51513405514776134</v>
      </c>
      <c r="L1051" s="302">
        <f t="shared" si="384"/>
        <v>1.2774113540357348</v>
      </c>
      <c r="M1051" s="236"/>
      <c r="N1051" s="236"/>
    </row>
    <row r="1052" spans="1:14" x14ac:dyDescent="0.2">
      <c r="A1052" s="237" t="str">
        <f>name!E$10</f>
        <v>Sales and customer service occupations</v>
      </c>
      <c r="B1052" s="302">
        <v>0.28713858206071835</v>
      </c>
      <c r="C1052" s="302">
        <v>0.36478983988114383</v>
      </c>
      <c r="D1052" s="302">
        <f t="shared" si="382"/>
        <v>0.65192842194186218</v>
      </c>
      <c r="E1052" s="303"/>
      <c r="F1052" s="302">
        <v>0.34304044354913504</v>
      </c>
      <c r="G1052" s="302">
        <v>0.43065757151211259</v>
      </c>
      <c r="H1052" s="302">
        <f t="shared" si="383"/>
        <v>0.77369801506124758</v>
      </c>
      <c r="I1052" s="303"/>
      <c r="J1052" s="302">
        <v>0.51284373392807081</v>
      </c>
      <c r="K1052" s="302">
        <v>0.50414839118538568</v>
      </c>
      <c r="L1052" s="302">
        <f t="shared" si="384"/>
        <v>1.0169921251134566</v>
      </c>
      <c r="M1052" s="236"/>
      <c r="N1052" s="236"/>
    </row>
    <row r="1053" spans="1:14" x14ac:dyDescent="0.2">
      <c r="A1053" s="237" t="str">
        <f>name!E$11</f>
        <v>Process, plant and machine operatives</v>
      </c>
      <c r="B1053" s="302">
        <v>3.2901728132440584E-2</v>
      </c>
      <c r="C1053" s="302">
        <v>0.46073086574315381</v>
      </c>
      <c r="D1053" s="302">
        <f t="shared" si="382"/>
        <v>0.49363259387559438</v>
      </c>
      <c r="E1053" s="303"/>
      <c r="F1053" s="302">
        <v>3.2366829532031571E-2</v>
      </c>
      <c r="G1053" s="302">
        <v>0.55466549928075304</v>
      </c>
      <c r="H1053" s="302">
        <f t="shared" si="383"/>
        <v>0.58703232881278455</v>
      </c>
      <c r="I1053" s="303"/>
      <c r="J1053" s="302">
        <v>5.0394547764243243E-2</v>
      </c>
      <c r="K1053" s="302">
        <v>0.56144073614029166</v>
      </c>
      <c r="L1053" s="302">
        <f t="shared" si="384"/>
        <v>0.6118352839045349</v>
      </c>
      <c r="M1053" s="236"/>
      <c r="N1053" s="236"/>
    </row>
    <row r="1054" spans="1:14" x14ac:dyDescent="0.2">
      <c r="A1054" s="237" t="str">
        <f>name!E$12</f>
        <v>Elementary occupations</v>
      </c>
      <c r="B1054" s="302">
        <v>1.2764635005798446</v>
      </c>
      <c r="C1054" s="302">
        <v>2.4708046912931283</v>
      </c>
      <c r="D1054" s="302">
        <f t="shared" si="382"/>
        <v>3.7472681918729727</v>
      </c>
      <c r="E1054" s="303"/>
      <c r="F1054" s="302">
        <v>1.0242087578029637</v>
      </c>
      <c r="G1054" s="302">
        <v>2.8707366737925772</v>
      </c>
      <c r="H1054" s="302">
        <f t="shared" si="383"/>
        <v>3.894945431595541</v>
      </c>
      <c r="I1054" s="303"/>
      <c r="J1054" s="302">
        <v>0.95717859819105822</v>
      </c>
      <c r="K1054" s="302">
        <v>3.22859467725731</v>
      </c>
      <c r="L1054" s="302">
        <f t="shared" si="384"/>
        <v>4.1857732754483683</v>
      </c>
      <c r="M1054" s="236"/>
      <c r="N1054" s="236"/>
    </row>
    <row r="1055" spans="1:14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  <c r="N1055" s="236"/>
    </row>
    <row r="1056" spans="1:14" x14ac:dyDescent="0.2">
      <c r="A1056" s="244" t="s">
        <v>32</v>
      </c>
      <c r="B1056" s="311">
        <f>SUM(B1046:B1054)</f>
        <v>4.0700000000504248</v>
      </c>
      <c r="C1056" s="311">
        <f t="shared" ref="C1056:D1056" si="385">SUM(C1046:C1054)</f>
        <v>6.4549999999911662</v>
      </c>
      <c r="D1056" s="311">
        <f t="shared" si="385"/>
        <v>10.52500000004159</v>
      </c>
      <c r="E1056" s="311"/>
      <c r="F1056" s="311">
        <f t="shared" ref="F1056:H1056" si="386">SUM(F1046:F1054)</f>
        <v>4.5310000000202866</v>
      </c>
      <c r="G1056" s="311">
        <f t="shared" si="386"/>
        <v>9.1110000000405797</v>
      </c>
      <c r="H1056" s="311">
        <f t="shared" si="386"/>
        <v>13.642000000060868</v>
      </c>
      <c r="I1056" s="311"/>
      <c r="J1056" s="311">
        <f t="shared" ref="J1056:L1056" si="387">SUM(J1046:J1054)</f>
        <v>5.1819999999606416</v>
      </c>
      <c r="K1056" s="311">
        <f t="shared" si="387"/>
        <v>10.290000000050206</v>
      </c>
      <c r="L1056" s="311">
        <f t="shared" si="387"/>
        <v>15.472000000010848</v>
      </c>
      <c r="M1056" s="236"/>
      <c r="N1056" s="236"/>
    </row>
    <row r="1057" spans="1:14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  <c r="N1057" s="236"/>
    </row>
    <row r="1058" spans="1:14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56" t="s">
        <v>35</v>
      </c>
      <c r="M1058" s="236"/>
      <c r="N1058" s="236"/>
    </row>
    <row r="1059" spans="1:14" x14ac:dyDescent="0.2">
      <c r="A1059" s="242"/>
      <c r="B1059" s="250"/>
      <c r="C1059" s="250"/>
      <c r="D1059" s="250"/>
      <c r="E1059" s="250"/>
      <c r="F1059" s="250"/>
      <c r="G1059" s="250"/>
      <c r="H1059" s="250"/>
      <c r="I1059" s="250"/>
      <c r="J1059" s="250"/>
      <c r="K1059" s="250"/>
      <c r="L1059" s="236"/>
      <c r="M1059" s="236"/>
      <c r="N1059" s="236"/>
    </row>
    <row r="1060" spans="1:14" x14ac:dyDescent="0.2">
      <c r="A1060" s="241" t="str">
        <f>name!A65</f>
        <v>Services to buildings</v>
      </c>
      <c r="B1060" s="372">
        <f>B$6</f>
        <v>2015</v>
      </c>
      <c r="C1060" s="372"/>
      <c r="D1060" s="372"/>
      <c r="E1060" s="253"/>
      <c r="F1060" s="372">
        <f>F$6</f>
        <v>2020</v>
      </c>
      <c r="G1060" s="372"/>
      <c r="H1060" s="372"/>
      <c r="I1060" s="253"/>
      <c r="J1060" s="372">
        <f>J$6</f>
        <v>2035</v>
      </c>
      <c r="K1060" s="372"/>
      <c r="L1060" s="372"/>
      <c r="M1060" s="236"/>
      <c r="N1060" s="236"/>
    </row>
    <row r="1061" spans="1:14" x14ac:dyDescent="0.2">
      <c r="A1061" s="254"/>
      <c r="B1061" s="255" t="s">
        <v>352</v>
      </c>
      <c r="C1061" s="255" t="s">
        <v>353</v>
      </c>
      <c r="D1061" s="255" t="s">
        <v>32</v>
      </c>
      <c r="E1061" s="255"/>
      <c r="F1061" s="255" t="s">
        <v>352</v>
      </c>
      <c r="G1061" s="255" t="s">
        <v>353</v>
      </c>
      <c r="H1061" s="255" t="s">
        <v>32</v>
      </c>
      <c r="I1061" s="255"/>
      <c r="J1061" s="255" t="s">
        <v>352</v>
      </c>
      <c r="K1061" s="255" t="s">
        <v>353</v>
      </c>
      <c r="L1061" s="255" t="s">
        <v>32</v>
      </c>
      <c r="M1061" s="236"/>
      <c r="N1061" s="236"/>
    </row>
    <row r="1062" spans="1:14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  <c r="N1062" s="236"/>
    </row>
    <row r="1063" spans="1:14" x14ac:dyDescent="0.2">
      <c r="A1063" s="237" t="str">
        <f>name!E$4</f>
        <v>Managers, directors and senior officials</v>
      </c>
      <c r="B1063" s="302">
        <v>2.0625399797562474</v>
      </c>
      <c r="C1063" s="302">
        <v>1.748289416368459</v>
      </c>
      <c r="D1063" s="302">
        <f>SUM(B1063:C1063)</f>
        <v>3.8108293961247064</v>
      </c>
      <c r="E1063" s="303"/>
      <c r="F1063" s="302">
        <v>2.3500048115776742</v>
      </c>
      <c r="G1063" s="302">
        <v>1.8413240834083888</v>
      </c>
      <c r="H1063" s="302">
        <f>SUM(F1063:G1063)</f>
        <v>4.1913288949860625</v>
      </c>
      <c r="I1063" s="303"/>
      <c r="J1063" s="302">
        <v>2.8782837571172082</v>
      </c>
      <c r="K1063" s="302">
        <v>2.1247255722060063</v>
      </c>
      <c r="L1063" s="302">
        <f>SUM(J1063:K1063)</f>
        <v>5.0030093293232145</v>
      </c>
      <c r="M1063" s="236"/>
      <c r="N1063" s="236"/>
    </row>
    <row r="1064" spans="1:14" x14ac:dyDescent="0.2">
      <c r="A1064" s="237" t="str">
        <f>name!E$5</f>
        <v>Professional occupations</v>
      </c>
      <c r="B1064" s="302">
        <v>2.9740258243086122</v>
      </c>
      <c r="C1064" s="302">
        <v>1.4490028130340824</v>
      </c>
      <c r="D1064" s="302">
        <f t="shared" ref="D1064:D1071" si="388">SUM(B1064:C1064)</f>
        <v>4.4230286373426946</v>
      </c>
      <c r="E1064" s="303"/>
      <c r="F1064" s="302">
        <v>3.4312580058729107</v>
      </c>
      <c r="G1064" s="302">
        <v>1.673157263667155</v>
      </c>
      <c r="H1064" s="302">
        <f t="shared" ref="H1064:H1071" si="389">SUM(F1064:G1064)</f>
        <v>5.1044152695400662</v>
      </c>
      <c r="I1064" s="303"/>
      <c r="J1064" s="302">
        <v>4.676091586219691</v>
      </c>
      <c r="K1064" s="302">
        <v>2.0676321075266024</v>
      </c>
      <c r="L1064" s="302">
        <f t="shared" ref="L1064:L1071" si="390">SUM(J1064:K1064)</f>
        <v>6.7437236937462934</v>
      </c>
      <c r="M1064" s="236"/>
      <c r="N1064" s="236"/>
    </row>
    <row r="1065" spans="1:14" x14ac:dyDescent="0.2">
      <c r="A1065" s="237" t="str">
        <f>name!E$6</f>
        <v>Associate professional occupations</v>
      </c>
      <c r="B1065" s="302">
        <v>3.3559736805630154</v>
      </c>
      <c r="C1065" s="302">
        <v>1.9343836672268553</v>
      </c>
      <c r="D1065" s="302">
        <f t="shared" si="388"/>
        <v>5.2903573477898709</v>
      </c>
      <c r="E1065" s="303"/>
      <c r="F1065" s="302">
        <v>3.555221437351336</v>
      </c>
      <c r="G1065" s="302">
        <v>2.0599119508496546</v>
      </c>
      <c r="H1065" s="302">
        <f t="shared" si="389"/>
        <v>5.6151333882009906</v>
      </c>
      <c r="I1065" s="303"/>
      <c r="J1065" s="302">
        <v>4.3146665717546684</v>
      </c>
      <c r="K1065" s="302">
        <v>2.0777772897095867</v>
      </c>
      <c r="L1065" s="302">
        <f t="shared" si="390"/>
        <v>6.3924438614642547</v>
      </c>
      <c r="M1065" s="236"/>
      <c r="N1065" s="236"/>
    </row>
    <row r="1066" spans="1:14" x14ac:dyDescent="0.2">
      <c r="A1066" s="237" t="str">
        <f>name!E$7</f>
        <v>Administrative and secretarial occupations</v>
      </c>
      <c r="B1066" s="302">
        <v>7.2220478155393559</v>
      </c>
      <c r="C1066" s="302">
        <v>0.44178497448005838</v>
      </c>
      <c r="D1066" s="302">
        <f t="shared" si="388"/>
        <v>7.6638327900194145</v>
      </c>
      <c r="E1066" s="303"/>
      <c r="F1066" s="302">
        <v>6.2783464439563224</v>
      </c>
      <c r="G1066" s="302">
        <v>0.49596526151596187</v>
      </c>
      <c r="H1066" s="302">
        <f t="shared" si="389"/>
        <v>6.7743117054722841</v>
      </c>
      <c r="I1066" s="303"/>
      <c r="J1066" s="302">
        <v>6.0932834932507056</v>
      </c>
      <c r="K1066" s="302">
        <v>0.5140712764689469</v>
      </c>
      <c r="L1066" s="302">
        <f t="shared" si="390"/>
        <v>6.6073547697196524</v>
      </c>
      <c r="M1066" s="236"/>
      <c r="N1066" s="236"/>
    </row>
    <row r="1067" spans="1:14" x14ac:dyDescent="0.2">
      <c r="A1067" s="237" t="str">
        <f>name!E$8</f>
        <v>Skilled trades occupations</v>
      </c>
      <c r="B1067" s="302">
        <v>0.4491439202902493</v>
      </c>
      <c r="C1067" s="302">
        <v>0.82880671112957183</v>
      </c>
      <c r="D1067" s="302">
        <f t="shared" si="388"/>
        <v>1.277950631419821</v>
      </c>
      <c r="E1067" s="303"/>
      <c r="F1067" s="302">
        <v>0.48597684532741037</v>
      </c>
      <c r="G1067" s="302">
        <v>0.59989351083944864</v>
      </c>
      <c r="H1067" s="302">
        <f t="shared" si="389"/>
        <v>1.085870356166859</v>
      </c>
      <c r="I1067" s="303"/>
      <c r="J1067" s="302">
        <v>0.85805803256413815</v>
      </c>
      <c r="K1067" s="302">
        <v>0.54927910785765566</v>
      </c>
      <c r="L1067" s="302">
        <f t="shared" si="390"/>
        <v>1.4073371404217938</v>
      </c>
      <c r="M1067" s="236"/>
      <c r="N1067" s="236"/>
    </row>
    <row r="1068" spans="1:14" x14ac:dyDescent="0.2">
      <c r="A1068" s="237" t="str">
        <f>name!E$9</f>
        <v>Caring, leisure and other service occupations</v>
      </c>
      <c r="B1068" s="302">
        <v>5.3540853607653514</v>
      </c>
      <c r="C1068" s="302">
        <v>0.50675359456773639</v>
      </c>
      <c r="D1068" s="302">
        <f t="shared" si="388"/>
        <v>5.8608389553330875</v>
      </c>
      <c r="E1068" s="303"/>
      <c r="F1068" s="302">
        <v>5.047503307119432</v>
      </c>
      <c r="G1068" s="302">
        <v>0.60278968567999025</v>
      </c>
      <c r="H1068" s="302">
        <f t="shared" si="389"/>
        <v>5.6502929927994225</v>
      </c>
      <c r="I1068" s="303"/>
      <c r="J1068" s="302">
        <v>6.595292905891986</v>
      </c>
      <c r="K1068" s="302">
        <v>0.80762332861956887</v>
      </c>
      <c r="L1068" s="302">
        <f t="shared" si="390"/>
        <v>7.4029162345115544</v>
      </c>
      <c r="M1068" s="236"/>
      <c r="N1068" s="236"/>
    </row>
    <row r="1069" spans="1:14" x14ac:dyDescent="0.2">
      <c r="A1069" s="237" t="str">
        <f>name!E$10</f>
        <v>Sales and customer service occupations</v>
      </c>
      <c r="B1069" s="302">
        <v>2.2454280393842789</v>
      </c>
      <c r="C1069" s="302">
        <v>0.60717864424294432</v>
      </c>
      <c r="D1069" s="302">
        <f t="shared" si="388"/>
        <v>2.852606683627223</v>
      </c>
      <c r="E1069" s="303"/>
      <c r="F1069" s="302">
        <v>2.1026844351996559</v>
      </c>
      <c r="G1069" s="302">
        <v>0.59747575519212937</v>
      </c>
      <c r="H1069" s="302">
        <f t="shared" si="389"/>
        <v>2.7001601903917853</v>
      </c>
      <c r="I1069" s="303"/>
      <c r="J1069" s="302">
        <v>3.3049604958357595</v>
      </c>
      <c r="K1069" s="302">
        <v>0.68690532977352103</v>
      </c>
      <c r="L1069" s="302">
        <f t="shared" si="390"/>
        <v>3.9918658256092803</v>
      </c>
      <c r="M1069" s="236"/>
      <c r="N1069" s="236"/>
    </row>
    <row r="1070" spans="1:14" x14ac:dyDescent="0.2">
      <c r="A1070" s="237" t="str">
        <f>name!E$11</f>
        <v>Process, plant and machine operatives</v>
      </c>
      <c r="B1070" s="302">
        <v>0.22238817709010625</v>
      </c>
      <c r="C1070" s="302">
        <v>0.7941823919729889</v>
      </c>
      <c r="D1070" s="302">
        <f t="shared" si="388"/>
        <v>1.0165705690630951</v>
      </c>
      <c r="E1070" s="303"/>
      <c r="F1070" s="302">
        <v>0.15681414466375893</v>
      </c>
      <c r="G1070" s="302">
        <v>0.72439810166661089</v>
      </c>
      <c r="H1070" s="302">
        <f t="shared" si="389"/>
        <v>0.88121224633036976</v>
      </c>
      <c r="I1070" s="303"/>
      <c r="J1070" s="302">
        <v>0.30794782617374256</v>
      </c>
      <c r="K1070" s="302">
        <v>0.75621325775223136</v>
      </c>
      <c r="L1070" s="302">
        <f t="shared" si="390"/>
        <v>1.0641610839259739</v>
      </c>
      <c r="M1070" s="236"/>
      <c r="N1070" s="236"/>
    </row>
    <row r="1071" spans="1:14" x14ac:dyDescent="0.2">
      <c r="A1071" s="237" t="str">
        <f>name!E$12</f>
        <v>Elementary occupations</v>
      </c>
      <c r="B1071" s="302">
        <v>9.0243672026336146</v>
      </c>
      <c r="C1071" s="302">
        <v>4.0016177869547445</v>
      </c>
      <c r="D1071" s="302">
        <f t="shared" si="388"/>
        <v>13.025984989588359</v>
      </c>
      <c r="E1071" s="303"/>
      <c r="F1071" s="302">
        <v>7.121190569087033</v>
      </c>
      <c r="G1071" s="302">
        <v>3.5790843872258242</v>
      </c>
      <c r="H1071" s="302">
        <f t="shared" si="389"/>
        <v>10.700274956312857</v>
      </c>
      <c r="I1071" s="303"/>
      <c r="J1071" s="302">
        <v>5.0114153310571297</v>
      </c>
      <c r="K1071" s="302">
        <v>4.1607727301478565</v>
      </c>
      <c r="L1071" s="302">
        <f t="shared" si="390"/>
        <v>9.1721880612049862</v>
      </c>
      <c r="M1071" s="236"/>
      <c r="N1071" s="236"/>
    </row>
    <row r="1072" spans="1:14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  <c r="N1072" s="236"/>
    </row>
    <row r="1073" spans="1:14" x14ac:dyDescent="0.2">
      <c r="A1073" s="244" t="s">
        <v>32</v>
      </c>
      <c r="B1073" s="311">
        <f>SUM(B1063:B1071)</f>
        <v>32.910000000330832</v>
      </c>
      <c r="C1073" s="311">
        <f t="shared" ref="C1073:D1073" si="391">SUM(C1063:C1071)</f>
        <v>12.311999999977441</v>
      </c>
      <c r="D1073" s="311">
        <f t="shared" si="391"/>
        <v>45.222000000308263</v>
      </c>
      <c r="E1073" s="311"/>
      <c r="F1073" s="311">
        <f t="shared" ref="F1073:H1073" si="392">SUM(F1063:F1071)</f>
        <v>30.529000000155534</v>
      </c>
      <c r="G1073" s="311">
        <f t="shared" si="392"/>
        <v>12.174000000045163</v>
      </c>
      <c r="H1073" s="311">
        <f t="shared" si="392"/>
        <v>42.703000000200689</v>
      </c>
      <c r="I1073" s="311"/>
      <c r="J1073" s="311">
        <f t="shared" ref="J1073:L1073" si="393">SUM(J1063:J1071)</f>
        <v>34.039999999865032</v>
      </c>
      <c r="K1073" s="311">
        <f t="shared" si="393"/>
        <v>13.745000000061976</v>
      </c>
      <c r="L1073" s="311">
        <f t="shared" si="393"/>
        <v>47.784999999927003</v>
      </c>
      <c r="M1073" s="236"/>
      <c r="N1073" s="236"/>
    </row>
    <row r="1074" spans="1:14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  <c r="N1074" s="236"/>
    </row>
    <row r="1075" spans="1:14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56" t="s">
        <v>35</v>
      </c>
      <c r="M1075" s="236"/>
      <c r="N1075" s="236"/>
    </row>
    <row r="1076" spans="1:14" x14ac:dyDescent="0.2">
      <c r="A1076" s="242"/>
      <c r="B1076" s="250"/>
      <c r="C1076" s="250"/>
      <c r="D1076" s="250"/>
      <c r="E1076" s="250"/>
      <c r="F1076" s="250"/>
      <c r="G1076" s="250"/>
      <c r="H1076" s="250"/>
      <c r="I1076" s="250"/>
      <c r="J1076" s="250"/>
      <c r="K1076" s="250"/>
      <c r="L1076" s="236"/>
      <c r="M1076" s="236"/>
      <c r="N1076" s="236"/>
    </row>
    <row r="1077" spans="1:14" x14ac:dyDescent="0.2">
      <c r="A1077" s="241" t="str">
        <f>name!A66</f>
        <v>Office administrative</v>
      </c>
      <c r="B1077" s="372">
        <f>B$6</f>
        <v>2015</v>
      </c>
      <c r="C1077" s="372"/>
      <c r="D1077" s="372"/>
      <c r="E1077" s="253"/>
      <c r="F1077" s="372">
        <f>F$6</f>
        <v>2020</v>
      </c>
      <c r="G1077" s="372"/>
      <c r="H1077" s="372"/>
      <c r="I1077" s="253"/>
      <c r="J1077" s="372">
        <f>J$6</f>
        <v>2035</v>
      </c>
      <c r="K1077" s="372"/>
      <c r="L1077" s="372"/>
      <c r="M1077" s="236"/>
      <c r="N1077" s="236"/>
    </row>
    <row r="1078" spans="1:14" x14ac:dyDescent="0.2">
      <c r="A1078" s="254"/>
      <c r="B1078" s="255" t="s">
        <v>352</v>
      </c>
      <c r="C1078" s="255" t="s">
        <v>353</v>
      </c>
      <c r="D1078" s="255" t="s">
        <v>32</v>
      </c>
      <c r="E1078" s="255"/>
      <c r="F1078" s="255" t="s">
        <v>352</v>
      </c>
      <c r="G1078" s="255" t="s">
        <v>353</v>
      </c>
      <c r="H1078" s="255" t="s">
        <v>32</v>
      </c>
      <c r="I1078" s="255"/>
      <c r="J1078" s="255" t="s">
        <v>352</v>
      </c>
      <c r="K1078" s="255" t="s">
        <v>353</v>
      </c>
      <c r="L1078" s="255" t="s">
        <v>32</v>
      </c>
      <c r="M1078" s="236"/>
      <c r="N1078" s="236"/>
    </row>
    <row r="1079" spans="1:14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  <c r="N1079" s="236"/>
    </row>
    <row r="1080" spans="1:14" x14ac:dyDescent="0.2">
      <c r="A1080" s="237" t="str">
        <f>name!E$4</f>
        <v>Managers, directors and senior officials</v>
      </c>
      <c r="B1080" s="302">
        <v>0.71575364518292417</v>
      </c>
      <c r="C1080" s="302">
        <v>3.3674989188738418</v>
      </c>
      <c r="D1080" s="302">
        <f>SUM(B1080:C1080)</f>
        <v>4.0832525640567656</v>
      </c>
      <c r="E1080" s="303"/>
      <c r="F1080" s="302">
        <v>0.65744806788742294</v>
      </c>
      <c r="G1080" s="302">
        <v>3.0219084592350764</v>
      </c>
      <c r="H1080" s="302">
        <f>SUM(F1080:G1080)</f>
        <v>3.6793565271224993</v>
      </c>
      <c r="I1080" s="303"/>
      <c r="J1080" s="302">
        <v>0.801230716986568</v>
      </c>
      <c r="K1080" s="302">
        <v>3.5389403072657126</v>
      </c>
      <c r="L1080" s="302">
        <f>SUM(J1080:K1080)</f>
        <v>4.3401710242522809</v>
      </c>
      <c r="M1080" s="236"/>
      <c r="N1080" s="236"/>
    </row>
    <row r="1081" spans="1:14" x14ac:dyDescent="0.2">
      <c r="A1081" s="237" t="str">
        <f>name!E$5</f>
        <v>Professional occupations</v>
      </c>
      <c r="B1081" s="302">
        <v>0.83299052816446584</v>
      </c>
      <c r="C1081" s="302">
        <v>3.0672479499341043</v>
      </c>
      <c r="D1081" s="302">
        <f t="shared" ref="D1081:D1088" si="394">SUM(B1081:C1081)</f>
        <v>3.9002384780985704</v>
      </c>
      <c r="E1081" s="303"/>
      <c r="F1081" s="302">
        <v>0.77799344230149581</v>
      </c>
      <c r="G1081" s="302">
        <v>3.0750394127452192</v>
      </c>
      <c r="H1081" s="302">
        <f t="shared" ref="H1081:H1088" si="395">SUM(F1081:G1081)</f>
        <v>3.853032855046715</v>
      </c>
      <c r="I1081" s="303"/>
      <c r="J1081" s="302">
        <v>1.0258086940856623</v>
      </c>
      <c r="K1081" s="302">
        <v>4.0088163173038058</v>
      </c>
      <c r="L1081" s="302">
        <f t="shared" ref="L1081:L1088" si="396">SUM(J1081:K1081)</f>
        <v>5.0346250113894682</v>
      </c>
      <c r="M1081" s="236"/>
      <c r="N1081" s="236"/>
    </row>
    <row r="1082" spans="1:14" x14ac:dyDescent="0.2">
      <c r="A1082" s="237" t="str">
        <f>name!E$6</f>
        <v>Associate professional occupations</v>
      </c>
      <c r="B1082" s="302">
        <v>1.3097925417155656</v>
      </c>
      <c r="C1082" s="302">
        <v>4.4006067426678346</v>
      </c>
      <c r="D1082" s="302">
        <f t="shared" si="394"/>
        <v>5.7103992843834002</v>
      </c>
      <c r="E1082" s="303"/>
      <c r="F1082" s="302">
        <v>1.1207645064458867</v>
      </c>
      <c r="G1082" s="302">
        <v>3.97279716987215</v>
      </c>
      <c r="H1082" s="302">
        <f t="shared" si="395"/>
        <v>5.0935616763180365</v>
      </c>
      <c r="I1082" s="303"/>
      <c r="J1082" s="302">
        <v>1.2963275832437584</v>
      </c>
      <c r="K1082" s="302">
        <v>4.0022063077132861</v>
      </c>
      <c r="L1082" s="302">
        <f t="shared" si="396"/>
        <v>5.2985338909570441</v>
      </c>
      <c r="M1082" s="236"/>
      <c r="N1082" s="236"/>
    </row>
    <row r="1083" spans="1:14" x14ac:dyDescent="0.2">
      <c r="A1083" s="237" t="str">
        <f>name!E$7</f>
        <v>Administrative and secretarial occupations</v>
      </c>
      <c r="B1083" s="302">
        <v>2.2313798805229865</v>
      </c>
      <c r="C1083" s="302">
        <v>0.97784538133434817</v>
      </c>
      <c r="D1083" s="302">
        <f t="shared" si="394"/>
        <v>3.2092252618573349</v>
      </c>
      <c r="E1083" s="303"/>
      <c r="F1083" s="302">
        <v>1.4549715062093864</v>
      </c>
      <c r="G1083" s="302">
        <v>0.88714264135927567</v>
      </c>
      <c r="H1083" s="302">
        <f t="shared" si="395"/>
        <v>2.3421141475686622</v>
      </c>
      <c r="I1083" s="303"/>
      <c r="J1083" s="302">
        <v>1.3450129781836093</v>
      </c>
      <c r="K1083" s="302">
        <v>0.96346716258320531</v>
      </c>
      <c r="L1083" s="302">
        <f t="shared" si="396"/>
        <v>2.3084801407668145</v>
      </c>
      <c r="M1083" s="236"/>
      <c r="N1083" s="236"/>
    </row>
    <row r="1084" spans="1:14" x14ac:dyDescent="0.2">
      <c r="A1084" s="237" t="str">
        <f>name!E$8</f>
        <v>Skilled trades occupations</v>
      </c>
      <c r="B1084" s="302">
        <v>0.13969031631509943</v>
      </c>
      <c r="C1084" s="302">
        <v>1.5737967804756603</v>
      </c>
      <c r="D1084" s="302">
        <f t="shared" si="394"/>
        <v>1.7134870967907596</v>
      </c>
      <c r="E1084" s="303"/>
      <c r="F1084" s="302">
        <v>0.12088547995259466</v>
      </c>
      <c r="G1084" s="302">
        <v>0.96368516346894917</v>
      </c>
      <c r="H1084" s="302">
        <f t="shared" si="395"/>
        <v>1.0845706434215439</v>
      </c>
      <c r="I1084" s="303"/>
      <c r="J1084" s="302">
        <v>0.19184249554416749</v>
      </c>
      <c r="K1084" s="302">
        <v>0.92404879120369554</v>
      </c>
      <c r="L1084" s="302">
        <f t="shared" si="396"/>
        <v>1.115891286747863</v>
      </c>
      <c r="M1084" s="236"/>
      <c r="N1084" s="236"/>
    </row>
    <row r="1085" spans="1:14" x14ac:dyDescent="0.2">
      <c r="A1085" s="237" t="str">
        <f>name!E$9</f>
        <v>Caring, leisure and other service occupations</v>
      </c>
      <c r="B1085" s="302">
        <v>1.473373559198015</v>
      </c>
      <c r="C1085" s="302">
        <v>0.894296286611588</v>
      </c>
      <c r="D1085" s="302">
        <f t="shared" si="394"/>
        <v>2.367669845809603</v>
      </c>
      <c r="E1085" s="303"/>
      <c r="F1085" s="302">
        <v>1.0647651661370339</v>
      </c>
      <c r="G1085" s="302">
        <v>0.80183887075395788</v>
      </c>
      <c r="H1085" s="302">
        <f t="shared" si="395"/>
        <v>1.8666040368909917</v>
      </c>
      <c r="I1085" s="303"/>
      <c r="J1085" s="302">
        <v>1.3126107868466173</v>
      </c>
      <c r="K1085" s="302">
        <v>1.0021379574075839</v>
      </c>
      <c r="L1085" s="302">
        <f t="shared" si="396"/>
        <v>2.3147487442542012</v>
      </c>
      <c r="M1085" s="236"/>
      <c r="N1085" s="236"/>
    </row>
    <row r="1086" spans="1:14" x14ac:dyDescent="0.2">
      <c r="A1086" s="237" t="str">
        <f>name!E$10</f>
        <v>Sales and customer service occupations</v>
      </c>
      <c r="B1086" s="302">
        <v>0.71153400618588414</v>
      </c>
      <c r="C1086" s="302">
        <v>1.1760176096882062</v>
      </c>
      <c r="D1086" s="302">
        <f t="shared" si="394"/>
        <v>1.8875516158740904</v>
      </c>
      <c r="E1086" s="303"/>
      <c r="F1086" s="302">
        <v>0.48785006547739623</v>
      </c>
      <c r="G1086" s="302">
        <v>0.88412331758676399</v>
      </c>
      <c r="H1086" s="302">
        <f t="shared" si="395"/>
        <v>1.3719733830641603</v>
      </c>
      <c r="I1086" s="303"/>
      <c r="J1086" s="302">
        <v>0.70247299416840647</v>
      </c>
      <c r="K1086" s="302">
        <v>1.008326817778765</v>
      </c>
      <c r="L1086" s="302">
        <f t="shared" si="396"/>
        <v>1.7107998119471715</v>
      </c>
      <c r="M1086" s="236"/>
      <c r="N1086" s="236"/>
    </row>
    <row r="1087" spans="1:14" x14ac:dyDescent="0.2">
      <c r="A1087" s="237" t="str">
        <f>name!E$11</f>
        <v>Process, plant and machine operatives</v>
      </c>
      <c r="B1087" s="302">
        <v>8.730713173084427E-2</v>
      </c>
      <c r="C1087" s="302">
        <v>1.8611234113406512</v>
      </c>
      <c r="D1087" s="302">
        <f t="shared" si="394"/>
        <v>1.9484305430714954</v>
      </c>
      <c r="E1087" s="303"/>
      <c r="F1087" s="302">
        <v>5.0212683860443572E-2</v>
      </c>
      <c r="G1087" s="302">
        <v>1.2678552170987292</v>
      </c>
      <c r="H1087" s="302">
        <f t="shared" si="395"/>
        <v>1.3180679009591727</v>
      </c>
      <c r="I1087" s="303"/>
      <c r="J1087" s="302">
        <v>8.0907273085786782E-2</v>
      </c>
      <c r="K1087" s="302">
        <v>1.2707225016837342</v>
      </c>
      <c r="L1087" s="302">
        <f t="shared" si="396"/>
        <v>1.351629774769521</v>
      </c>
      <c r="M1087" s="236"/>
      <c r="N1087" s="236"/>
    </row>
    <row r="1088" spans="1:14" x14ac:dyDescent="0.2">
      <c r="A1088" s="237" t="str">
        <f>name!E$12</f>
        <v>Elementary occupations</v>
      </c>
      <c r="B1088" s="302">
        <v>3.1461783910945234</v>
      </c>
      <c r="C1088" s="302">
        <v>9.7525669189730415</v>
      </c>
      <c r="D1088" s="302">
        <f t="shared" si="394"/>
        <v>12.898745310067564</v>
      </c>
      <c r="E1088" s="303"/>
      <c r="F1088" s="302">
        <v>1.7501090817281046</v>
      </c>
      <c r="G1088" s="302">
        <v>6.7696097479614261</v>
      </c>
      <c r="H1088" s="302">
        <f t="shared" si="395"/>
        <v>8.5197188296895305</v>
      </c>
      <c r="I1088" s="303"/>
      <c r="J1088" s="302">
        <v>1.7827864778037661</v>
      </c>
      <c r="K1088" s="302">
        <v>7.7683338371459412</v>
      </c>
      <c r="L1088" s="302">
        <f t="shared" si="396"/>
        <v>9.5511203149497064</v>
      </c>
      <c r="M1088" s="236"/>
      <c r="N1088" s="236"/>
    </row>
    <row r="1089" spans="1:14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  <c r="N1089" s="236"/>
    </row>
    <row r="1090" spans="1:14" x14ac:dyDescent="0.2">
      <c r="A1090" s="244" t="s">
        <v>32</v>
      </c>
      <c r="B1090" s="311">
        <f>SUM(B1080:B1088)</f>
        <v>10.648000000110308</v>
      </c>
      <c r="C1090" s="311">
        <f t="shared" ref="C1090:D1090" si="397">SUM(C1080:C1088)</f>
        <v>27.070999999899275</v>
      </c>
      <c r="D1090" s="311">
        <f t="shared" si="397"/>
        <v>37.719000000009586</v>
      </c>
      <c r="E1090" s="311"/>
      <c r="F1090" s="311">
        <f t="shared" ref="F1090:H1090" si="398">SUM(F1080:F1088)</f>
        <v>7.4849999999997641</v>
      </c>
      <c r="G1090" s="311">
        <f t="shared" si="398"/>
        <v>21.644000000081547</v>
      </c>
      <c r="H1090" s="311">
        <f t="shared" si="398"/>
        <v>29.129000000081305</v>
      </c>
      <c r="I1090" s="311"/>
      <c r="J1090" s="311">
        <f t="shared" ref="J1090:L1090" si="399">SUM(J1080:J1088)</f>
        <v>8.5389999999483415</v>
      </c>
      <c r="K1090" s="311">
        <f t="shared" si="399"/>
        <v>24.487000000085732</v>
      </c>
      <c r="L1090" s="311">
        <f t="shared" si="399"/>
        <v>33.026000000034074</v>
      </c>
      <c r="M1090" s="236"/>
      <c r="N1090" s="236"/>
    </row>
    <row r="1091" spans="1:14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  <c r="N1091" s="236"/>
    </row>
    <row r="1092" spans="1:14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56" t="s">
        <v>35</v>
      </c>
      <c r="M1092" s="236"/>
      <c r="N1092" s="236"/>
    </row>
    <row r="1093" spans="1:14" x14ac:dyDescent="0.2">
      <c r="A1093" s="242"/>
      <c r="B1093" s="250"/>
      <c r="C1093" s="250"/>
      <c r="D1093" s="250"/>
      <c r="E1093" s="250"/>
      <c r="F1093" s="250"/>
      <c r="G1093" s="250"/>
      <c r="H1093" s="250"/>
      <c r="I1093" s="250"/>
      <c r="J1093" s="250"/>
      <c r="K1093" s="250"/>
      <c r="L1093" s="236"/>
      <c r="M1093" s="236"/>
      <c r="N1093" s="236"/>
    </row>
    <row r="1094" spans="1:14" x14ac:dyDescent="0.2">
      <c r="A1094" s="241" t="str">
        <f>name!A67</f>
        <v>Public administration and defence</v>
      </c>
      <c r="B1094" s="372">
        <f>B$6</f>
        <v>2015</v>
      </c>
      <c r="C1094" s="372"/>
      <c r="D1094" s="372"/>
      <c r="E1094" s="253"/>
      <c r="F1094" s="372">
        <f>F$6</f>
        <v>2020</v>
      </c>
      <c r="G1094" s="372"/>
      <c r="H1094" s="372"/>
      <c r="I1094" s="253"/>
      <c r="J1094" s="372">
        <f>J$6</f>
        <v>2035</v>
      </c>
      <c r="K1094" s="372"/>
      <c r="L1094" s="372"/>
      <c r="M1094" s="236"/>
      <c r="N1094" s="236"/>
    </row>
    <row r="1095" spans="1:14" x14ac:dyDescent="0.2">
      <c r="A1095" s="254"/>
      <c r="B1095" s="255" t="s">
        <v>352</v>
      </c>
      <c r="C1095" s="255" t="s">
        <v>353</v>
      </c>
      <c r="D1095" s="255" t="s">
        <v>32</v>
      </c>
      <c r="E1095" s="255"/>
      <c r="F1095" s="255" t="s">
        <v>352</v>
      </c>
      <c r="G1095" s="255" t="s">
        <v>353</v>
      </c>
      <c r="H1095" s="255" t="s">
        <v>32</v>
      </c>
      <c r="I1095" s="255"/>
      <c r="J1095" s="255" t="s">
        <v>352</v>
      </c>
      <c r="K1095" s="255" t="s">
        <v>353</v>
      </c>
      <c r="L1095" s="255" t="s">
        <v>32</v>
      </c>
      <c r="M1095" s="236"/>
      <c r="N1095" s="236"/>
    </row>
    <row r="1096" spans="1:14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  <c r="N1096" s="236"/>
    </row>
    <row r="1097" spans="1:14" x14ac:dyDescent="0.2">
      <c r="A1097" s="237" t="str">
        <f>name!E$4</f>
        <v>Managers, directors and senior officials</v>
      </c>
      <c r="B1097" s="302">
        <v>2.5218431385596989</v>
      </c>
      <c r="C1097" s="302">
        <v>3.6875503976217452</v>
      </c>
      <c r="D1097" s="302">
        <f>SUM(B1097:C1097)</f>
        <v>6.2093935361814445</v>
      </c>
      <c r="E1097" s="303"/>
      <c r="F1097" s="302">
        <v>3.2711996494008928</v>
      </c>
      <c r="G1097" s="302">
        <v>3.9114796238820073</v>
      </c>
      <c r="H1097" s="302">
        <f>SUM(F1097:G1097)</f>
        <v>7.1826792732829006</v>
      </c>
      <c r="I1097" s="303"/>
      <c r="J1097" s="302">
        <v>4.172360180205958</v>
      </c>
      <c r="K1097" s="302">
        <v>4.3711900335561049</v>
      </c>
      <c r="L1097" s="302">
        <f>SUM(J1097:K1097)</f>
        <v>8.5435502137620638</v>
      </c>
      <c r="M1097" s="236"/>
      <c r="N1097" s="236"/>
    </row>
    <row r="1098" spans="1:14" x14ac:dyDescent="0.2">
      <c r="A1098" s="237" t="str">
        <f>name!E$5</f>
        <v>Professional occupations</v>
      </c>
      <c r="B1098" s="302">
        <v>9.6352882539592031</v>
      </c>
      <c r="C1098" s="302">
        <v>6.1252355409549359</v>
      </c>
      <c r="D1098" s="302">
        <f t="shared" ref="D1098:D1105" si="400">SUM(B1098:C1098)</f>
        <v>15.760523794914139</v>
      </c>
      <c r="E1098" s="303"/>
      <c r="F1098" s="302">
        <v>12.700276453358896</v>
      </c>
      <c r="G1098" s="302">
        <v>7.0367211862732448</v>
      </c>
      <c r="H1098" s="302">
        <f t="shared" ref="H1098:H1105" si="401">SUM(F1098:G1098)</f>
        <v>19.73699763963214</v>
      </c>
      <c r="I1098" s="303"/>
      <c r="J1098" s="302">
        <v>16.868978886555052</v>
      </c>
      <c r="K1098" s="302">
        <v>9.0661425141518688</v>
      </c>
      <c r="L1098" s="302">
        <f t="shared" ref="L1098:L1105" si="402">SUM(J1098:K1098)</f>
        <v>25.935121400706919</v>
      </c>
      <c r="M1098" s="236"/>
      <c r="N1098" s="236"/>
    </row>
    <row r="1099" spans="1:14" x14ac:dyDescent="0.2">
      <c r="A1099" s="237" t="str">
        <f>name!E$6</f>
        <v>Associate professional occupations</v>
      </c>
      <c r="B1099" s="302">
        <v>9.4581507593783929</v>
      </c>
      <c r="C1099" s="302">
        <v>16.436351487292509</v>
      </c>
      <c r="D1099" s="302">
        <f t="shared" si="400"/>
        <v>25.894502246670903</v>
      </c>
      <c r="E1099" s="303"/>
      <c r="F1099" s="302">
        <v>11.084953785673653</v>
      </c>
      <c r="G1099" s="302">
        <v>16.625765053635401</v>
      </c>
      <c r="H1099" s="302">
        <f t="shared" si="401"/>
        <v>27.710718839309052</v>
      </c>
      <c r="I1099" s="303"/>
      <c r="J1099" s="302">
        <v>15.518391567652522</v>
      </c>
      <c r="K1099" s="302">
        <v>18.980248527640587</v>
      </c>
      <c r="L1099" s="302">
        <f t="shared" si="402"/>
        <v>34.498640095293112</v>
      </c>
      <c r="M1099" s="236"/>
      <c r="N1099" s="236"/>
    </row>
    <row r="1100" spans="1:14" x14ac:dyDescent="0.2">
      <c r="A1100" s="237" t="str">
        <f>name!E$7</f>
        <v>Administrative and secretarial occupations</v>
      </c>
      <c r="B1100" s="302">
        <v>15.186446312845719</v>
      </c>
      <c r="C1100" s="302">
        <v>2.4670038199928506</v>
      </c>
      <c r="D1100" s="302">
        <f t="shared" si="400"/>
        <v>17.653450132838572</v>
      </c>
      <c r="E1100" s="303"/>
      <c r="F1100" s="302">
        <v>13.662711109629832</v>
      </c>
      <c r="G1100" s="302">
        <v>2.4114768465466203</v>
      </c>
      <c r="H1100" s="302">
        <f t="shared" si="401"/>
        <v>16.074187956176452</v>
      </c>
      <c r="I1100" s="303"/>
      <c r="J1100" s="302">
        <v>10.145288123753762</v>
      </c>
      <c r="K1100" s="302">
        <v>1.9233979647649737</v>
      </c>
      <c r="L1100" s="302">
        <f t="shared" si="402"/>
        <v>12.068686088518735</v>
      </c>
      <c r="M1100" s="236"/>
      <c r="N1100" s="236"/>
    </row>
    <row r="1101" spans="1:14" x14ac:dyDescent="0.2">
      <c r="A1101" s="237" t="str">
        <f>name!E$8</f>
        <v>Skilled trades occupations</v>
      </c>
      <c r="B1101" s="302">
        <v>0.18775546291644507</v>
      </c>
      <c r="C1101" s="302">
        <v>0.46997139811233579</v>
      </c>
      <c r="D1101" s="302">
        <f t="shared" si="400"/>
        <v>0.65772686102878086</v>
      </c>
      <c r="E1101" s="303"/>
      <c r="F1101" s="302">
        <v>0.20612460573635691</v>
      </c>
      <c r="G1101" s="302">
        <v>0.31329326684886311</v>
      </c>
      <c r="H1101" s="302">
        <f t="shared" si="401"/>
        <v>0.51941787258521999</v>
      </c>
      <c r="I1101" s="303"/>
      <c r="J1101" s="302">
        <v>0.50364938443475837</v>
      </c>
      <c r="K1101" s="302">
        <v>0.2672024123984148</v>
      </c>
      <c r="L1101" s="302">
        <f t="shared" si="402"/>
        <v>0.77085179683317318</v>
      </c>
      <c r="M1101" s="236"/>
      <c r="N1101" s="236"/>
    </row>
    <row r="1102" spans="1:14" x14ac:dyDescent="0.2">
      <c r="A1102" s="237" t="str">
        <f>name!E$9</f>
        <v>Caring, leisure and other service occupations</v>
      </c>
      <c r="B1102" s="302">
        <v>3.7051794274994694</v>
      </c>
      <c r="C1102" s="302">
        <v>1.0566130529117213</v>
      </c>
      <c r="D1102" s="302">
        <f t="shared" si="400"/>
        <v>4.7617924804111906</v>
      </c>
      <c r="E1102" s="303"/>
      <c r="F1102" s="302">
        <v>3.6005153365837224</v>
      </c>
      <c r="G1102" s="302">
        <v>1.0171226824791029</v>
      </c>
      <c r="H1102" s="302">
        <f t="shared" si="401"/>
        <v>4.6176380190628254</v>
      </c>
      <c r="I1102" s="303"/>
      <c r="J1102" s="302">
        <v>4.4167751842521383</v>
      </c>
      <c r="K1102" s="302">
        <v>1.1155213702593256</v>
      </c>
      <c r="L1102" s="302">
        <f t="shared" si="402"/>
        <v>5.532296554511464</v>
      </c>
      <c r="M1102" s="236"/>
      <c r="N1102" s="236"/>
    </row>
    <row r="1103" spans="1:14" x14ac:dyDescent="0.2">
      <c r="A1103" s="237" t="str">
        <f>name!E$10</f>
        <v>Sales and customer service occupations</v>
      </c>
      <c r="B1103" s="302">
        <v>1.322228123177104</v>
      </c>
      <c r="C1103" s="302">
        <v>0.37492794578993327</v>
      </c>
      <c r="D1103" s="302">
        <f t="shared" si="400"/>
        <v>1.6971560689670373</v>
      </c>
      <c r="E1103" s="303"/>
      <c r="F1103" s="302">
        <v>1.3448305418043913</v>
      </c>
      <c r="G1103" s="302">
        <v>0.33122551109134918</v>
      </c>
      <c r="H1103" s="302">
        <f t="shared" si="401"/>
        <v>1.6760560528957404</v>
      </c>
      <c r="I1103" s="303"/>
      <c r="J1103" s="302">
        <v>1.7099058734683632</v>
      </c>
      <c r="K1103" s="302">
        <v>0.44747503412143602</v>
      </c>
      <c r="L1103" s="302">
        <f t="shared" si="402"/>
        <v>2.1573809075897992</v>
      </c>
      <c r="M1103" s="236"/>
      <c r="N1103" s="236"/>
    </row>
    <row r="1104" spans="1:14" x14ac:dyDescent="0.2">
      <c r="A1104" s="237" t="str">
        <f>name!E$11</f>
        <v>Process, plant and machine operatives</v>
      </c>
      <c r="B1104" s="302">
        <v>0.17566076362225522</v>
      </c>
      <c r="C1104" s="302">
        <v>0.21624781469843135</v>
      </c>
      <c r="D1104" s="302">
        <f t="shared" si="400"/>
        <v>0.3919085783206866</v>
      </c>
      <c r="E1104" s="303"/>
      <c r="F1104" s="302">
        <v>0.15182623035821161</v>
      </c>
      <c r="G1104" s="302">
        <v>0.16320227901846707</v>
      </c>
      <c r="H1104" s="302">
        <f t="shared" si="401"/>
        <v>0.3150285093766787</v>
      </c>
      <c r="I1104" s="303"/>
      <c r="J1104" s="302">
        <v>0.33645447194828099</v>
      </c>
      <c r="K1104" s="302">
        <v>0.14198869740432268</v>
      </c>
      <c r="L1104" s="302">
        <f t="shared" si="402"/>
        <v>0.47844316935260367</v>
      </c>
      <c r="M1104" s="236"/>
      <c r="N1104" s="236"/>
    </row>
    <row r="1105" spans="1:14" x14ac:dyDescent="0.2">
      <c r="A1105" s="237" t="str">
        <f>name!E$12</f>
        <v>Elementary occupations</v>
      </c>
      <c r="B1105" s="302">
        <v>1.4034477572008028</v>
      </c>
      <c r="C1105" s="302">
        <v>1.2360985428032327</v>
      </c>
      <c r="D1105" s="302">
        <f t="shared" si="400"/>
        <v>2.6395463000040356</v>
      </c>
      <c r="E1105" s="303"/>
      <c r="F1105" s="302">
        <v>1.4565622867878274</v>
      </c>
      <c r="G1105" s="302">
        <v>0.93471354984227295</v>
      </c>
      <c r="H1105" s="302">
        <f t="shared" si="401"/>
        <v>2.3912758366301006</v>
      </c>
      <c r="I1105" s="303"/>
      <c r="J1105" s="302">
        <v>1.89219632812147</v>
      </c>
      <c r="K1105" s="302">
        <v>0.87583344537456154</v>
      </c>
      <c r="L1105" s="302">
        <f t="shared" si="402"/>
        <v>2.7680297734960315</v>
      </c>
      <c r="M1105" s="236"/>
      <c r="N1105" s="236"/>
    </row>
    <row r="1106" spans="1:14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  <c r="N1106" s="236"/>
    </row>
    <row r="1107" spans="1:14" x14ac:dyDescent="0.2">
      <c r="A1107" s="244" t="s">
        <v>32</v>
      </c>
      <c r="B1107" s="311">
        <f>SUM(B1097:B1105)</f>
        <v>43.595999999159083</v>
      </c>
      <c r="C1107" s="311">
        <f t="shared" ref="C1107:D1107" si="403">SUM(C1097:C1105)</f>
        <v>32.070000000177693</v>
      </c>
      <c r="D1107" s="311">
        <f t="shared" si="403"/>
        <v>75.665999999336776</v>
      </c>
      <c r="E1107" s="311"/>
      <c r="F1107" s="311">
        <f t="shared" ref="F1107:H1107" si="404">SUM(F1097:F1105)</f>
        <v>47.478999999333787</v>
      </c>
      <c r="G1107" s="311">
        <f t="shared" si="404"/>
        <v>32.744999999617328</v>
      </c>
      <c r="H1107" s="311">
        <f t="shared" si="404"/>
        <v>80.223999998951115</v>
      </c>
      <c r="I1107" s="311"/>
      <c r="J1107" s="311">
        <f t="shared" ref="J1107:L1107" si="405">SUM(J1097:J1105)</f>
        <v>55.564000000392312</v>
      </c>
      <c r="K1107" s="311">
        <f t="shared" si="405"/>
        <v>37.188999999671594</v>
      </c>
      <c r="L1107" s="311">
        <f t="shared" si="405"/>
        <v>92.753000000063878</v>
      </c>
      <c r="M1107" s="236"/>
      <c r="N1107" s="236"/>
    </row>
    <row r="1108" spans="1:14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  <c r="N1108" s="236"/>
    </row>
    <row r="1109" spans="1:14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56" t="s">
        <v>35</v>
      </c>
      <c r="M1109" s="236"/>
      <c r="N1109" s="236"/>
    </row>
    <row r="1110" spans="1:14" x14ac:dyDescent="0.2">
      <c r="A1110" s="242"/>
      <c r="B1110" s="250"/>
      <c r="C1110" s="250"/>
      <c r="D1110" s="250"/>
      <c r="E1110" s="250"/>
      <c r="F1110" s="250"/>
      <c r="G1110" s="250"/>
      <c r="H1110" s="250"/>
      <c r="I1110" s="250"/>
      <c r="J1110" s="250"/>
      <c r="K1110" s="250"/>
      <c r="L1110" s="236"/>
      <c r="M1110" s="236"/>
      <c r="N1110" s="236"/>
    </row>
    <row r="1111" spans="1:14" x14ac:dyDescent="0.2">
      <c r="A1111" s="241" t="str">
        <f>name!A68</f>
        <v xml:space="preserve">Education </v>
      </c>
      <c r="B1111" s="372">
        <f>B$6</f>
        <v>2015</v>
      </c>
      <c r="C1111" s="372"/>
      <c r="D1111" s="372"/>
      <c r="E1111" s="253"/>
      <c r="F1111" s="372">
        <f>F$6</f>
        <v>2020</v>
      </c>
      <c r="G1111" s="372"/>
      <c r="H1111" s="372"/>
      <c r="I1111" s="253"/>
      <c r="J1111" s="372">
        <f>J$6</f>
        <v>2035</v>
      </c>
      <c r="K1111" s="372"/>
      <c r="L1111" s="372"/>
      <c r="M1111" s="236"/>
      <c r="N1111" s="236"/>
    </row>
    <row r="1112" spans="1:14" x14ac:dyDescent="0.2">
      <c r="A1112" s="254"/>
      <c r="B1112" s="255" t="s">
        <v>352</v>
      </c>
      <c r="C1112" s="255" t="s">
        <v>353</v>
      </c>
      <c r="D1112" s="255" t="s">
        <v>32</v>
      </c>
      <c r="E1112" s="255"/>
      <c r="F1112" s="255" t="s">
        <v>352</v>
      </c>
      <c r="G1112" s="255" t="s">
        <v>353</v>
      </c>
      <c r="H1112" s="255" t="s">
        <v>32</v>
      </c>
      <c r="I1112" s="255"/>
      <c r="J1112" s="255" t="s">
        <v>352</v>
      </c>
      <c r="K1112" s="255" t="s">
        <v>353</v>
      </c>
      <c r="L1112" s="255" t="s">
        <v>32</v>
      </c>
      <c r="M1112" s="236"/>
      <c r="N1112" s="236"/>
    </row>
    <row r="1113" spans="1:14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  <c r="N1113" s="236"/>
    </row>
    <row r="1114" spans="1:14" x14ac:dyDescent="0.2">
      <c r="A1114" s="237" t="str">
        <f>name!E$4</f>
        <v>Managers, directors and senior officials</v>
      </c>
      <c r="B1114" s="302">
        <v>2.8430747406889441</v>
      </c>
      <c r="C1114" s="302">
        <v>2.6508545775150392</v>
      </c>
      <c r="D1114" s="302">
        <f>SUM(B1114:C1114)</f>
        <v>5.4939293182039837</v>
      </c>
      <c r="E1114" s="303"/>
      <c r="F1114" s="302">
        <v>3.7899118509155145</v>
      </c>
      <c r="G1114" s="302">
        <v>2.6338142965573605</v>
      </c>
      <c r="H1114" s="302">
        <f>SUM(F1114:G1114)</f>
        <v>6.4237261474728751</v>
      </c>
      <c r="I1114" s="303"/>
      <c r="J1114" s="302">
        <v>4.3055373429525581</v>
      </c>
      <c r="K1114" s="302">
        <v>2.5333267217059801</v>
      </c>
      <c r="L1114" s="302">
        <f>SUM(J1114:K1114)</f>
        <v>6.8388640646585381</v>
      </c>
      <c r="M1114" s="236"/>
      <c r="N1114" s="236"/>
    </row>
    <row r="1115" spans="1:14" x14ac:dyDescent="0.2">
      <c r="A1115" s="237" t="str">
        <f>name!E$5</f>
        <v>Professional occupations</v>
      </c>
      <c r="B1115" s="302">
        <v>48.430257846530786</v>
      </c>
      <c r="C1115" s="302">
        <v>36.017199342423545</v>
      </c>
      <c r="D1115" s="302">
        <f t="shared" ref="D1115:D1122" si="406">SUM(B1115:C1115)</f>
        <v>84.447457188954331</v>
      </c>
      <c r="E1115" s="303"/>
      <c r="F1115" s="302">
        <v>57.287432875231183</v>
      </c>
      <c r="G1115" s="302">
        <v>36.878044169113309</v>
      </c>
      <c r="H1115" s="302">
        <f t="shared" ref="H1115:H1122" si="407">SUM(F1115:G1115)</f>
        <v>94.165477044344499</v>
      </c>
      <c r="I1115" s="303"/>
      <c r="J1115" s="302">
        <v>60.141430432272337</v>
      </c>
      <c r="K1115" s="302">
        <v>37.303490771820151</v>
      </c>
      <c r="L1115" s="302">
        <f t="shared" ref="L1115:L1122" si="408">SUM(J1115:K1115)</f>
        <v>97.444921204092481</v>
      </c>
      <c r="M1115" s="236"/>
      <c r="N1115" s="236"/>
    </row>
    <row r="1116" spans="1:14" x14ac:dyDescent="0.2">
      <c r="A1116" s="237" t="str">
        <f>name!E$6</f>
        <v>Associate professional occupations</v>
      </c>
      <c r="B1116" s="302">
        <v>10.511868252255828</v>
      </c>
      <c r="C1116" s="302">
        <v>6.1199735226525585</v>
      </c>
      <c r="D1116" s="302">
        <f t="shared" si="406"/>
        <v>16.631841774908388</v>
      </c>
      <c r="E1116" s="303"/>
      <c r="F1116" s="302">
        <v>12.119415331604923</v>
      </c>
      <c r="G1116" s="302">
        <v>6.239426125416724</v>
      </c>
      <c r="H1116" s="302">
        <f t="shared" si="407"/>
        <v>18.358841457021647</v>
      </c>
      <c r="I1116" s="303"/>
      <c r="J1116" s="302">
        <v>12.687127526736226</v>
      </c>
      <c r="K1116" s="302">
        <v>4.6096780869029006</v>
      </c>
      <c r="L1116" s="302">
        <f t="shared" si="408"/>
        <v>17.296805613639126</v>
      </c>
      <c r="M1116" s="236"/>
      <c r="N1116" s="236"/>
    </row>
    <row r="1117" spans="1:14" x14ac:dyDescent="0.2">
      <c r="A1117" s="237" t="str">
        <f>name!E$7</f>
        <v>Administrative and secretarial occupations</v>
      </c>
      <c r="B1117" s="302">
        <v>11.319045977173896</v>
      </c>
      <c r="C1117" s="302">
        <v>1.4608370086316611</v>
      </c>
      <c r="D1117" s="302">
        <f t="shared" si="406"/>
        <v>12.779882985805557</v>
      </c>
      <c r="E1117" s="303"/>
      <c r="F1117" s="302">
        <v>10.489685215648464</v>
      </c>
      <c r="G1117" s="302">
        <v>1.2842537791449451</v>
      </c>
      <c r="H1117" s="302">
        <f t="shared" si="407"/>
        <v>11.77393899479341</v>
      </c>
      <c r="I1117" s="303"/>
      <c r="J1117" s="302">
        <v>5.0640442720538239</v>
      </c>
      <c r="K1117" s="302">
        <v>1.009863971750917</v>
      </c>
      <c r="L1117" s="302">
        <f t="shared" si="408"/>
        <v>6.0739082438047411</v>
      </c>
      <c r="M1117" s="236"/>
      <c r="N1117" s="236"/>
    </row>
    <row r="1118" spans="1:14" x14ac:dyDescent="0.2">
      <c r="A1118" s="237" t="str">
        <f>name!E$8</f>
        <v>Skilled trades occupations</v>
      </c>
      <c r="B1118" s="302">
        <v>1.7651142683180405</v>
      </c>
      <c r="C1118" s="302">
        <v>1.2678387558861433</v>
      </c>
      <c r="D1118" s="302">
        <f t="shared" si="406"/>
        <v>3.0329530242041836</v>
      </c>
      <c r="E1118" s="303"/>
      <c r="F1118" s="302">
        <v>1.5016681660600888</v>
      </c>
      <c r="G1118" s="302">
        <v>0.79181967909681494</v>
      </c>
      <c r="H1118" s="302">
        <f t="shared" si="407"/>
        <v>2.2934878451569038</v>
      </c>
      <c r="I1118" s="303"/>
      <c r="J1118" s="302">
        <v>1.0081991916335136</v>
      </c>
      <c r="K1118" s="302">
        <v>0.54387228107415719</v>
      </c>
      <c r="L1118" s="302">
        <f t="shared" si="408"/>
        <v>1.5520714727076708</v>
      </c>
      <c r="M1118" s="236"/>
      <c r="N1118" s="236"/>
    </row>
    <row r="1119" spans="1:14" x14ac:dyDescent="0.2">
      <c r="A1119" s="237" t="str">
        <f>name!E$9</f>
        <v>Caring, leisure and other service occupations</v>
      </c>
      <c r="B1119" s="302">
        <v>56.067856911579682</v>
      </c>
      <c r="C1119" s="302">
        <v>6.8302397686177132</v>
      </c>
      <c r="D1119" s="302">
        <f t="shared" si="406"/>
        <v>62.898096680197398</v>
      </c>
      <c r="E1119" s="303"/>
      <c r="F1119" s="302">
        <v>53.769649275349231</v>
      </c>
      <c r="G1119" s="302">
        <v>6.6053305856295168</v>
      </c>
      <c r="H1119" s="302">
        <f t="shared" si="407"/>
        <v>60.374979860978748</v>
      </c>
      <c r="I1119" s="303"/>
      <c r="J1119" s="302">
        <v>57.235626790884226</v>
      </c>
      <c r="K1119" s="302">
        <v>7.2044652977243233</v>
      </c>
      <c r="L1119" s="302">
        <f t="shared" si="408"/>
        <v>64.440092088608552</v>
      </c>
      <c r="M1119" s="236"/>
      <c r="N1119" s="236"/>
    </row>
    <row r="1120" spans="1:14" x14ac:dyDescent="0.2">
      <c r="A1120" s="237" t="str">
        <f>name!E$10</f>
        <v>Sales and customer service occupations</v>
      </c>
      <c r="B1120" s="302">
        <v>0.93976126490544432</v>
      </c>
      <c r="C1120" s="302">
        <v>0.35207453302930836</v>
      </c>
      <c r="D1120" s="302">
        <f t="shared" si="406"/>
        <v>1.2918357979347528</v>
      </c>
      <c r="E1120" s="303"/>
      <c r="F1120" s="302">
        <v>0.89650790006671355</v>
      </c>
      <c r="G1120" s="302">
        <v>0.29895809463697998</v>
      </c>
      <c r="H1120" s="302">
        <f t="shared" si="407"/>
        <v>1.1954659947036936</v>
      </c>
      <c r="I1120" s="303"/>
      <c r="J1120" s="302">
        <v>0.87930852575423024</v>
      </c>
      <c r="K1120" s="302">
        <v>0.30973847221151268</v>
      </c>
      <c r="L1120" s="302">
        <f t="shared" si="408"/>
        <v>1.189046997965743</v>
      </c>
      <c r="M1120" s="236"/>
      <c r="N1120" s="236"/>
    </row>
    <row r="1121" spans="1:14" x14ac:dyDescent="0.2">
      <c r="A1121" s="237" t="str">
        <f>name!E$11</f>
        <v>Process, plant and machine operatives</v>
      </c>
      <c r="B1121" s="302">
        <v>0.83854798758596727</v>
      </c>
      <c r="C1121" s="302">
        <v>2.3254663775035698</v>
      </c>
      <c r="D1121" s="302">
        <f t="shared" si="406"/>
        <v>3.1640143650895372</v>
      </c>
      <c r="E1121" s="303"/>
      <c r="F1121" s="302">
        <v>1.0317878392638449</v>
      </c>
      <c r="G1121" s="302">
        <v>2.5220467992003757</v>
      </c>
      <c r="H1121" s="302">
        <f t="shared" si="407"/>
        <v>3.5538346384642203</v>
      </c>
      <c r="I1121" s="303"/>
      <c r="J1121" s="302">
        <v>0.91676968803587811</v>
      </c>
      <c r="K1121" s="302">
        <v>2.6334940916213787</v>
      </c>
      <c r="L1121" s="302">
        <f t="shared" si="408"/>
        <v>3.5502637796572567</v>
      </c>
      <c r="M1121" s="236"/>
      <c r="N1121" s="236"/>
    </row>
    <row r="1122" spans="1:14" x14ac:dyDescent="0.2">
      <c r="A1122" s="237" t="str">
        <f>name!E$12</f>
        <v>Elementary occupations</v>
      </c>
      <c r="B1122" s="302">
        <v>11.92147274734636</v>
      </c>
      <c r="C1122" s="302">
        <v>2.71351611695439</v>
      </c>
      <c r="D1122" s="302">
        <f t="shared" si="406"/>
        <v>14.63498886430075</v>
      </c>
      <c r="E1122" s="303"/>
      <c r="F1122" s="302">
        <v>9.6849415426619849</v>
      </c>
      <c r="G1122" s="302">
        <v>1.9693064716747553</v>
      </c>
      <c r="H1122" s="302">
        <f t="shared" si="407"/>
        <v>11.654248014336741</v>
      </c>
      <c r="I1122" s="303"/>
      <c r="J1122" s="302">
        <v>5.9589562318431231</v>
      </c>
      <c r="K1122" s="302">
        <v>1.9800703044448946</v>
      </c>
      <c r="L1122" s="302">
        <f t="shared" si="408"/>
        <v>7.9390265362880177</v>
      </c>
      <c r="M1122" s="236"/>
      <c r="N1122" s="236"/>
    </row>
    <row r="1123" spans="1:14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  <c r="N1123" s="236"/>
    </row>
    <row r="1124" spans="1:14" x14ac:dyDescent="0.2">
      <c r="A1124" s="244" t="s">
        <v>32</v>
      </c>
      <c r="B1124" s="311">
        <f>SUM(B1114:B1122)</f>
        <v>144.63699999638499</v>
      </c>
      <c r="C1124" s="311">
        <f t="shared" ref="C1124:D1124" si="409">SUM(C1114:C1122)</f>
        <v>59.738000003213934</v>
      </c>
      <c r="D1124" s="311">
        <f t="shared" si="409"/>
        <v>204.37499999959891</v>
      </c>
      <c r="E1124" s="311"/>
      <c r="F1124" s="311">
        <f t="shared" ref="F1124:H1124" si="410">SUM(F1114:F1122)</f>
        <v>150.57099999680196</v>
      </c>
      <c r="G1124" s="311">
        <f t="shared" si="410"/>
        <v>59.22300000047079</v>
      </c>
      <c r="H1124" s="311">
        <f t="shared" si="410"/>
        <v>209.79399999727272</v>
      </c>
      <c r="I1124" s="311"/>
      <c r="J1124" s="311">
        <f t="shared" ref="J1124:L1124" si="411">SUM(J1114:J1122)</f>
        <v>148.19700000216591</v>
      </c>
      <c r="K1124" s="311">
        <f t="shared" si="411"/>
        <v>58.127999999256225</v>
      </c>
      <c r="L1124" s="311">
        <f t="shared" si="411"/>
        <v>206.3250000014221</v>
      </c>
      <c r="M1124" s="236"/>
      <c r="N1124" s="236"/>
    </row>
    <row r="1125" spans="1:14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  <c r="N1125" s="236"/>
    </row>
    <row r="1126" spans="1:14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56" t="s">
        <v>35</v>
      </c>
      <c r="M1126" s="236"/>
      <c r="N1126" s="236"/>
    </row>
    <row r="1127" spans="1:14" x14ac:dyDescent="0.2">
      <c r="A1127" s="242"/>
      <c r="B1127" s="250"/>
      <c r="C1127" s="250"/>
      <c r="D1127" s="250"/>
      <c r="E1127" s="250"/>
      <c r="F1127" s="250"/>
      <c r="G1127" s="250"/>
      <c r="H1127" s="250"/>
      <c r="I1127" s="250"/>
      <c r="J1127" s="250"/>
      <c r="K1127" s="250"/>
      <c r="L1127" s="236"/>
      <c r="M1127" s="236"/>
      <c r="N1127" s="236"/>
    </row>
    <row r="1128" spans="1:14" x14ac:dyDescent="0.2">
      <c r="A1128" s="241" t="str">
        <f>name!A69</f>
        <v>Health</v>
      </c>
      <c r="B1128" s="372">
        <f>B$6</f>
        <v>2015</v>
      </c>
      <c r="C1128" s="372"/>
      <c r="D1128" s="372"/>
      <c r="E1128" s="253"/>
      <c r="F1128" s="372">
        <f>F$6</f>
        <v>2020</v>
      </c>
      <c r="G1128" s="372"/>
      <c r="H1128" s="372"/>
      <c r="I1128" s="253"/>
      <c r="J1128" s="372">
        <f>J$6</f>
        <v>2035</v>
      </c>
      <c r="K1128" s="372"/>
      <c r="L1128" s="372"/>
      <c r="M1128" s="236"/>
      <c r="N1128" s="236"/>
    </row>
    <row r="1129" spans="1:14" x14ac:dyDescent="0.2">
      <c r="A1129" s="254"/>
      <c r="B1129" s="255" t="s">
        <v>352</v>
      </c>
      <c r="C1129" s="255" t="s">
        <v>353</v>
      </c>
      <c r="D1129" s="255" t="s">
        <v>32</v>
      </c>
      <c r="E1129" s="255"/>
      <c r="F1129" s="255" t="s">
        <v>352</v>
      </c>
      <c r="G1129" s="255" t="s">
        <v>353</v>
      </c>
      <c r="H1129" s="255" t="s">
        <v>32</v>
      </c>
      <c r="I1129" s="255"/>
      <c r="J1129" s="255" t="s">
        <v>352</v>
      </c>
      <c r="K1129" s="255" t="s">
        <v>353</v>
      </c>
      <c r="L1129" s="255" t="s">
        <v>32</v>
      </c>
      <c r="M1129" s="236"/>
      <c r="N1129" s="236"/>
    </row>
    <row r="1130" spans="1:14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  <c r="N1130" s="236"/>
    </row>
    <row r="1131" spans="1:14" x14ac:dyDescent="0.2">
      <c r="A1131" s="237" t="str">
        <f>name!E$4</f>
        <v>Managers, directors and senior officials</v>
      </c>
      <c r="B1131" s="302">
        <v>4.2399099636188708</v>
      </c>
      <c r="C1131" s="302">
        <v>2.322903510828692</v>
      </c>
      <c r="D1131" s="302">
        <f>SUM(B1131:C1131)</f>
        <v>6.5628134744475624</v>
      </c>
      <c r="E1131" s="303"/>
      <c r="F1131" s="302">
        <v>5.1849582867081718</v>
      </c>
      <c r="G1131" s="302">
        <v>2.4537438569702923</v>
      </c>
      <c r="H1131" s="302">
        <f>SUM(F1131:G1131)</f>
        <v>7.6387021436784641</v>
      </c>
      <c r="I1131" s="303"/>
      <c r="J1131" s="302">
        <v>6.4054878940175497</v>
      </c>
      <c r="K1131" s="302">
        <v>2.3201094434515963</v>
      </c>
      <c r="L1131" s="302">
        <f>SUM(J1131:K1131)</f>
        <v>8.7255973374691465</v>
      </c>
      <c r="M1131" s="236"/>
      <c r="N1131" s="236"/>
    </row>
    <row r="1132" spans="1:14" x14ac:dyDescent="0.2">
      <c r="A1132" s="237" t="str">
        <f>name!E$5</f>
        <v>Professional occupations</v>
      </c>
      <c r="B1132" s="302">
        <v>33.090362741018687</v>
      </c>
      <c r="C1132" s="302">
        <v>11.75374329619345</v>
      </c>
      <c r="D1132" s="302">
        <f t="shared" ref="D1132:D1139" si="412">SUM(B1132:C1132)</f>
        <v>44.844106037212136</v>
      </c>
      <c r="E1132" s="303"/>
      <c r="F1132" s="302">
        <v>38.24967917530082</v>
      </c>
      <c r="G1132" s="302">
        <v>13.653023356595329</v>
      </c>
      <c r="H1132" s="302">
        <f t="shared" ref="H1132:H1139" si="413">SUM(F1132:G1132)</f>
        <v>51.902702531896146</v>
      </c>
      <c r="I1132" s="303"/>
      <c r="J1132" s="302">
        <v>46.116881137408939</v>
      </c>
      <c r="K1132" s="302">
        <v>13.669818983200539</v>
      </c>
      <c r="L1132" s="302">
        <f t="shared" ref="L1132:L1139" si="414">SUM(J1132:K1132)</f>
        <v>59.786700120609481</v>
      </c>
      <c r="M1132" s="236"/>
      <c r="N1132" s="236"/>
    </row>
    <row r="1133" spans="1:14" x14ac:dyDescent="0.2">
      <c r="A1133" s="237" t="str">
        <f>name!E$6</f>
        <v>Associate professional occupations</v>
      </c>
      <c r="B1133" s="302">
        <v>15.050477977069066</v>
      </c>
      <c r="C1133" s="302">
        <v>4.8411123508959548</v>
      </c>
      <c r="D1133" s="302">
        <f t="shared" si="412"/>
        <v>19.891590327965019</v>
      </c>
      <c r="E1133" s="303"/>
      <c r="F1133" s="302">
        <v>17.192047376855605</v>
      </c>
      <c r="G1133" s="302">
        <v>5.3169498703827758</v>
      </c>
      <c r="H1133" s="302">
        <f t="shared" si="413"/>
        <v>22.50899724723838</v>
      </c>
      <c r="I1133" s="303"/>
      <c r="J1133" s="302">
        <v>19.302479128866345</v>
      </c>
      <c r="K1133" s="302">
        <v>4.6472965241924715</v>
      </c>
      <c r="L1133" s="302">
        <f t="shared" si="414"/>
        <v>23.949775653058815</v>
      </c>
      <c r="M1133" s="236"/>
      <c r="N1133" s="236"/>
    </row>
    <row r="1134" spans="1:14" x14ac:dyDescent="0.2">
      <c r="A1134" s="237" t="str">
        <f>name!E$7</f>
        <v>Administrative and secretarial occupations</v>
      </c>
      <c r="B1134" s="302">
        <v>11.841088149519575</v>
      </c>
      <c r="C1134" s="302">
        <v>1.6711359317496126</v>
      </c>
      <c r="D1134" s="302">
        <f t="shared" si="412"/>
        <v>13.512224081269187</v>
      </c>
      <c r="E1134" s="303"/>
      <c r="F1134" s="302">
        <v>10.79270470130357</v>
      </c>
      <c r="G1134" s="302">
        <v>1.6523421456547513</v>
      </c>
      <c r="H1134" s="302">
        <f t="shared" si="413"/>
        <v>12.445046846958322</v>
      </c>
      <c r="I1134" s="303"/>
      <c r="J1134" s="302">
        <v>6.1349994709792117</v>
      </c>
      <c r="K1134" s="302">
        <v>1.3701841146434544</v>
      </c>
      <c r="L1134" s="302">
        <f t="shared" si="414"/>
        <v>7.5051835856226656</v>
      </c>
      <c r="M1134" s="236"/>
      <c r="N1134" s="236"/>
    </row>
    <row r="1135" spans="1:14" x14ac:dyDescent="0.2">
      <c r="A1135" s="237" t="str">
        <f>name!E$8</f>
        <v>Skilled trades occupations</v>
      </c>
      <c r="B1135" s="302">
        <v>0.95453750310744168</v>
      </c>
      <c r="C1135" s="302">
        <v>0.90230438743052199</v>
      </c>
      <c r="D1135" s="302">
        <f t="shared" si="412"/>
        <v>1.8568418905379636</v>
      </c>
      <c r="E1135" s="303"/>
      <c r="F1135" s="302">
        <v>0.79808998987935775</v>
      </c>
      <c r="G1135" s="302">
        <v>0.6712782237152537</v>
      </c>
      <c r="H1135" s="302">
        <f t="shared" si="413"/>
        <v>1.4693682135946116</v>
      </c>
      <c r="I1135" s="303"/>
      <c r="J1135" s="302">
        <v>0.61193165344992928</v>
      </c>
      <c r="K1135" s="302">
        <v>0.46195806760806629</v>
      </c>
      <c r="L1135" s="302">
        <f t="shared" si="414"/>
        <v>1.0738897210579956</v>
      </c>
      <c r="M1135" s="236"/>
      <c r="N1135" s="236"/>
    </row>
    <row r="1136" spans="1:14" x14ac:dyDescent="0.2">
      <c r="A1136" s="237" t="str">
        <f>name!E$9</f>
        <v>Caring, leisure and other service occupations</v>
      </c>
      <c r="B1136" s="302">
        <v>55.385812473169594</v>
      </c>
      <c r="C1136" s="302">
        <v>11.213291907506562</v>
      </c>
      <c r="D1136" s="302">
        <f t="shared" si="412"/>
        <v>66.599104380676152</v>
      </c>
      <c r="E1136" s="303"/>
      <c r="F1136" s="302">
        <v>54.807752740252326</v>
      </c>
      <c r="G1136" s="302">
        <v>11.66231685629498</v>
      </c>
      <c r="H1136" s="302">
        <f t="shared" si="413"/>
        <v>66.470069596547305</v>
      </c>
      <c r="I1136" s="303"/>
      <c r="J1136" s="302">
        <v>60.96399389605557</v>
      </c>
      <c r="K1136" s="302">
        <v>16.814124957050876</v>
      </c>
      <c r="L1136" s="302">
        <f t="shared" si="414"/>
        <v>77.778118853106449</v>
      </c>
      <c r="M1136" s="236"/>
      <c r="N1136" s="236"/>
    </row>
    <row r="1137" spans="1:14" x14ac:dyDescent="0.2">
      <c r="A1137" s="237" t="str">
        <f>name!E$10</f>
        <v>Sales and customer service occupations</v>
      </c>
      <c r="B1137" s="302">
        <v>1.5708779499778394</v>
      </c>
      <c r="C1137" s="302">
        <v>0.41061929362673316</v>
      </c>
      <c r="D1137" s="302">
        <f t="shared" si="412"/>
        <v>1.9814972436045726</v>
      </c>
      <c r="E1137" s="303"/>
      <c r="F1137" s="302">
        <v>1.4514166855270332</v>
      </c>
      <c r="G1137" s="302">
        <v>0.35747893849151813</v>
      </c>
      <c r="H1137" s="302">
        <f t="shared" si="413"/>
        <v>1.8088956240185512</v>
      </c>
      <c r="I1137" s="303"/>
      <c r="J1137" s="302">
        <v>1.5914704613061623</v>
      </c>
      <c r="K1137" s="302">
        <v>0.33119897935713305</v>
      </c>
      <c r="L1137" s="302">
        <f t="shared" si="414"/>
        <v>1.9226694406632954</v>
      </c>
      <c r="M1137" s="236"/>
      <c r="N1137" s="236"/>
    </row>
    <row r="1138" spans="1:14" x14ac:dyDescent="0.2">
      <c r="A1138" s="237" t="str">
        <f>name!E$11</f>
        <v>Process, plant and machine operatives</v>
      </c>
      <c r="B1138" s="302">
        <v>0.47373076690819543</v>
      </c>
      <c r="C1138" s="302">
        <v>0.3432988924059141</v>
      </c>
      <c r="D1138" s="302">
        <f t="shared" si="412"/>
        <v>0.81702965931410954</v>
      </c>
      <c r="E1138" s="303"/>
      <c r="F1138" s="302">
        <v>0.38619551211952047</v>
      </c>
      <c r="G1138" s="302">
        <v>0.29473136729897698</v>
      </c>
      <c r="H1138" s="302">
        <f t="shared" si="413"/>
        <v>0.6809268794184975</v>
      </c>
      <c r="I1138" s="303"/>
      <c r="J1138" s="302">
        <v>0.20583315084062223</v>
      </c>
      <c r="K1138" s="302">
        <v>0.19958650252720958</v>
      </c>
      <c r="L1138" s="302">
        <f t="shared" si="414"/>
        <v>0.40541965336783181</v>
      </c>
      <c r="M1138" s="236"/>
      <c r="N1138" s="236"/>
    </row>
    <row r="1139" spans="1:14" x14ac:dyDescent="0.2">
      <c r="A1139" s="237" t="str">
        <f>name!E$12</f>
        <v>Elementary occupations</v>
      </c>
      <c r="B1139" s="302">
        <v>3.229202472877394</v>
      </c>
      <c r="C1139" s="302">
        <v>1.4465904301152679</v>
      </c>
      <c r="D1139" s="302">
        <f t="shared" si="412"/>
        <v>4.6757929029926615</v>
      </c>
      <c r="E1139" s="303"/>
      <c r="F1139" s="302">
        <v>2.4801555310999417</v>
      </c>
      <c r="G1139" s="302">
        <v>1.1511353842325733</v>
      </c>
      <c r="H1139" s="302">
        <f t="shared" si="413"/>
        <v>3.631290915332515</v>
      </c>
      <c r="I1139" s="303"/>
      <c r="J1139" s="302">
        <v>1.4779232070696677</v>
      </c>
      <c r="K1139" s="302">
        <v>0.88672242783039645</v>
      </c>
      <c r="L1139" s="302">
        <f t="shared" si="414"/>
        <v>2.3646456349000644</v>
      </c>
      <c r="M1139" s="236"/>
      <c r="N1139" s="236"/>
    </row>
    <row r="1140" spans="1:14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  <c r="N1140" s="236"/>
    </row>
    <row r="1141" spans="1:14" x14ac:dyDescent="0.2">
      <c r="A1141" s="244" t="s">
        <v>32</v>
      </c>
      <c r="B1141" s="311">
        <f>SUM(B1131:B1139)</f>
        <v>125.83599999726665</v>
      </c>
      <c r="C1141" s="311">
        <f t="shared" ref="C1141:D1141" si="415">SUM(C1131:C1139)</f>
        <v>34.9050000007527</v>
      </c>
      <c r="D1141" s="311">
        <f t="shared" si="415"/>
        <v>160.74099999801936</v>
      </c>
      <c r="E1141" s="311"/>
      <c r="F1141" s="311">
        <f t="shared" ref="F1141:H1141" si="416">SUM(F1131:F1139)</f>
        <v>131.34299999904633</v>
      </c>
      <c r="G1141" s="311">
        <f t="shared" si="416"/>
        <v>37.212999999636452</v>
      </c>
      <c r="H1141" s="311">
        <f t="shared" si="416"/>
        <v>168.55599999868281</v>
      </c>
      <c r="I1141" s="311"/>
      <c r="J1141" s="311">
        <f t="shared" ref="J1141:L1141" si="417">SUM(J1131:J1139)</f>
        <v>142.81099999999398</v>
      </c>
      <c r="K1141" s="311">
        <f t="shared" si="417"/>
        <v>40.700999999861743</v>
      </c>
      <c r="L1141" s="311">
        <f t="shared" si="417"/>
        <v>183.51199999985573</v>
      </c>
      <c r="M1141" s="236"/>
      <c r="N1141" s="236"/>
    </row>
    <row r="1142" spans="1:14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  <c r="N1142" s="236"/>
    </row>
    <row r="1143" spans="1:14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56" t="s">
        <v>35</v>
      </c>
      <c r="M1143" s="236"/>
      <c r="N1143" s="236"/>
    </row>
    <row r="1144" spans="1:14" x14ac:dyDescent="0.2">
      <c r="A1144" s="242"/>
      <c r="B1144" s="250"/>
      <c r="C1144" s="250"/>
      <c r="D1144" s="250"/>
      <c r="E1144" s="250"/>
      <c r="F1144" s="250"/>
      <c r="G1144" s="250"/>
      <c r="H1144" s="250"/>
      <c r="I1144" s="250"/>
      <c r="J1144" s="250"/>
      <c r="K1144" s="250"/>
      <c r="L1144" s="236"/>
      <c r="M1144" s="236"/>
      <c r="N1144" s="236"/>
    </row>
    <row r="1145" spans="1:14" x14ac:dyDescent="0.2">
      <c r="A1145" s="241" t="str">
        <f>name!A70</f>
        <v>Residential care</v>
      </c>
      <c r="B1145" s="372">
        <f>B$6</f>
        <v>2015</v>
      </c>
      <c r="C1145" s="372"/>
      <c r="D1145" s="372"/>
      <c r="E1145" s="253"/>
      <c r="F1145" s="372">
        <f>F$6</f>
        <v>2020</v>
      </c>
      <c r="G1145" s="372"/>
      <c r="H1145" s="372"/>
      <c r="I1145" s="253"/>
      <c r="J1145" s="372">
        <f>J$6</f>
        <v>2035</v>
      </c>
      <c r="K1145" s="372"/>
      <c r="L1145" s="372"/>
      <c r="M1145" s="236"/>
      <c r="N1145" s="236"/>
    </row>
    <row r="1146" spans="1:14" x14ac:dyDescent="0.2">
      <c r="A1146" s="254"/>
      <c r="B1146" s="255" t="s">
        <v>352</v>
      </c>
      <c r="C1146" s="255" t="s">
        <v>353</v>
      </c>
      <c r="D1146" s="255" t="s">
        <v>32</v>
      </c>
      <c r="E1146" s="255"/>
      <c r="F1146" s="255" t="s">
        <v>352</v>
      </c>
      <c r="G1146" s="255" t="s">
        <v>353</v>
      </c>
      <c r="H1146" s="255" t="s">
        <v>32</v>
      </c>
      <c r="I1146" s="255"/>
      <c r="J1146" s="255" t="s">
        <v>352</v>
      </c>
      <c r="K1146" s="255" t="s">
        <v>353</v>
      </c>
      <c r="L1146" s="255" t="s">
        <v>32</v>
      </c>
      <c r="M1146" s="236"/>
      <c r="N1146" s="236"/>
    </row>
    <row r="1147" spans="1:14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  <c r="N1147" s="236"/>
    </row>
    <row r="1148" spans="1:14" x14ac:dyDescent="0.2">
      <c r="A1148" s="237" t="str">
        <f>name!E$4</f>
        <v>Managers, directors and senior officials</v>
      </c>
      <c r="B1148" s="302">
        <v>1.3783768972043509</v>
      </c>
      <c r="C1148" s="302">
        <v>0.66556053761953649</v>
      </c>
      <c r="D1148" s="302">
        <f>SUM(B1148:C1148)</f>
        <v>2.0439374348238872</v>
      </c>
      <c r="E1148" s="303"/>
      <c r="F1148" s="302">
        <v>1.560002597359434</v>
      </c>
      <c r="G1148" s="302">
        <v>0.58892623443906023</v>
      </c>
      <c r="H1148" s="302">
        <f>SUM(F1148:G1148)</f>
        <v>2.1489288317984943</v>
      </c>
      <c r="I1148" s="303"/>
      <c r="J1148" s="302">
        <v>2.1858339618899394</v>
      </c>
      <c r="K1148" s="302">
        <v>0.62043004037803096</v>
      </c>
      <c r="L1148" s="302">
        <f>SUM(J1148:K1148)</f>
        <v>2.8062640022679703</v>
      </c>
      <c r="M1148" s="236"/>
      <c r="N1148" s="236"/>
    </row>
    <row r="1149" spans="1:14" x14ac:dyDescent="0.2">
      <c r="A1149" s="237" t="str">
        <f>name!E$5</f>
        <v>Professional occupations</v>
      </c>
      <c r="B1149" s="302">
        <v>10.641247262140238</v>
      </c>
      <c r="C1149" s="302">
        <v>3.2415294161224493</v>
      </c>
      <c r="D1149" s="302">
        <f t="shared" ref="D1149:D1156" si="418">SUM(B1149:C1149)</f>
        <v>13.882776678262687</v>
      </c>
      <c r="E1149" s="303"/>
      <c r="F1149" s="302">
        <v>11.387863250515899</v>
      </c>
      <c r="G1149" s="302">
        <v>3.4225716957899759</v>
      </c>
      <c r="H1149" s="302">
        <f t="shared" ref="H1149:H1156" si="419">SUM(F1149:G1149)</f>
        <v>14.810434946305875</v>
      </c>
      <c r="I1149" s="303"/>
      <c r="J1149" s="302">
        <v>15.472085367087335</v>
      </c>
      <c r="K1149" s="302">
        <v>3.8559026490288844</v>
      </c>
      <c r="L1149" s="302">
        <f t="shared" ref="L1149:L1156" si="420">SUM(J1149:K1149)</f>
        <v>19.327988016116219</v>
      </c>
      <c r="M1149" s="236"/>
      <c r="N1149" s="236"/>
    </row>
    <row r="1150" spans="1:14" x14ac:dyDescent="0.2">
      <c r="A1150" s="237" t="str">
        <f>name!E$6</f>
        <v>Associate professional occupations</v>
      </c>
      <c r="B1150" s="302">
        <v>4.9076930799893201</v>
      </c>
      <c r="C1150" s="302">
        <v>1.5246805445984573</v>
      </c>
      <c r="D1150" s="302">
        <f t="shared" si="418"/>
        <v>6.4323736245877772</v>
      </c>
      <c r="E1150" s="303"/>
      <c r="F1150" s="302">
        <v>5.0444804724551631</v>
      </c>
      <c r="G1150" s="302">
        <v>1.4885335547796346</v>
      </c>
      <c r="H1150" s="302">
        <f t="shared" si="419"/>
        <v>6.5330140272347972</v>
      </c>
      <c r="I1150" s="303"/>
      <c r="J1150" s="302">
        <v>6.3499847093448549</v>
      </c>
      <c r="K1150" s="302">
        <v>1.4251390078396797</v>
      </c>
      <c r="L1150" s="302">
        <f t="shared" si="420"/>
        <v>7.7751237171845347</v>
      </c>
      <c r="M1150" s="236"/>
      <c r="N1150" s="236"/>
    </row>
    <row r="1151" spans="1:14" x14ac:dyDescent="0.2">
      <c r="A1151" s="237" t="str">
        <f>name!E$7</f>
        <v>Administrative and secretarial occupations</v>
      </c>
      <c r="B1151" s="302">
        <v>3.8023997020358307</v>
      </c>
      <c r="C1151" s="302">
        <v>0.65426596467100584</v>
      </c>
      <c r="D1151" s="302">
        <f t="shared" si="418"/>
        <v>4.4566656667068365</v>
      </c>
      <c r="E1151" s="303"/>
      <c r="F1151" s="302">
        <v>3.0391103252241054</v>
      </c>
      <c r="G1151" s="302">
        <v>0.52759072246705951</v>
      </c>
      <c r="H1151" s="302">
        <f t="shared" si="419"/>
        <v>3.5667010476911649</v>
      </c>
      <c r="I1151" s="303"/>
      <c r="J1151" s="302">
        <v>2.0242291801840571</v>
      </c>
      <c r="K1151" s="302">
        <v>0.47846303375441607</v>
      </c>
      <c r="L1151" s="302">
        <f t="shared" si="420"/>
        <v>2.5026922139384733</v>
      </c>
      <c r="M1151" s="236"/>
      <c r="N1151" s="236"/>
    </row>
    <row r="1152" spans="1:14" x14ac:dyDescent="0.2">
      <c r="A1152" s="237" t="str">
        <f>name!E$8</f>
        <v>Skilled trades occupations</v>
      </c>
      <c r="B1152" s="302">
        <v>0.31881023211282328</v>
      </c>
      <c r="C1152" s="302">
        <v>0.27609873789606854</v>
      </c>
      <c r="D1152" s="302">
        <f t="shared" si="418"/>
        <v>0.59490897000889187</v>
      </c>
      <c r="E1152" s="303"/>
      <c r="F1152" s="302">
        <v>0.23254059334043067</v>
      </c>
      <c r="G1152" s="302">
        <v>0.15771390648417236</v>
      </c>
      <c r="H1152" s="302">
        <f t="shared" si="419"/>
        <v>0.39025449982460303</v>
      </c>
      <c r="I1152" s="303"/>
      <c r="J1152" s="302">
        <v>0.20023122355149856</v>
      </c>
      <c r="K1152" s="302">
        <v>0.11136803412334025</v>
      </c>
      <c r="L1152" s="302">
        <f t="shared" si="420"/>
        <v>0.31159925767483881</v>
      </c>
      <c r="M1152" s="236"/>
      <c r="N1152" s="236"/>
    </row>
    <row r="1153" spans="1:14" x14ac:dyDescent="0.2">
      <c r="A1153" s="237" t="str">
        <f>name!E$9</f>
        <v>Caring, leisure and other service occupations</v>
      </c>
      <c r="B1153" s="302">
        <v>17.884939378423219</v>
      </c>
      <c r="C1153" s="302">
        <v>3.8097227747401048</v>
      </c>
      <c r="D1153" s="302">
        <f t="shared" si="418"/>
        <v>21.694662153163325</v>
      </c>
      <c r="E1153" s="303"/>
      <c r="F1153" s="302">
        <v>15.871199616448147</v>
      </c>
      <c r="G1153" s="302">
        <v>3.4354670206472409</v>
      </c>
      <c r="H1153" s="302">
        <f t="shared" si="419"/>
        <v>19.306666637095386</v>
      </c>
      <c r="I1153" s="303"/>
      <c r="J1153" s="302">
        <v>19.47078050596096</v>
      </c>
      <c r="K1153" s="302">
        <v>5.310843362232526</v>
      </c>
      <c r="L1153" s="302">
        <f t="shared" si="420"/>
        <v>24.781623868193485</v>
      </c>
      <c r="M1153" s="236"/>
      <c r="N1153" s="236"/>
    </row>
    <row r="1154" spans="1:14" x14ac:dyDescent="0.2">
      <c r="A1154" s="237" t="str">
        <f>name!E$10</f>
        <v>Sales and customer service occupations</v>
      </c>
      <c r="B1154" s="302">
        <v>0.51288604996884168</v>
      </c>
      <c r="C1154" s="302">
        <v>0.15456854183194957</v>
      </c>
      <c r="D1154" s="302">
        <f t="shared" si="418"/>
        <v>0.66745459180079125</v>
      </c>
      <c r="E1154" s="303"/>
      <c r="F1154" s="302">
        <v>0.41718495922929205</v>
      </c>
      <c r="G1154" s="302">
        <v>0.10752441533167741</v>
      </c>
      <c r="H1154" s="302">
        <f t="shared" si="419"/>
        <v>0.52470937456096944</v>
      </c>
      <c r="I1154" s="303"/>
      <c r="J1154" s="302">
        <v>0.50953415803934821</v>
      </c>
      <c r="K1154" s="302">
        <v>0.11138292576896743</v>
      </c>
      <c r="L1154" s="302">
        <f t="shared" si="420"/>
        <v>0.62091708380831567</v>
      </c>
      <c r="M1154" s="236"/>
      <c r="N1154" s="236"/>
    </row>
    <row r="1155" spans="1:14" x14ac:dyDescent="0.2">
      <c r="A1155" s="237" t="str">
        <f>name!E$11</f>
        <v>Process, plant and machine operatives</v>
      </c>
      <c r="B1155" s="302">
        <v>0.15043324775681155</v>
      </c>
      <c r="C1155" s="302">
        <v>0.16771191729163423</v>
      </c>
      <c r="D1155" s="302">
        <f t="shared" si="418"/>
        <v>0.31814516504844581</v>
      </c>
      <c r="E1155" s="303"/>
      <c r="F1155" s="302">
        <v>0.10764230154137835</v>
      </c>
      <c r="G1155" s="302">
        <v>0.10974010919012014</v>
      </c>
      <c r="H1155" s="302">
        <f t="shared" si="419"/>
        <v>0.2173824107314985</v>
      </c>
      <c r="I1155" s="303"/>
      <c r="J1155" s="302">
        <v>6.0910068273206636E-2</v>
      </c>
      <c r="K1155" s="302">
        <v>7.8552650871272903E-2</v>
      </c>
      <c r="L1155" s="302">
        <f t="shared" si="420"/>
        <v>0.13946271914447955</v>
      </c>
      <c r="M1155" s="236"/>
      <c r="N1155" s="236"/>
    </row>
    <row r="1156" spans="1:14" x14ac:dyDescent="0.2">
      <c r="A1156" s="237" t="str">
        <f>name!E$12</f>
        <v>Elementary occupations</v>
      </c>
      <c r="B1156" s="302">
        <v>1.0662141493916013</v>
      </c>
      <c r="C1156" s="302">
        <v>0.65286156538195217</v>
      </c>
      <c r="D1156" s="302">
        <f t="shared" si="418"/>
        <v>1.7190757147735534</v>
      </c>
      <c r="E1156" s="303"/>
      <c r="F1156" s="302">
        <v>0.65897588370465654</v>
      </c>
      <c r="G1156" s="302">
        <v>0.39593234077139372</v>
      </c>
      <c r="H1156" s="302">
        <f t="shared" si="419"/>
        <v>1.0549082244760504</v>
      </c>
      <c r="I1156" s="303"/>
      <c r="J1156" s="302">
        <v>0.37441082568314332</v>
      </c>
      <c r="K1156" s="302">
        <v>0.32191829592974669</v>
      </c>
      <c r="L1156" s="302">
        <f t="shared" si="420"/>
        <v>0.69632912161288996</v>
      </c>
      <c r="M1156" s="236"/>
      <c r="N1156" s="236"/>
    </row>
    <row r="1157" spans="1:14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  <c r="N1157" s="236"/>
    </row>
    <row r="1158" spans="1:14" x14ac:dyDescent="0.2">
      <c r="A1158" s="244" t="s">
        <v>32</v>
      </c>
      <c r="B1158" s="311">
        <f>SUM(B1148:B1156)</f>
        <v>40.662999999023029</v>
      </c>
      <c r="C1158" s="311">
        <f t="shared" ref="C1158:D1158" si="421">SUM(C1148:C1156)</f>
        <v>11.147000000153158</v>
      </c>
      <c r="D1158" s="311">
        <f t="shared" si="421"/>
        <v>51.809999999176199</v>
      </c>
      <c r="E1158" s="311"/>
      <c r="F1158" s="311">
        <f t="shared" ref="F1158:H1158" si="422">SUM(F1148:F1156)</f>
        <v>38.318999999818502</v>
      </c>
      <c r="G1158" s="311">
        <f t="shared" si="422"/>
        <v>10.233999999900336</v>
      </c>
      <c r="H1158" s="311">
        <f t="shared" si="422"/>
        <v>48.552999999718843</v>
      </c>
      <c r="I1158" s="311"/>
      <c r="J1158" s="311">
        <f t="shared" ref="J1158:L1158" si="423">SUM(J1148:J1156)</f>
        <v>46.648000000014349</v>
      </c>
      <c r="K1158" s="311">
        <f t="shared" si="423"/>
        <v>12.313999999926866</v>
      </c>
      <c r="L1158" s="311">
        <f t="shared" si="423"/>
        <v>58.961999999941206</v>
      </c>
      <c r="M1158" s="236"/>
      <c r="N1158" s="236"/>
    </row>
    <row r="1159" spans="1:14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  <c r="N1159" s="236"/>
    </row>
    <row r="1160" spans="1:14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56" t="s">
        <v>35</v>
      </c>
      <c r="M1160" s="236"/>
      <c r="N1160" s="236"/>
    </row>
    <row r="1161" spans="1:14" x14ac:dyDescent="0.2">
      <c r="A1161" s="242"/>
      <c r="B1161" s="250"/>
      <c r="C1161" s="250"/>
      <c r="D1161" s="250"/>
      <c r="E1161" s="250"/>
      <c r="F1161" s="250"/>
      <c r="G1161" s="250"/>
      <c r="H1161" s="250"/>
      <c r="I1161" s="250"/>
      <c r="J1161" s="250"/>
      <c r="K1161" s="250"/>
      <c r="L1161" s="236"/>
      <c r="M1161" s="236"/>
      <c r="N1161" s="236"/>
    </row>
    <row r="1162" spans="1:14" x14ac:dyDescent="0.2">
      <c r="A1162" s="241" t="str">
        <f>name!A71</f>
        <v>Social work</v>
      </c>
      <c r="B1162" s="372">
        <f>B$6</f>
        <v>2015</v>
      </c>
      <c r="C1162" s="372"/>
      <c r="D1162" s="372"/>
      <c r="E1162" s="253"/>
      <c r="F1162" s="372">
        <f>F$6</f>
        <v>2020</v>
      </c>
      <c r="G1162" s="372"/>
      <c r="H1162" s="372"/>
      <c r="I1162" s="253"/>
      <c r="J1162" s="372">
        <f>J$6</f>
        <v>2035</v>
      </c>
      <c r="K1162" s="372"/>
      <c r="L1162" s="372"/>
      <c r="M1162" s="236"/>
      <c r="N1162" s="236"/>
    </row>
    <row r="1163" spans="1:14" x14ac:dyDescent="0.2">
      <c r="A1163" s="254"/>
      <c r="B1163" s="255" t="s">
        <v>352</v>
      </c>
      <c r="C1163" s="255" t="s">
        <v>353</v>
      </c>
      <c r="D1163" s="255" t="s">
        <v>32</v>
      </c>
      <c r="E1163" s="255"/>
      <c r="F1163" s="255" t="s">
        <v>352</v>
      </c>
      <c r="G1163" s="255" t="s">
        <v>353</v>
      </c>
      <c r="H1163" s="255" t="s">
        <v>32</v>
      </c>
      <c r="I1163" s="255"/>
      <c r="J1163" s="255" t="s">
        <v>352</v>
      </c>
      <c r="K1163" s="255" t="s">
        <v>353</v>
      </c>
      <c r="L1163" s="255" t="s">
        <v>32</v>
      </c>
      <c r="M1163" s="236"/>
      <c r="N1163" s="236"/>
    </row>
    <row r="1164" spans="1:14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  <c r="N1164" s="236"/>
    </row>
    <row r="1165" spans="1:14" x14ac:dyDescent="0.2">
      <c r="A1165" s="237" t="str">
        <f>name!E$4</f>
        <v>Managers, directors and senior officials</v>
      </c>
      <c r="B1165" s="302">
        <v>1.6407389576184441</v>
      </c>
      <c r="C1165" s="302">
        <v>0.63826181220275957</v>
      </c>
      <c r="D1165" s="302">
        <f>SUM(B1165:C1165)</f>
        <v>2.2790007698212036</v>
      </c>
      <c r="E1165" s="303"/>
      <c r="F1165" s="302">
        <v>1.9416675808784896</v>
      </c>
      <c r="G1165" s="302">
        <v>0.57535352975038978</v>
      </c>
      <c r="H1165" s="302">
        <f>SUM(F1165:G1165)</f>
        <v>2.5170211106288791</v>
      </c>
      <c r="I1165" s="303"/>
      <c r="J1165" s="302">
        <v>2.6803670899405838</v>
      </c>
      <c r="K1165" s="302">
        <v>0.60382887458496004</v>
      </c>
      <c r="L1165" s="302">
        <f>SUM(J1165:K1165)</f>
        <v>3.2841959645255439</v>
      </c>
      <c r="M1165" s="236"/>
      <c r="N1165" s="236"/>
    </row>
    <row r="1166" spans="1:14" x14ac:dyDescent="0.2">
      <c r="A1166" s="237" t="str">
        <f>name!E$5</f>
        <v>Professional occupations</v>
      </c>
      <c r="B1166" s="302">
        <v>12.963369438004786</v>
      </c>
      <c r="C1166" s="302">
        <v>3.127676125814693</v>
      </c>
      <c r="D1166" s="302">
        <f t="shared" ref="D1166:D1173" si="424">SUM(B1166:C1166)</f>
        <v>16.091045563819478</v>
      </c>
      <c r="E1166" s="303"/>
      <c r="F1166" s="302">
        <v>14.515065261977929</v>
      </c>
      <c r="G1166" s="302">
        <v>3.2752452970811095</v>
      </c>
      <c r="H1166" s="302">
        <f t="shared" ref="H1166:H1173" si="425">SUM(F1166:G1166)</f>
        <v>17.790310559059037</v>
      </c>
      <c r="I1166" s="303"/>
      <c r="J1166" s="302">
        <v>19.303527274901299</v>
      </c>
      <c r="K1166" s="302">
        <v>3.7098118804449238</v>
      </c>
      <c r="L1166" s="302">
        <f t="shared" ref="L1166:L1173" si="426">SUM(J1166:K1166)</f>
        <v>23.013339155346223</v>
      </c>
      <c r="M1166" s="236"/>
      <c r="N1166" s="236"/>
    </row>
    <row r="1167" spans="1:14" x14ac:dyDescent="0.2">
      <c r="A1167" s="237" t="str">
        <f>name!E$6</f>
        <v>Associate professional occupations</v>
      </c>
      <c r="B1167" s="302">
        <v>6.0181962807564968</v>
      </c>
      <c r="C1167" s="302">
        <v>1.4428154554694217</v>
      </c>
      <c r="D1167" s="302">
        <f t="shared" si="424"/>
        <v>7.4610117362259185</v>
      </c>
      <c r="E1167" s="303"/>
      <c r="F1167" s="302">
        <v>6.6128454591246264</v>
      </c>
      <c r="G1167" s="302">
        <v>1.4446428386927446</v>
      </c>
      <c r="H1167" s="302">
        <f t="shared" si="425"/>
        <v>8.0574882978173719</v>
      </c>
      <c r="I1167" s="303"/>
      <c r="J1167" s="302">
        <v>8.0885109979488856</v>
      </c>
      <c r="K1167" s="302">
        <v>1.4060213565314075</v>
      </c>
      <c r="L1167" s="302">
        <f t="shared" si="426"/>
        <v>9.4945323544802935</v>
      </c>
      <c r="M1167" s="236"/>
      <c r="N1167" s="236"/>
    </row>
    <row r="1168" spans="1:14" x14ac:dyDescent="0.2">
      <c r="A1168" s="237" t="str">
        <f>name!E$7</f>
        <v>Administrative and secretarial occupations</v>
      </c>
      <c r="B1168" s="302">
        <v>4.8183295611230008</v>
      </c>
      <c r="C1168" s="302">
        <v>0.63202479641212117</v>
      </c>
      <c r="D1168" s="302">
        <f t="shared" si="424"/>
        <v>5.4503543575351223</v>
      </c>
      <c r="E1168" s="303"/>
      <c r="F1168" s="302">
        <v>4.2250344072674437</v>
      </c>
      <c r="G1168" s="302">
        <v>0.55914398490570416</v>
      </c>
      <c r="H1168" s="302">
        <f t="shared" si="425"/>
        <v>4.784178392173148</v>
      </c>
      <c r="I1168" s="303"/>
      <c r="J1168" s="302">
        <v>2.5472773573785576</v>
      </c>
      <c r="K1168" s="302">
        <v>0.52073465357086568</v>
      </c>
      <c r="L1168" s="302">
        <f t="shared" si="426"/>
        <v>3.0680120109494231</v>
      </c>
      <c r="M1168" s="236"/>
      <c r="N1168" s="236"/>
    </row>
    <row r="1169" spans="1:14" x14ac:dyDescent="0.2">
      <c r="A1169" s="237" t="str">
        <f>name!E$8</f>
        <v>Skilled trades occupations</v>
      </c>
      <c r="B1169" s="302">
        <v>0.40214559403575351</v>
      </c>
      <c r="C1169" s="302">
        <v>0.27219037326114931</v>
      </c>
      <c r="D1169" s="302">
        <f t="shared" si="424"/>
        <v>0.67433596729690282</v>
      </c>
      <c r="E1169" s="303"/>
      <c r="F1169" s="302">
        <v>0.32513743974484227</v>
      </c>
      <c r="G1169" s="302">
        <v>0.16209203257979438</v>
      </c>
      <c r="H1169" s="302">
        <f t="shared" si="425"/>
        <v>0.48722947232463665</v>
      </c>
      <c r="I1169" s="303"/>
      <c r="J1169" s="302">
        <v>0.26425624318733909</v>
      </c>
      <c r="K1169" s="302">
        <v>0.12089589509580918</v>
      </c>
      <c r="L1169" s="302">
        <f t="shared" si="426"/>
        <v>0.38515213828314826</v>
      </c>
      <c r="M1169" s="236"/>
      <c r="N1169" s="236"/>
    </row>
    <row r="1170" spans="1:14" x14ac:dyDescent="0.2">
      <c r="A1170" s="237" t="str">
        <f>name!E$9</f>
        <v>Caring, leisure and other service occupations</v>
      </c>
      <c r="B1170" s="302">
        <v>22.331810671470699</v>
      </c>
      <c r="C1170" s="302">
        <v>3.5863805008509733</v>
      </c>
      <c r="D1170" s="302">
        <f t="shared" si="424"/>
        <v>25.91819117232167</v>
      </c>
      <c r="E1170" s="303"/>
      <c r="F1170" s="302">
        <v>21.284827392534432</v>
      </c>
      <c r="G1170" s="302">
        <v>3.4011836864990661</v>
      </c>
      <c r="H1170" s="302">
        <f t="shared" si="425"/>
        <v>24.686011079033499</v>
      </c>
      <c r="I1170" s="303"/>
      <c r="J1170" s="302">
        <v>25.514987387626043</v>
      </c>
      <c r="K1170" s="302">
        <v>5.207837012325311</v>
      </c>
      <c r="L1170" s="302">
        <f t="shared" si="426"/>
        <v>30.722824399951353</v>
      </c>
      <c r="M1170" s="236"/>
      <c r="N1170" s="236"/>
    </row>
    <row r="1171" spans="1:14" x14ac:dyDescent="0.2">
      <c r="A1171" s="237" t="str">
        <f>name!E$10</f>
        <v>Sales and customer service occupations</v>
      </c>
      <c r="B1171" s="302">
        <v>0.63570858794385643</v>
      </c>
      <c r="C1171" s="302">
        <v>0.15143703821721774</v>
      </c>
      <c r="D1171" s="302">
        <f t="shared" si="424"/>
        <v>0.7871456261610742</v>
      </c>
      <c r="E1171" s="303"/>
      <c r="F1171" s="302">
        <v>0.56306067910109969</v>
      </c>
      <c r="G1171" s="302">
        <v>0.11499928338166171</v>
      </c>
      <c r="H1171" s="302">
        <f t="shared" si="425"/>
        <v>0.67805996248276146</v>
      </c>
      <c r="I1171" s="303"/>
      <c r="J1171" s="302">
        <v>0.66717339087480287</v>
      </c>
      <c r="K1171" s="302">
        <v>0.12142455434118755</v>
      </c>
      <c r="L1171" s="302">
        <f t="shared" si="426"/>
        <v>0.78859794521599047</v>
      </c>
      <c r="M1171" s="236"/>
      <c r="N1171" s="236"/>
    </row>
    <row r="1172" spans="1:14" x14ac:dyDescent="0.2">
      <c r="A1172" s="237" t="str">
        <f>name!E$11</f>
        <v>Process, plant and machine operatives</v>
      </c>
      <c r="B1172" s="302">
        <v>0.19136508736854943</v>
      </c>
      <c r="C1172" s="302">
        <v>0.16873392859429481</v>
      </c>
      <c r="D1172" s="302">
        <f t="shared" si="424"/>
        <v>0.36009901596284422</v>
      </c>
      <c r="E1172" s="303"/>
      <c r="F1172" s="302">
        <v>0.15171401008257021</v>
      </c>
      <c r="G1172" s="302">
        <v>0.13288159383140671</v>
      </c>
      <c r="H1172" s="302">
        <f t="shared" si="425"/>
        <v>0.28459560391397692</v>
      </c>
      <c r="I1172" s="303"/>
      <c r="J1172" s="302">
        <v>8.6035502417381782E-2</v>
      </c>
      <c r="K1172" s="302">
        <v>9.6960587817335367E-2</v>
      </c>
      <c r="L1172" s="302">
        <f t="shared" si="426"/>
        <v>0.18299609023471713</v>
      </c>
      <c r="M1172" s="236"/>
      <c r="N1172" s="236"/>
    </row>
    <row r="1173" spans="1:14" x14ac:dyDescent="0.2">
      <c r="A1173" s="237" t="str">
        <f>name!E$12</f>
        <v>Elementary occupations</v>
      </c>
      <c r="B1173" s="302">
        <v>1.4183358205115089</v>
      </c>
      <c r="C1173" s="302">
        <v>0.64047996933561491</v>
      </c>
      <c r="D1173" s="302">
        <f t="shared" si="424"/>
        <v>2.0588157898471238</v>
      </c>
      <c r="E1173" s="303"/>
      <c r="F1173" s="302">
        <v>1.0526477689433884</v>
      </c>
      <c r="G1173" s="302">
        <v>0.4374577531962513</v>
      </c>
      <c r="H1173" s="302">
        <f t="shared" si="425"/>
        <v>1.4901055221396398</v>
      </c>
      <c r="I1173" s="303"/>
      <c r="J1173" s="302">
        <v>0.62486475572267286</v>
      </c>
      <c r="K1173" s="302">
        <v>0.35648518523392958</v>
      </c>
      <c r="L1173" s="302">
        <f t="shared" si="426"/>
        <v>0.98134994095660244</v>
      </c>
      <c r="M1173" s="236"/>
      <c r="N1173" s="236"/>
    </row>
    <row r="1174" spans="1:14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  <c r="N1174" s="236"/>
    </row>
    <row r="1175" spans="1:14" x14ac:dyDescent="0.2">
      <c r="A1175" s="244" t="s">
        <v>32</v>
      </c>
      <c r="B1175" s="311">
        <f>SUM(B1165:B1173)</f>
        <v>50.419999998833099</v>
      </c>
      <c r="C1175" s="311">
        <f t="shared" ref="C1175:D1175" si="427">SUM(C1165:C1173)</f>
        <v>10.660000000158247</v>
      </c>
      <c r="D1175" s="311">
        <f t="shared" si="427"/>
        <v>61.07999999899134</v>
      </c>
      <c r="E1175" s="311"/>
      <c r="F1175" s="311">
        <f t="shared" ref="F1175:H1175" si="428">SUM(F1165:F1173)</f>
        <v>50.671999999654822</v>
      </c>
      <c r="G1175" s="311">
        <f t="shared" si="428"/>
        <v>10.102999999918127</v>
      </c>
      <c r="H1175" s="311">
        <f t="shared" si="428"/>
        <v>60.774999999572955</v>
      </c>
      <c r="I1175" s="311"/>
      <c r="J1175" s="311">
        <f t="shared" ref="J1175:L1175" si="429">SUM(J1165:J1173)</f>
        <v>59.776999999997564</v>
      </c>
      <c r="K1175" s="311">
        <f t="shared" si="429"/>
        <v>12.143999999945729</v>
      </c>
      <c r="L1175" s="311">
        <f t="shared" si="429"/>
        <v>71.920999999943305</v>
      </c>
      <c r="M1175" s="236"/>
      <c r="N1175" s="236"/>
    </row>
    <row r="1176" spans="1:14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  <c r="N1176" s="236"/>
    </row>
    <row r="1177" spans="1:14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56" t="s">
        <v>35</v>
      </c>
      <c r="M1177" s="236"/>
      <c r="N1177" s="236"/>
    </row>
    <row r="1178" spans="1:14" x14ac:dyDescent="0.2">
      <c r="A1178" s="242"/>
      <c r="B1178" s="250"/>
      <c r="C1178" s="250"/>
      <c r="D1178" s="250"/>
      <c r="E1178" s="250"/>
      <c r="F1178" s="250"/>
      <c r="G1178" s="250"/>
      <c r="H1178" s="250"/>
      <c r="I1178" s="250"/>
      <c r="J1178" s="250"/>
      <c r="K1178" s="250"/>
      <c r="L1178" s="236"/>
      <c r="M1178" s="236"/>
      <c r="N1178" s="236"/>
    </row>
    <row r="1179" spans="1:14" x14ac:dyDescent="0.2">
      <c r="A1179" s="241" t="str">
        <f>name!A72</f>
        <v>Arts and entertainment</v>
      </c>
      <c r="B1179" s="372">
        <f>B$6</f>
        <v>2015</v>
      </c>
      <c r="C1179" s="372"/>
      <c r="D1179" s="372"/>
      <c r="E1179" s="253"/>
      <c r="F1179" s="372">
        <f>F$6</f>
        <v>2020</v>
      </c>
      <c r="G1179" s="372"/>
      <c r="H1179" s="372"/>
      <c r="I1179" s="253"/>
      <c r="J1179" s="372">
        <f>J$6</f>
        <v>2035</v>
      </c>
      <c r="K1179" s="372"/>
      <c r="L1179" s="372"/>
      <c r="M1179" s="236"/>
      <c r="N1179" s="236"/>
    </row>
    <row r="1180" spans="1:14" x14ac:dyDescent="0.2">
      <c r="A1180" s="254"/>
      <c r="B1180" s="255" t="s">
        <v>352</v>
      </c>
      <c r="C1180" s="255" t="s">
        <v>353</v>
      </c>
      <c r="D1180" s="255" t="s">
        <v>32</v>
      </c>
      <c r="E1180" s="255"/>
      <c r="F1180" s="255" t="s">
        <v>352</v>
      </c>
      <c r="G1180" s="255" t="s">
        <v>353</v>
      </c>
      <c r="H1180" s="255" t="s">
        <v>32</v>
      </c>
      <c r="I1180" s="255"/>
      <c r="J1180" s="255" t="s">
        <v>352</v>
      </c>
      <c r="K1180" s="255" t="s">
        <v>353</v>
      </c>
      <c r="L1180" s="255" t="s">
        <v>32</v>
      </c>
      <c r="M1180" s="236"/>
      <c r="N1180" s="236"/>
    </row>
    <row r="1181" spans="1:14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  <c r="N1181" s="236"/>
    </row>
    <row r="1182" spans="1:14" x14ac:dyDescent="0.2">
      <c r="A1182" s="237" t="str">
        <f>name!E$4</f>
        <v>Managers, directors and senior officials</v>
      </c>
      <c r="B1182" s="302">
        <v>0.13957561076976094</v>
      </c>
      <c r="C1182" s="302">
        <v>0.71268604280820635</v>
      </c>
      <c r="D1182" s="302">
        <f>SUM(B1182:C1182)</f>
        <v>0.85226165357796724</v>
      </c>
      <c r="E1182" s="303"/>
      <c r="F1182" s="302">
        <v>0.15897144919917661</v>
      </c>
      <c r="G1182" s="302">
        <v>0.26293936134765405</v>
      </c>
      <c r="H1182" s="302">
        <f>SUM(F1182:G1182)</f>
        <v>0.42191081054683066</v>
      </c>
      <c r="I1182" s="303"/>
      <c r="J1182" s="302">
        <v>0.14915140326849213</v>
      </c>
      <c r="K1182" s="302">
        <v>0.2070810254226933</v>
      </c>
      <c r="L1182" s="302">
        <f>SUM(J1182:K1182)</f>
        <v>0.35623242869118543</v>
      </c>
      <c r="M1182" s="236"/>
      <c r="N1182" s="236"/>
    </row>
    <row r="1183" spans="1:14" x14ac:dyDescent="0.2">
      <c r="A1183" s="237" t="str">
        <f>name!E$5</f>
        <v>Professional occupations</v>
      </c>
      <c r="B1183" s="302">
        <v>0.29820815885649188</v>
      </c>
      <c r="C1183" s="302">
        <v>1.3690540133289681</v>
      </c>
      <c r="D1183" s="302">
        <f t="shared" ref="D1183:D1190" si="430">SUM(B1183:C1183)</f>
        <v>1.6672621721854601</v>
      </c>
      <c r="E1183" s="303"/>
      <c r="F1183" s="302">
        <v>0.33808286306439511</v>
      </c>
      <c r="G1183" s="302">
        <v>0.47110745089639466</v>
      </c>
      <c r="H1183" s="302">
        <f t="shared" ref="H1183:H1190" si="431">SUM(F1183:G1183)</f>
        <v>0.80919031396078978</v>
      </c>
      <c r="I1183" s="303"/>
      <c r="J1183" s="302">
        <v>0.29304959618013537</v>
      </c>
      <c r="K1183" s="302">
        <v>0.35635254324461868</v>
      </c>
      <c r="L1183" s="302">
        <f t="shared" ref="L1183:L1190" si="432">SUM(J1183:K1183)</f>
        <v>0.649402139424754</v>
      </c>
      <c r="M1183" s="236"/>
      <c r="N1183" s="236"/>
    </row>
    <row r="1184" spans="1:14" x14ac:dyDescent="0.2">
      <c r="A1184" s="237" t="str">
        <f>name!E$6</f>
        <v>Associate professional occupations</v>
      </c>
      <c r="B1184" s="302">
        <v>0.55787868140851959</v>
      </c>
      <c r="C1184" s="302">
        <v>2.6743608452764351</v>
      </c>
      <c r="D1184" s="302">
        <f t="shared" si="430"/>
        <v>3.2322395266849546</v>
      </c>
      <c r="E1184" s="303"/>
      <c r="F1184" s="302">
        <v>0.59824167440688669</v>
      </c>
      <c r="G1184" s="302">
        <v>0.95756114522478808</v>
      </c>
      <c r="H1184" s="302">
        <f t="shared" si="431"/>
        <v>1.5558028196316749</v>
      </c>
      <c r="I1184" s="303"/>
      <c r="J1184" s="302">
        <v>0.51312068126634802</v>
      </c>
      <c r="K1184" s="302">
        <v>0.68353493114425579</v>
      </c>
      <c r="L1184" s="302">
        <f t="shared" si="432"/>
        <v>1.1966556124106038</v>
      </c>
      <c r="M1184" s="236"/>
      <c r="N1184" s="236"/>
    </row>
    <row r="1185" spans="1:14" x14ac:dyDescent="0.2">
      <c r="A1185" s="237" t="str">
        <f>name!E$7</f>
        <v>Administrative and secretarial occupations</v>
      </c>
      <c r="B1185" s="302">
        <v>0.4889311044331478</v>
      </c>
      <c r="C1185" s="302">
        <v>0.1180810967266198</v>
      </c>
      <c r="D1185" s="302">
        <f t="shared" si="430"/>
        <v>0.60701220115976762</v>
      </c>
      <c r="E1185" s="303"/>
      <c r="F1185" s="302">
        <v>0.38024323302769492</v>
      </c>
      <c r="G1185" s="302">
        <v>4.2196215210485569E-2</v>
      </c>
      <c r="H1185" s="302">
        <f t="shared" si="431"/>
        <v>0.42243944823818047</v>
      </c>
      <c r="I1185" s="303"/>
      <c r="J1185" s="302">
        <v>0.27062539507195982</v>
      </c>
      <c r="K1185" s="302">
        <v>3.7377004004521416E-2</v>
      </c>
      <c r="L1185" s="302">
        <f t="shared" si="432"/>
        <v>0.30800239907648125</v>
      </c>
      <c r="M1185" s="236"/>
      <c r="N1185" s="236"/>
    </row>
    <row r="1186" spans="1:14" x14ac:dyDescent="0.2">
      <c r="A1186" s="237" t="str">
        <f>name!E$8</f>
        <v>Skilled trades occupations</v>
      </c>
      <c r="B1186" s="302">
        <v>0.1581211189525111</v>
      </c>
      <c r="C1186" s="302">
        <v>0.88942383698676186</v>
      </c>
      <c r="D1186" s="302">
        <f t="shared" si="430"/>
        <v>1.0475449559392729</v>
      </c>
      <c r="E1186" s="303"/>
      <c r="F1186" s="302">
        <v>0.1821358378142208</v>
      </c>
      <c r="G1186" s="302">
        <v>0.2656671078724388</v>
      </c>
      <c r="H1186" s="302">
        <f t="shared" si="431"/>
        <v>0.44780294568665957</v>
      </c>
      <c r="I1186" s="303"/>
      <c r="J1186" s="302">
        <v>0.18021163163166765</v>
      </c>
      <c r="K1186" s="302">
        <v>0.18370471659894622</v>
      </c>
      <c r="L1186" s="302">
        <f t="shared" si="432"/>
        <v>0.36391634823061386</v>
      </c>
      <c r="M1186" s="236"/>
      <c r="N1186" s="236"/>
    </row>
    <row r="1187" spans="1:14" x14ac:dyDescent="0.2">
      <c r="A1187" s="237" t="str">
        <f>name!E$9</f>
        <v>Caring, leisure and other service occupations</v>
      </c>
      <c r="B1187" s="302">
        <v>0.26205263440553739</v>
      </c>
      <c r="C1187" s="302">
        <v>0.18768956036150136</v>
      </c>
      <c r="D1187" s="302">
        <f t="shared" si="430"/>
        <v>0.44974219476703875</v>
      </c>
      <c r="E1187" s="303"/>
      <c r="F1187" s="302">
        <v>0.20332640807487701</v>
      </c>
      <c r="G1187" s="302">
        <v>9.1934120951666115E-2</v>
      </c>
      <c r="H1187" s="302">
        <f t="shared" si="431"/>
        <v>0.29526052902654309</v>
      </c>
      <c r="I1187" s="303"/>
      <c r="J1187" s="302">
        <v>0.16472609246119574</v>
      </c>
      <c r="K1187" s="302">
        <v>7.9777725750103376E-2</v>
      </c>
      <c r="L1187" s="302">
        <f t="shared" si="432"/>
        <v>0.24450381821129913</v>
      </c>
      <c r="M1187" s="236"/>
      <c r="N1187" s="236"/>
    </row>
    <row r="1188" spans="1:14" x14ac:dyDescent="0.2">
      <c r="A1188" s="237" t="str">
        <f>name!E$10</f>
        <v>Sales and customer service occupations</v>
      </c>
      <c r="B1188" s="302">
        <v>9.9944240884559998E-2</v>
      </c>
      <c r="C1188" s="302">
        <v>0.17249648274101026</v>
      </c>
      <c r="D1188" s="302">
        <f t="shared" si="430"/>
        <v>0.27244072362557026</v>
      </c>
      <c r="E1188" s="303"/>
      <c r="F1188" s="302">
        <v>7.8557288643003431E-2</v>
      </c>
      <c r="G1188" s="302">
        <v>7.357834643807136E-2</v>
      </c>
      <c r="H1188" s="302">
        <f t="shared" si="431"/>
        <v>0.1521356350810748</v>
      </c>
      <c r="I1188" s="303"/>
      <c r="J1188" s="302">
        <v>6.2653545769696992E-2</v>
      </c>
      <c r="K1188" s="302">
        <v>5.4161031300798128E-2</v>
      </c>
      <c r="L1188" s="302">
        <f t="shared" si="432"/>
        <v>0.11681457707049511</v>
      </c>
      <c r="M1188" s="236"/>
      <c r="N1188" s="236"/>
    </row>
    <row r="1189" spans="1:14" x14ac:dyDescent="0.2">
      <c r="A1189" s="237" t="str">
        <f>name!E$11</f>
        <v>Process, plant and machine operatives</v>
      </c>
      <c r="B1189" s="302">
        <v>4.9896061495716742E-3</v>
      </c>
      <c r="C1189" s="302">
        <v>7.2351318110602025E-2</v>
      </c>
      <c r="D1189" s="302">
        <f t="shared" si="430"/>
        <v>7.7340924260173693E-2</v>
      </c>
      <c r="E1189" s="303"/>
      <c r="F1189" s="302">
        <v>4.4522762211312312E-3</v>
      </c>
      <c r="G1189" s="302">
        <v>2.6337974561073417E-2</v>
      </c>
      <c r="H1189" s="302">
        <f t="shared" si="431"/>
        <v>3.0790250782204646E-2</v>
      </c>
      <c r="I1189" s="303"/>
      <c r="J1189" s="302">
        <v>5.3822576963788978E-3</v>
      </c>
      <c r="K1189" s="302">
        <v>2.0922283774095229E-2</v>
      </c>
      <c r="L1189" s="302">
        <f t="shared" si="432"/>
        <v>2.6304541470474126E-2</v>
      </c>
      <c r="M1189" s="236"/>
      <c r="N1189" s="236"/>
    </row>
    <row r="1190" spans="1:14" x14ac:dyDescent="0.2">
      <c r="A1190" s="237" t="str">
        <f>name!E$12</f>
        <v>Elementary occupations</v>
      </c>
      <c r="B1190" s="302">
        <v>0.2352988441218381</v>
      </c>
      <c r="C1190" s="302">
        <v>0.23185680387815177</v>
      </c>
      <c r="D1190" s="302">
        <f t="shared" si="430"/>
        <v>0.46715564799998988</v>
      </c>
      <c r="E1190" s="303"/>
      <c r="F1190" s="302">
        <v>0.15098896950486565</v>
      </c>
      <c r="G1190" s="302">
        <v>9.4678277524961413E-2</v>
      </c>
      <c r="H1190" s="302">
        <f t="shared" si="431"/>
        <v>0.24566724702982706</v>
      </c>
      <c r="I1190" s="303"/>
      <c r="J1190" s="302">
        <v>0.10507939666805434</v>
      </c>
      <c r="K1190" s="302">
        <v>5.9088738811839882E-2</v>
      </c>
      <c r="L1190" s="302">
        <f t="shared" si="432"/>
        <v>0.16416813547989423</v>
      </c>
      <c r="M1190" s="236"/>
      <c r="N1190" s="236"/>
    </row>
    <row r="1191" spans="1:14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  <c r="N1191" s="236"/>
    </row>
    <row r="1192" spans="1:14" x14ac:dyDescent="0.2">
      <c r="A1192" s="244" t="s">
        <v>32</v>
      </c>
      <c r="B1192" s="311">
        <f>SUM(B1182:B1190)</f>
        <v>2.2449999999819386</v>
      </c>
      <c r="C1192" s="311">
        <f t="shared" ref="C1192:D1192" si="433">SUM(C1182:C1190)</f>
        <v>6.4280000002182565</v>
      </c>
      <c r="D1192" s="311">
        <f t="shared" si="433"/>
        <v>8.6730000002001937</v>
      </c>
      <c r="E1192" s="311"/>
      <c r="F1192" s="311">
        <f t="shared" ref="F1192:H1192" si="434">SUM(F1182:F1190)</f>
        <v>2.0949999999562516</v>
      </c>
      <c r="G1192" s="311">
        <f t="shared" si="434"/>
        <v>2.2860000000275336</v>
      </c>
      <c r="H1192" s="311">
        <f t="shared" si="434"/>
        <v>4.3809999999837848</v>
      </c>
      <c r="I1192" s="311"/>
      <c r="J1192" s="311">
        <f t="shared" ref="J1192:L1192" si="435">SUM(J1182:J1190)</f>
        <v>1.7440000000139293</v>
      </c>
      <c r="K1192" s="311">
        <f t="shared" si="435"/>
        <v>1.682000000051872</v>
      </c>
      <c r="L1192" s="311">
        <f t="shared" si="435"/>
        <v>3.4260000000658009</v>
      </c>
      <c r="M1192" s="236"/>
      <c r="N1192" s="236"/>
    </row>
    <row r="1193" spans="1:14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  <c r="N1193" s="236"/>
    </row>
    <row r="1194" spans="1:14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56" t="s">
        <v>35</v>
      </c>
      <c r="M1194" s="236"/>
      <c r="N1194" s="236"/>
    </row>
    <row r="1195" spans="1:14" x14ac:dyDescent="0.2">
      <c r="A1195" s="242"/>
      <c r="B1195" s="250"/>
      <c r="C1195" s="250"/>
      <c r="D1195" s="250"/>
      <c r="E1195" s="250"/>
      <c r="F1195" s="250"/>
      <c r="G1195" s="250"/>
      <c r="H1195" s="250"/>
      <c r="I1195" s="250"/>
      <c r="J1195" s="250"/>
      <c r="K1195" s="250"/>
      <c r="L1195" s="236"/>
      <c r="M1195" s="236"/>
      <c r="N1195" s="236"/>
    </row>
    <row r="1196" spans="1:14" x14ac:dyDescent="0.2">
      <c r="A1196" s="241" t="str">
        <f>name!A73</f>
        <v>Libraries, etc</v>
      </c>
      <c r="B1196" s="372">
        <f>B$6</f>
        <v>2015</v>
      </c>
      <c r="C1196" s="372"/>
      <c r="D1196" s="372"/>
      <c r="E1196" s="253"/>
      <c r="F1196" s="372">
        <f>F$6</f>
        <v>2020</v>
      </c>
      <c r="G1196" s="372"/>
      <c r="H1196" s="372"/>
      <c r="I1196" s="253"/>
      <c r="J1196" s="372">
        <f>J$6</f>
        <v>2035</v>
      </c>
      <c r="K1196" s="372"/>
      <c r="L1196" s="372"/>
      <c r="M1196" s="236"/>
      <c r="N1196" s="236"/>
    </row>
    <row r="1197" spans="1:14" x14ac:dyDescent="0.2">
      <c r="A1197" s="254"/>
      <c r="B1197" s="255" t="s">
        <v>352</v>
      </c>
      <c r="C1197" s="255" t="s">
        <v>353</v>
      </c>
      <c r="D1197" s="255" t="s">
        <v>32</v>
      </c>
      <c r="E1197" s="255"/>
      <c r="F1197" s="255" t="s">
        <v>352</v>
      </c>
      <c r="G1197" s="255" t="s">
        <v>353</v>
      </c>
      <c r="H1197" s="255" t="s">
        <v>32</v>
      </c>
      <c r="I1197" s="255"/>
      <c r="J1197" s="255" t="s">
        <v>352</v>
      </c>
      <c r="K1197" s="255" t="s">
        <v>353</v>
      </c>
      <c r="L1197" s="255" t="s">
        <v>32</v>
      </c>
      <c r="M1197" s="236"/>
      <c r="N1197" s="236"/>
    </row>
    <row r="1198" spans="1:14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  <c r="N1198" s="236"/>
    </row>
    <row r="1199" spans="1:14" x14ac:dyDescent="0.2">
      <c r="A1199" s="237" t="str">
        <f>name!E$4</f>
        <v>Managers, directors and senior officials</v>
      </c>
      <c r="B1199" s="302">
        <v>0.3659320834189857</v>
      </c>
      <c r="C1199" s="302">
        <v>0.60176875432482713</v>
      </c>
      <c r="D1199" s="302">
        <f>SUM(B1199:C1199)</f>
        <v>0.96770083774381277</v>
      </c>
      <c r="E1199" s="303"/>
      <c r="F1199" s="302">
        <v>0.63397381307430156</v>
      </c>
      <c r="G1199" s="302">
        <v>0.35231189253516548</v>
      </c>
      <c r="H1199" s="302">
        <f>SUM(F1199:G1199)</f>
        <v>0.98628570560946704</v>
      </c>
      <c r="I1199" s="303"/>
      <c r="J1199" s="302">
        <v>0.60147421660501843</v>
      </c>
      <c r="K1199" s="302">
        <v>0.28811437165007348</v>
      </c>
      <c r="L1199" s="302">
        <f>SUM(J1199:K1199)</f>
        <v>0.88958858825509191</v>
      </c>
      <c r="M1199" s="236"/>
      <c r="N1199" s="236"/>
    </row>
    <row r="1200" spans="1:14" x14ac:dyDescent="0.2">
      <c r="A1200" s="237" t="str">
        <f>name!E$5</f>
        <v>Professional occupations</v>
      </c>
      <c r="B1200" s="302">
        <v>0.78236526522626815</v>
      </c>
      <c r="C1200" s="302">
        <v>1.1149660709857563</v>
      </c>
      <c r="D1200" s="302">
        <f t="shared" ref="D1200:D1207" si="436">SUM(B1200:C1200)</f>
        <v>1.8973313362120243</v>
      </c>
      <c r="E1200" s="303"/>
      <c r="F1200" s="302">
        <v>1.3339276182895767</v>
      </c>
      <c r="G1200" s="302">
        <v>0.64602740131113978</v>
      </c>
      <c r="H1200" s="302">
        <f t="shared" ref="H1200:H1207" si="437">SUM(F1200:G1200)</f>
        <v>1.9799550196007165</v>
      </c>
      <c r="I1200" s="303"/>
      <c r="J1200" s="302">
        <v>1.1648227874336912</v>
      </c>
      <c r="K1200" s="302">
        <v>0.5028095558095067</v>
      </c>
      <c r="L1200" s="302">
        <f t="shared" ref="L1200:L1207" si="438">SUM(J1200:K1200)</f>
        <v>1.6676323432431979</v>
      </c>
      <c r="M1200" s="236"/>
      <c r="N1200" s="236"/>
    </row>
    <row r="1201" spans="1:14" x14ac:dyDescent="0.2">
      <c r="A1201" s="237" t="str">
        <f>name!E$6</f>
        <v>Associate professional occupations</v>
      </c>
      <c r="B1201" s="302">
        <v>1.4375588237231967</v>
      </c>
      <c r="C1201" s="302">
        <v>2.1709120396024719</v>
      </c>
      <c r="D1201" s="302">
        <f t="shared" si="436"/>
        <v>3.6084708633256684</v>
      </c>
      <c r="E1201" s="303"/>
      <c r="F1201" s="302">
        <v>2.4741256521615265</v>
      </c>
      <c r="G1201" s="302">
        <v>1.2892850911582112</v>
      </c>
      <c r="H1201" s="302">
        <f t="shared" si="437"/>
        <v>3.7634107433197377</v>
      </c>
      <c r="I1201" s="303"/>
      <c r="J1201" s="302">
        <v>2.1373387208078696</v>
      </c>
      <c r="K1201" s="302">
        <v>0.91078857495241117</v>
      </c>
      <c r="L1201" s="302">
        <f t="shared" si="438"/>
        <v>3.0481272957602807</v>
      </c>
      <c r="M1201" s="236"/>
      <c r="N1201" s="236"/>
    </row>
    <row r="1202" spans="1:14" x14ac:dyDescent="0.2">
      <c r="A1202" s="237" t="str">
        <f>name!E$7</f>
        <v>Administrative and secretarial occupations</v>
      </c>
      <c r="B1202" s="302">
        <v>1.3071607548869315</v>
      </c>
      <c r="C1202" s="302">
        <v>0.10699075474376207</v>
      </c>
      <c r="D1202" s="302">
        <f t="shared" si="436"/>
        <v>1.4141515096306936</v>
      </c>
      <c r="E1202" s="303"/>
      <c r="F1202" s="302">
        <v>1.6310045136529576</v>
      </c>
      <c r="G1202" s="302">
        <v>6.2940161959369106E-2</v>
      </c>
      <c r="H1202" s="302">
        <f t="shared" si="437"/>
        <v>1.6939446756123266</v>
      </c>
      <c r="I1202" s="303"/>
      <c r="J1202" s="302">
        <v>1.1895828768708649</v>
      </c>
      <c r="K1202" s="302">
        <v>4.9697587625378507E-2</v>
      </c>
      <c r="L1202" s="302">
        <f t="shared" si="438"/>
        <v>1.2392804644962434</v>
      </c>
      <c r="M1202" s="236"/>
      <c r="N1202" s="236"/>
    </row>
    <row r="1203" spans="1:14" x14ac:dyDescent="0.2">
      <c r="A1203" s="237" t="str">
        <f>name!E$8</f>
        <v>Skilled trades occupations</v>
      </c>
      <c r="B1203" s="302">
        <v>0.40678095333619119</v>
      </c>
      <c r="C1203" s="302">
        <v>0.76628485657405165</v>
      </c>
      <c r="D1203" s="302">
        <f t="shared" si="436"/>
        <v>1.1730658099102429</v>
      </c>
      <c r="E1203" s="303"/>
      <c r="F1203" s="302">
        <v>0.75124444377332511</v>
      </c>
      <c r="G1203" s="302">
        <v>0.37889032432237468</v>
      </c>
      <c r="H1203" s="302">
        <f t="shared" si="437"/>
        <v>1.1301347680956999</v>
      </c>
      <c r="I1203" s="303"/>
      <c r="J1203" s="302">
        <v>0.74944596397059104</v>
      </c>
      <c r="K1203" s="302">
        <v>0.27732081165498201</v>
      </c>
      <c r="L1203" s="302">
        <f t="shared" si="438"/>
        <v>1.0267667756255729</v>
      </c>
      <c r="M1203" s="236"/>
      <c r="N1203" s="236"/>
    </row>
    <row r="1204" spans="1:14" x14ac:dyDescent="0.2">
      <c r="A1204" s="237" t="str">
        <f>name!E$9</f>
        <v>Caring, leisure and other service occupations</v>
      </c>
      <c r="B1204" s="302">
        <v>0.69760831347152397</v>
      </c>
      <c r="C1204" s="302">
        <v>0.20756200353821447</v>
      </c>
      <c r="D1204" s="302">
        <f t="shared" si="436"/>
        <v>0.90517031700973849</v>
      </c>
      <c r="E1204" s="303"/>
      <c r="F1204" s="302">
        <v>0.85431535596536301</v>
      </c>
      <c r="G1204" s="302">
        <v>0.19023543113062183</v>
      </c>
      <c r="H1204" s="302">
        <f t="shared" si="437"/>
        <v>1.0445507870959849</v>
      </c>
      <c r="I1204" s="303"/>
      <c r="J1204" s="302">
        <v>0.70206812298543664</v>
      </c>
      <c r="K1204" s="302">
        <v>0.16744513909567316</v>
      </c>
      <c r="L1204" s="302">
        <f t="shared" si="438"/>
        <v>0.86951326208110979</v>
      </c>
      <c r="M1204" s="236"/>
      <c r="N1204" s="236"/>
    </row>
    <row r="1205" spans="1:14" x14ac:dyDescent="0.2">
      <c r="A1205" s="237" t="str">
        <f>name!E$10</f>
        <v>Sales and customer service occupations</v>
      </c>
      <c r="B1205" s="302">
        <v>0.26549936849555517</v>
      </c>
      <c r="C1205" s="302">
        <v>0.17686946483768964</v>
      </c>
      <c r="D1205" s="302">
        <f t="shared" si="436"/>
        <v>0.44236883333324484</v>
      </c>
      <c r="E1205" s="303"/>
      <c r="F1205" s="302">
        <v>0.3181069606813855</v>
      </c>
      <c r="G1205" s="302">
        <v>0.14730684672652272</v>
      </c>
      <c r="H1205" s="302">
        <f t="shared" si="437"/>
        <v>0.46541380740790822</v>
      </c>
      <c r="I1205" s="303"/>
      <c r="J1205" s="302">
        <v>0.25938027469609098</v>
      </c>
      <c r="K1205" s="302">
        <v>0.10718817168446594</v>
      </c>
      <c r="L1205" s="302">
        <f t="shared" si="438"/>
        <v>0.36656844638055691</v>
      </c>
      <c r="M1205" s="236"/>
      <c r="N1205" s="236"/>
    </row>
    <row r="1206" spans="1:14" x14ac:dyDescent="0.2">
      <c r="A1206" s="237" t="str">
        <f>name!E$11</f>
        <v>Process, plant and machine operatives</v>
      </c>
      <c r="B1206" s="302">
        <v>1.3075547978763207E-2</v>
      </c>
      <c r="C1206" s="302">
        <v>6.9272238026198099E-2</v>
      </c>
      <c r="D1206" s="302">
        <f t="shared" si="436"/>
        <v>8.2347786004961301E-2</v>
      </c>
      <c r="E1206" s="303"/>
      <c r="F1206" s="302">
        <v>1.8716972786709623E-2</v>
      </c>
      <c r="G1206" s="302">
        <v>4.5694054422050837E-2</v>
      </c>
      <c r="H1206" s="302">
        <f t="shared" si="437"/>
        <v>6.4411027208760463E-2</v>
      </c>
      <c r="I1206" s="303"/>
      <c r="J1206" s="302">
        <v>2.3804868549746849E-2</v>
      </c>
      <c r="K1206" s="302">
        <v>3.7422638116997226E-2</v>
      </c>
      <c r="L1206" s="302">
        <f t="shared" si="438"/>
        <v>6.1227506666744078E-2</v>
      </c>
      <c r="M1206" s="236"/>
      <c r="N1206" s="236"/>
    </row>
    <row r="1207" spans="1:14" ht="13.5" customHeight="1" x14ac:dyDescent="0.2">
      <c r="A1207" s="237" t="str">
        <f>name!E$12</f>
        <v>Elementary occupations</v>
      </c>
      <c r="B1207" s="302">
        <v>0.63001888941600204</v>
      </c>
      <c r="C1207" s="302">
        <v>0.25937381753744349</v>
      </c>
      <c r="D1207" s="302">
        <f t="shared" si="436"/>
        <v>0.88939270695344552</v>
      </c>
      <c r="E1207" s="303"/>
      <c r="F1207" s="302">
        <v>0.69258466944297825</v>
      </c>
      <c r="G1207" s="302">
        <v>0.20130879647226466</v>
      </c>
      <c r="H1207" s="302">
        <f t="shared" si="437"/>
        <v>0.89389346591524288</v>
      </c>
      <c r="I1207" s="303"/>
      <c r="J1207" s="302">
        <v>0.48008216813575844</v>
      </c>
      <c r="K1207" s="302">
        <v>0.11621314948007018</v>
      </c>
      <c r="L1207" s="302">
        <f t="shared" si="438"/>
        <v>0.59629531761582866</v>
      </c>
      <c r="M1207" s="236"/>
      <c r="N1207" s="236"/>
    </row>
    <row r="1208" spans="1:14" ht="13.5" customHeight="1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  <c r="N1208" s="236"/>
    </row>
    <row r="1209" spans="1:14" x14ac:dyDescent="0.2">
      <c r="A1209" s="244" t="s">
        <v>32</v>
      </c>
      <c r="B1209" s="311">
        <f>SUM(B1199:B1207)</f>
        <v>5.9059999999534174</v>
      </c>
      <c r="C1209" s="311">
        <f t="shared" ref="C1209:D1209" si="439">SUM(C1199:C1207)</f>
        <v>5.474000000170415</v>
      </c>
      <c r="D1209" s="311">
        <f t="shared" si="439"/>
        <v>11.380000000123832</v>
      </c>
      <c r="E1209" s="311"/>
      <c r="F1209" s="311">
        <f t="shared" ref="F1209:H1209" si="440">SUM(F1199:F1207)</f>
        <v>8.7079999998281234</v>
      </c>
      <c r="G1209" s="311">
        <f t="shared" si="440"/>
        <v>3.3140000000377206</v>
      </c>
      <c r="H1209" s="311">
        <f t="shared" si="440"/>
        <v>12.021999999865846</v>
      </c>
      <c r="I1209" s="311"/>
      <c r="J1209" s="311">
        <f t="shared" ref="J1209:L1209" si="441">SUM(J1199:J1207)</f>
        <v>7.3080000000550678</v>
      </c>
      <c r="K1209" s="311">
        <f t="shared" si="441"/>
        <v>2.4570000000695584</v>
      </c>
      <c r="L1209" s="311">
        <f t="shared" si="441"/>
        <v>9.7650000001246262</v>
      </c>
      <c r="M1209" s="236"/>
      <c r="N1209" s="236"/>
    </row>
    <row r="1210" spans="1:14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  <c r="N1210" s="236"/>
    </row>
    <row r="1211" spans="1:14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56" t="s">
        <v>35</v>
      </c>
      <c r="M1211" s="236"/>
      <c r="N1211" s="236"/>
    </row>
    <row r="1212" spans="1:14" x14ac:dyDescent="0.2">
      <c r="A1212" s="242"/>
      <c r="B1212" s="250"/>
      <c r="C1212" s="250"/>
      <c r="D1212" s="250"/>
      <c r="E1212" s="250"/>
      <c r="F1212" s="250"/>
      <c r="G1212" s="250"/>
      <c r="H1212" s="250"/>
      <c r="I1212" s="250"/>
      <c r="J1212" s="250"/>
      <c r="K1212" s="250"/>
      <c r="L1212" s="236"/>
      <c r="M1212" s="236"/>
      <c r="N1212" s="236"/>
    </row>
    <row r="1213" spans="1:14" x14ac:dyDescent="0.2">
      <c r="A1213" s="241" t="str">
        <f>name!A74</f>
        <v>Gambling and betting</v>
      </c>
      <c r="B1213" s="372">
        <f>B$6</f>
        <v>2015</v>
      </c>
      <c r="C1213" s="372"/>
      <c r="D1213" s="372"/>
      <c r="E1213" s="253"/>
      <c r="F1213" s="372">
        <f>F$6</f>
        <v>2020</v>
      </c>
      <c r="G1213" s="372"/>
      <c r="H1213" s="372"/>
      <c r="I1213" s="253"/>
      <c r="J1213" s="372">
        <f>J$6</f>
        <v>2035</v>
      </c>
      <c r="K1213" s="372"/>
      <c r="L1213" s="372"/>
      <c r="M1213" s="236"/>
      <c r="N1213" s="236"/>
    </row>
    <row r="1214" spans="1:14" x14ac:dyDescent="0.2">
      <c r="A1214" s="254"/>
      <c r="B1214" s="255" t="s">
        <v>352</v>
      </c>
      <c r="C1214" s="255" t="s">
        <v>353</v>
      </c>
      <c r="D1214" s="255" t="s">
        <v>32</v>
      </c>
      <c r="E1214" s="255"/>
      <c r="F1214" s="255" t="s">
        <v>352</v>
      </c>
      <c r="G1214" s="255" t="s">
        <v>353</v>
      </c>
      <c r="H1214" s="255" t="s">
        <v>32</v>
      </c>
      <c r="I1214" s="255"/>
      <c r="J1214" s="255" t="s">
        <v>352</v>
      </c>
      <c r="K1214" s="255" t="s">
        <v>353</v>
      </c>
      <c r="L1214" s="255" t="s">
        <v>32</v>
      </c>
      <c r="M1214" s="236"/>
      <c r="N1214" s="236"/>
    </row>
    <row r="1215" spans="1:14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  <c r="N1215" s="236"/>
    </row>
    <row r="1216" spans="1:14" x14ac:dyDescent="0.2">
      <c r="A1216" s="237" t="str">
        <f>name!E$4</f>
        <v>Managers, directors and senior officials</v>
      </c>
      <c r="B1216" s="302">
        <v>0.11060859835261772</v>
      </c>
      <c r="C1216" s="302">
        <v>0.47130402653566517</v>
      </c>
      <c r="D1216" s="302">
        <f>SUM(B1216:C1216)</f>
        <v>0.58191262488828288</v>
      </c>
      <c r="E1216" s="303"/>
      <c r="F1216" s="302">
        <v>0.15883291114677081</v>
      </c>
      <c r="G1216" s="302">
        <v>0.49877673627359931</v>
      </c>
      <c r="H1216" s="302">
        <f>SUM(F1216:G1216)</f>
        <v>0.65760964742037009</v>
      </c>
      <c r="I1216" s="303"/>
      <c r="J1216" s="302">
        <v>0.17669392314786159</v>
      </c>
      <c r="K1216" s="302">
        <v>0.56247068703734338</v>
      </c>
      <c r="L1216" s="302">
        <f>SUM(J1216:K1216)</f>
        <v>0.73916461018520496</v>
      </c>
      <c r="M1216" s="236"/>
      <c r="N1216" s="236"/>
    </row>
    <row r="1217" spans="1:14" x14ac:dyDescent="0.2">
      <c r="A1217" s="237" t="str">
        <f>name!E$5</f>
        <v>Professional occupations</v>
      </c>
      <c r="B1217" s="302">
        <v>0.23651075699377139</v>
      </c>
      <c r="C1217" s="302">
        <v>0.4972709665844226</v>
      </c>
      <c r="D1217" s="302">
        <f t="shared" ref="D1217:D1224" si="442">SUM(B1217:C1217)</f>
        <v>0.73378172357819405</v>
      </c>
      <c r="E1217" s="303"/>
      <c r="F1217" s="302">
        <v>0.37685494040973649</v>
      </c>
      <c r="G1217" s="302">
        <v>0.5644490002905741</v>
      </c>
      <c r="H1217" s="302">
        <f t="shared" ref="H1217:H1224" si="443">SUM(F1217:G1217)</f>
        <v>0.94130394070031054</v>
      </c>
      <c r="I1217" s="303"/>
      <c r="J1217" s="302">
        <v>0.40950123541171818</v>
      </c>
      <c r="K1217" s="302">
        <v>0.68325058334638822</v>
      </c>
      <c r="L1217" s="302">
        <f t="shared" ref="L1217:L1224" si="444">SUM(J1217:K1217)</f>
        <v>1.0927518187581065</v>
      </c>
      <c r="M1217" s="236"/>
      <c r="N1217" s="236"/>
    </row>
    <row r="1218" spans="1:14" x14ac:dyDescent="0.2">
      <c r="A1218" s="237" t="str">
        <f>name!E$6</f>
        <v>Associate professional occupations</v>
      </c>
      <c r="B1218" s="302">
        <v>0.30011523396927486</v>
      </c>
      <c r="C1218" s="302">
        <v>0.89292141106830714</v>
      </c>
      <c r="D1218" s="302">
        <f t="shared" si="442"/>
        <v>1.193036645037582</v>
      </c>
      <c r="E1218" s="303"/>
      <c r="F1218" s="302">
        <v>0.31686210996238312</v>
      </c>
      <c r="G1218" s="302">
        <v>0.88196475098230886</v>
      </c>
      <c r="H1218" s="302">
        <f t="shared" si="443"/>
        <v>1.1988268609446919</v>
      </c>
      <c r="I1218" s="303"/>
      <c r="J1218" s="302">
        <v>0.29663379099572257</v>
      </c>
      <c r="K1218" s="302">
        <v>0.89187511183751156</v>
      </c>
      <c r="L1218" s="302">
        <f t="shared" si="444"/>
        <v>1.1885089028332341</v>
      </c>
      <c r="M1218" s="236"/>
      <c r="N1218" s="236"/>
    </row>
    <row r="1219" spans="1:14" x14ac:dyDescent="0.2">
      <c r="A1219" s="237" t="str">
        <f>name!E$7</f>
        <v>Administrative and secretarial occupations</v>
      </c>
      <c r="B1219" s="302">
        <v>0.47735015640694645</v>
      </c>
      <c r="C1219" s="302">
        <v>0.13546992104978034</v>
      </c>
      <c r="D1219" s="302">
        <f t="shared" si="442"/>
        <v>0.61282007745672673</v>
      </c>
      <c r="E1219" s="303"/>
      <c r="F1219" s="302">
        <v>0.52294272753545723</v>
      </c>
      <c r="G1219" s="302">
        <v>0.12992872403644665</v>
      </c>
      <c r="H1219" s="302">
        <f t="shared" si="443"/>
        <v>0.65287145157190385</v>
      </c>
      <c r="I1219" s="303"/>
      <c r="J1219" s="302">
        <v>0.42413549628516695</v>
      </c>
      <c r="K1219" s="302">
        <v>0.13830113296773447</v>
      </c>
      <c r="L1219" s="302">
        <f t="shared" si="444"/>
        <v>0.56243662925290139</v>
      </c>
      <c r="M1219" s="236"/>
      <c r="N1219" s="236"/>
    </row>
    <row r="1220" spans="1:14" x14ac:dyDescent="0.2">
      <c r="A1220" s="237" t="str">
        <f>name!E$8</f>
        <v>Skilled trades occupations</v>
      </c>
      <c r="B1220" s="302">
        <v>8.2969198255926649E-2</v>
      </c>
      <c r="C1220" s="302">
        <v>0.65727420724443131</v>
      </c>
      <c r="D1220" s="302">
        <f t="shared" si="442"/>
        <v>0.74024340550035794</v>
      </c>
      <c r="E1220" s="303"/>
      <c r="F1220" s="302">
        <v>7.9962789006507121E-2</v>
      </c>
      <c r="G1220" s="302">
        <v>0.48974477538516048</v>
      </c>
      <c r="H1220" s="302">
        <f t="shared" si="443"/>
        <v>0.56970756439166759</v>
      </c>
      <c r="I1220" s="303"/>
      <c r="J1220" s="302">
        <v>8.8478390072732338E-2</v>
      </c>
      <c r="K1220" s="302">
        <v>0.45164885626205264</v>
      </c>
      <c r="L1220" s="302">
        <f t="shared" si="444"/>
        <v>0.54012724633478504</v>
      </c>
      <c r="M1220" s="236"/>
      <c r="N1220" s="236"/>
    </row>
    <row r="1221" spans="1:14" x14ac:dyDescent="0.2">
      <c r="A1221" s="237" t="str">
        <f>name!E$9</f>
        <v>Caring, leisure and other service occupations</v>
      </c>
      <c r="B1221" s="302">
        <v>0.2458357163005013</v>
      </c>
      <c r="C1221" s="302">
        <v>0.44095280471553833</v>
      </c>
      <c r="D1221" s="302">
        <f t="shared" si="442"/>
        <v>0.6867885210160396</v>
      </c>
      <c r="E1221" s="303"/>
      <c r="F1221" s="302">
        <v>0.25202977967237356</v>
      </c>
      <c r="G1221" s="302">
        <v>0.33510648484687827</v>
      </c>
      <c r="H1221" s="302">
        <f t="shared" si="443"/>
        <v>0.58713626451925183</v>
      </c>
      <c r="I1221" s="303"/>
      <c r="J1221" s="302">
        <v>0.23152664739682832</v>
      </c>
      <c r="K1221" s="302">
        <v>0.39092679314608159</v>
      </c>
      <c r="L1221" s="302">
        <f t="shared" si="444"/>
        <v>0.62245344054290985</v>
      </c>
      <c r="M1221" s="236"/>
      <c r="N1221" s="236"/>
    </row>
    <row r="1222" spans="1:14" x14ac:dyDescent="0.2">
      <c r="A1222" s="237" t="str">
        <f>name!E$10</f>
        <v>Sales and customer service occupations</v>
      </c>
      <c r="B1222" s="302">
        <v>9.3610857498147113E-2</v>
      </c>
      <c r="C1222" s="302">
        <v>0.30453871294477314</v>
      </c>
      <c r="D1222" s="302">
        <f t="shared" si="442"/>
        <v>0.39814957044292026</v>
      </c>
      <c r="E1222" s="303"/>
      <c r="F1222" s="302">
        <v>0.10752844429215316</v>
      </c>
      <c r="G1222" s="302">
        <v>0.23262337763305815</v>
      </c>
      <c r="H1222" s="302">
        <f t="shared" si="443"/>
        <v>0.34015182192521132</v>
      </c>
      <c r="I1222" s="303"/>
      <c r="J1222" s="302">
        <v>9.8799339554505816E-2</v>
      </c>
      <c r="K1222" s="302">
        <v>0.24670828264617814</v>
      </c>
      <c r="L1222" s="302">
        <f t="shared" si="444"/>
        <v>0.34550762220068398</v>
      </c>
      <c r="M1222" s="236"/>
      <c r="N1222" s="236"/>
    </row>
    <row r="1223" spans="1:14" x14ac:dyDescent="0.2">
      <c r="A1223" s="237" t="str">
        <f>name!E$11</f>
        <v>Process, plant and machine operatives</v>
      </c>
      <c r="B1223" s="302">
        <v>3.6614870828445461E-3</v>
      </c>
      <c r="C1223" s="302">
        <v>0.10474563678064891</v>
      </c>
      <c r="D1223" s="302">
        <f t="shared" si="442"/>
        <v>0.10840712386349345</v>
      </c>
      <c r="E1223" s="303"/>
      <c r="F1223" s="302">
        <v>3.2255508732292166E-3</v>
      </c>
      <c r="G1223" s="302">
        <v>7.8174245200626297E-2</v>
      </c>
      <c r="H1223" s="302">
        <f t="shared" si="443"/>
        <v>8.1399796073855515E-2</v>
      </c>
      <c r="I1223" s="303"/>
      <c r="J1223" s="302">
        <v>5.0600644684992728E-3</v>
      </c>
      <c r="K1223" s="302">
        <v>7.950956734641644E-2</v>
      </c>
      <c r="L1223" s="302">
        <f t="shared" si="444"/>
        <v>8.4569631814915711E-2</v>
      </c>
      <c r="M1223" s="236"/>
      <c r="N1223" s="236"/>
    </row>
    <row r="1224" spans="1:14" x14ac:dyDescent="0.2">
      <c r="A1224" s="237" t="str">
        <f>name!E$12</f>
        <v>Elementary occupations</v>
      </c>
      <c r="B1224" s="302">
        <v>0.2223379951275494</v>
      </c>
      <c r="C1224" s="302">
        <v>0.56752231309264356</v>
      </c>
      <c r="D1224" s="302">
        <f t="shared" si="442"/>
        <v>0.78986030822019293</v>
      </c>
      <c r="E1224" s="303"/>
      <c r="F1224" s="302">
        <v>0.19176074708220089</v>
      </c>
      <c r="G1224" s="302">
        <v>0.36723190535465583</v>
      </c>
      <c r="H1224" s="302">
        <f t="shared" si="443"/>
        <v>0.5589926524368567</v>
      </c>
      <c r="I1224" s="303"/>
      <c r="J1224" s="302">
        <v>0.14917111267355929</v>
      </c>
      <c r="K1224" s="302">
        <v>0.27930898543311067</v>
      </c>
      <c r="L1224" s="302">
        <f t="shared" si="444"/>
        <v>0.42848009810666998</v>
      </c>
      <c r="M1224" s="236"/>
      <c r="N1224" s="236"/>
    </row>
    <row r="1225" spans="1:14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  <c r="N1225" s="236"/>
    </row>
    <row r="1226" spans="1:14" x14ac:dyDescent="0.2">
      <c r="A1226" s="244" t="s">
        <v>32</v>
      </c>
      <c r="B1226" s="311">
        <f>SUM(B1216:B1224)</f>
        <v>1.7729999999875796</v>
      </c>
      <c r="C1226" s="311">
        <f t="shared" ref="C1226:D1226" si="445">SUM(C1216:C1224)</f>
        <v>4.0720000000162102</v>
      </c>
      <c r="D1226" s="311">
        <f t="shared" si="445"/>
        <v>5.8450000000037896</v>
      </c>
      <c r="E1226" s="311"/>
      <c r="F1226" s="311">
        <f t="shared" ref="F1226:H1226" si="446">SUM(F1216:F1224)</f>
        <v>2.0099999999808116</v>
      </c>
      <c r="G1226" s="311">
        <f t="shared" si="446"/>
        <v>3.5780000000033079</v>
      </c>
      <c r="H1226" s="311">
        <f t="shared" si="446"/>
        <v>5.5879999999841194</v>
      </c>
      <c r="I1226" s="311"/>
      <c r="J1226" s="311">
        <f t="shared" ref="J1226:L1226" si="447">SUM(J1216:J1224)</f>
        <v>1.8800000000065942</v>
      </c>
      <c r="K1226" s="311">
        <f t="shared" si="447"/>
        <v>3.7240000000228166</v>
      </c>
      <c r="L1226" s="311">
        <f t="shared" si="447"/>
        <v>5.6040000000294112</v>
      </c>
      <c r="M1226" s="236"/>
      <c r="N1226" s="236"/>
    </row>
    <row r="1227" spans="1:14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  <c r="N1227" s="236"/>
    </row>
    <row r="1228" spans="1:14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56" t="s">
        <v>35</v>
      </c>
      <c r="M1228" s="236"/>
      <c r="N1228" s="236"/>
    </row>
    <row r="1229" spans="1:14" x14ac:dyDescent="0.2">
      <c r="A1229" s="242"/>
      <c r="B1229" s="250"/>
      <c r="C1229" s="250"/>
      <c r="D1229" s="250"/>
      <c r="E1229" s="250"/>
      <c r="F1229" s="250"/>
      <c r="G1229" s="250"/>
      <c r="H1229" s="250"/>
      <c r="I1229" s="250"/>
      <c r="J1229" s="250"/>
      <c r="K1229" s="250"/>
      <c r="L1229" s="236"/>
      <c r="M1229" s="236"/>
      <c r="N1229" s="236"/>
    </row>
    <row r="1230" spans="1:14" x14ac:dyDescent="0.2">
      <c r="A1230" s="241" t="str">
        <f>name!A75</f>
        <v>Sport and recreation</v>
      </c>
      <c r="B1230" s="372">
        <f>B$6</f>
        <v>2015</v>
      </c>
      <c r="C1230" s="372"/>
      <c r="D1230" s="372"/>
      <c r="E1230" s="253"/>
      <c r="F1230" s="372">
        <f>F$6</f>
        <v>2020</v>
      </c>
      <c r="G1230" s="372"/>
      <c r="H1230" s="372"/>
      <c r="I1230" s="253"/>
      <c r="J1230" s="372">
        <f>J$6</f>
        <v>2035</v>
      </c>
      <c r="K1230" s="372"/>
      <c r="L1230" s="372"/>
      <c r="M1230" s="236"/>
      <c r="N1230" s="236"/>
    </row>
    <row r="1231" spans="1:14" x14ac:dyDescent="0.2">
      <c r="A1231" s="254"/>
      <c r="B1231" s="255" t="s">
        <v>352</v>
      </c>
      <c r="C1231" s="255" t="s">
        <v>353</v>
      </c>
      <c r="D1231" s="255" t="s">
        <v>32</v>
      </c>
      <c r="E1231" s="255"/>
      <c r="F1231" s="255" t="s">
        <v>352</v>
      </c>
      <c r="G1231" s="255" t="s">
        <v>353</v>
      </c>
      <c r="H1231" s="255" t="s">
        <v>32</v>
      </c>
      <c r="I1231" s="255"/>
      <c r="J1231" s="255" t="s">
        <v>352</v>
      </c>
      <c r="K1231" s="255" t="s">
        <v>353</v>
      </c>
      <c r="L1231" s="255" t="s">
        <v>32</v>
      </c>
      <c r="M1231" s="236"/>
      <c r="N1231" s="236"/>
    </row>
    <row r="1232" spans="1:14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  <c r="N1232" s="236"/>
    </row>
    <row r="1233" spans="1:14" x14ac:dyDescent="0.2">
      <c r="A1233" s="237" t="str">
        <f>name!E$4</f>
        <v>Managers, directors and senior officials</v>
      </c>
      <c r="B1233" s="302">
        <v>0.70767421359409055</v>
      </c>
      <c r="C1233" s="302">
        <v>2.2250328976423308</v>
      </c>
      <c r="D1233" s="302">
        <f>SUM(B1233:C1233)</f>
        <v>2.9327071112364216</v>
      </c>
      <c r="E1233" s="303"/>
      <c r="F1233" s="302">
        <v>1.1239298893863101</v>
      </c>
      <c r="G1233" s="302">
        <v>2.3495843041996021</v>
      </c>
      <c r="H1233" s="302">
        <f>SUM(F1233:G1233)</f>
        <v>3.4735141935859124</v>
      </c>
      <c r="I1233" s="303"/>
      <c r="J1233" s="302">
        <v>1.289299549988957</v>
      </c>
      <c r="K1233" s="302">
        <v>2.6732220029740281</v>
      </c>
      <c r="L1233" s="302">
        <f>SUM(J1233:K1233)</f>
        <v>3.9625215529629854</v>
      </c>
      <c r="M1233" s="236"/>
      <c r="N1233" s="236"/>
    </row>
    <row r="1234" spans="1:14" x14ac:dyDescent="0.2">
      <c r="A1234" s="237" t="str">
        <f>name!E$5</f>
        <v>Professional occupations</v>
      </c>
      <c r="B1234" s="302">
        <v>1.5006421597496964</v>
      </c>
      <c r="C1234" s="302">
        <v>2.5167217296834128</v>
      </c>
      <c r="D1234" s="302">
        <f t="shared" ref="D1234:D1241" si="448">SUM(B1234:C1234)</f>
        <v>4.017363889433109</v>
      </c>
      <c r="E1234" s="303"/>
      <c r="F1234" s="302">
        <v>2.613076017842197</v>
      </c>
      <c r="G1234" s="302">
        <v>2.8478753026574735</v>
      </c>
      <c r="H1234" s="302">
        <f t="shared" ref="H1234:H1241" si="449">SUM(F1234:G1234)</f>
        <v>5.4609513204996709</v>
      </c>
      <c r="I1234" s="303"/>
      <c r="J1234" s="302">
        <v>2.9114453515270768</v>
      </c>
      <c r="K1234" s="302">
        <v>3.4268528360511636</v>
      </c>
      <c r="L1234" s="302">
        <f t="shared" ref="L1234:L1241" si="450">SUM(J1234:K1234)</f>
        <v>6.3382981875782409</v>
      </c>
      <c r="M1234" s="236"/>
      <c r="N1234" s="236"/>
    </row>
    <row r="1235" spans="1:14" x14ac:dyDescent="0.2">
      <c r="A1235" s="237" t="str">
        <f>name!E$6</f>
        <v>Associate professional occupations</v>
      </c>
      <c r="B1235" s="302">
        <v>1.5902389596050697</v>
      </c>
      <c r="C1235" s="302">
        <v>4.4248600997490124</v>
      </c>
      <c r="D1235" s="302">
        <f t="shared" si="448"/>
        <v>6.0150990593540818</v>
      </c>
      <c r="E1235" s="303"/>
      <c r="F1235" s="302">
        <v>2.0206208806229888</v>
      </c>
      <c r="G1235" s="302">
        <v>4.5297262735269275</v>
      </c>
      <c r="H1235" s="302">
        <f t="shared" si="449"/>
        <v>6.5503471541499163</v>
      </c>
      <c r="I1235" s="303"/>
      <c r="J1235" s="302">
        <v>1.9359522393535882</v>
      </c>
      <c r="K1235" s="302">
        <v>4.5909509260884933</v>
      </c>
      <c r="L1235" s="302">
        <f t="shared" si="450"/>
        <v>6.5269031654420813</v>
      </c>
      <c r="M1235" s="236"/>
      <c r="N1235" s="236"/>
    </row>
    <row r="1236" spans="1:14" x14ac:dyDescent="0.2">
      <c r="A1236" s="237" t="str">
        <f>name!E$7</f>
        <v>Administrative and secretarial occupations</v>
      </c>
      <c r="B1236" s="302">
        <v>3.7422180945690342</v>
      </c>
      <c r="C1236" s="302">
        <v>0.57627242655788402</v>
      </c>
      <c r="D1236" s="302">
        <f t="shared" si="448"/>
        <v>4.3184905211269182</v>
      </c>
      <c r="E1236" s="303"/>
      <c r="F1236" s="302">
        <v>4.5446653759400695</v>
      </c>
      <c r="G1236" s="302">
        <v>0.5604698406709363</v>
      </c>
      <c r="H1236" s="302">
        <f t="shared" si="449"/>
        <v>5.1051352166110053</v>
      </c>
      <c r="I1236" s="303"/>
      <c r="J1236" s="302">
        <v>3.8341621646278425</v>
      </c>
      <c r="K1236" s="302">
        <v>0.58924086285395727</v>
      </c>
      <c r="L1236" s="302">
        <f t="shared" si="450"/>
        <v>4.4234030274817995</v>
      </c>
      <c r="M1236" s="236"/>
      <c r="N1236" s="236"/>
    </row>
    <row r="1237" spans="1:14" x14ac:dyDescent="0.2">
      <c r="A1237" s="237" t="str">
        <f>name!E$8</f>
        <v>Skilled trades occupations</v>
      </c>
      <c r="B1237" s="302">
        <v>0.41382855642901356</v>
      </c>
      <c r="C1237" s="302">
        <v>2.9350959574537412</v>
      </c>
      <c r="D1237" s="302">
        <f t="shared" si="448"/>
        <v>3.3489245138827548</v>
      </c>
      <c r="E1237" s="303"/>
      <c r="F1237" s="302">
        <v>0.4520952486207187</v>
      </c>
      <c r="G1237" s="302">
        <v>2.2644653719631536</v>
      </c>
      <c r="H1237" s="302">
        <f t="shared" si="449"/>
        <v>2.7165606205838722</v>
      </c>
      <c r="I1237" s="303"/>
      <c r="J1237" s="302">
        <v>0.52001449163416991</v>
      </c>
      <c r="K1237" s="302">
        <v>2.1513229510264145</v>
      </c>
      <c r="L1237" s="302">
        <f t="shared" si="450"/>
        <v>2.6713374426605845</v>
      </c>
      <c r="M1237" s="236"/>
      <c r="N1237" s="236"/>
    </row>
    <row r="1238" spans="1:14" x14ac:dyDescent="0.2">
      <c r="A1238" s="237" t="str">
        <f>name!E$9</f>
        <v>Caring, leisure and other service occupations</v>
      </c>
      <c r="B1238" s="302">
        <v>3.0988234500488114</v>
      </c>
      <c r="C1238" s="302">
        <v>2.2419175716424329</v>
      </c>
      <c r="D1238" s="302">
        <f t="shared" si="448"/>
        <v>5.3407410216912439</v>
      </c>
      <c r="E1238" s="303"/>
      <c r="F1238" s="302">
        <v>3.3448250921093399</v>
      </c>
      <c r="G1238" s="302">
        <v>1.9880361682814383</v>
      </c>
      <c r="H1238" s="302">
        <f t="shared" si="449"/>
        <v>5.3328612603907786</v>
      </c>
      <c r="I1238" s="303"/>
      <c r="J1238" s="302">
        <v>3.1240375026929157</v>
      </c>
      <c r="K1238" s="302">
        <v>2.3751599562738841</v>
      </c>
      <c r="L1238" s="302">
        <f t="shared" si="450"/>
        <v>5.4991974589667993</v>
      </c>
      <c r="M1238" s="236"/>
      <c r="N1238" s="236"/>
    </row>
    <row r="1239" spans="1:14" x14ac:dyDescent="0.2">
      <c r="A1239" s="237" t="str">
        <f>name!E$10</f>
        <v>Sales and customer service occupations</v>
      </c>
      <c r="B1239" s="302">
        <v>0.69247670511944304</v>
      </c>
      <c r="C1239" s="302">
        <v>1.2635304572021455</v>
      </c>
      <c r="D1239" s="302">
        <f t="shared" si="448"/>
        <v>1.9560071623215887</v>
      </c>
      <c r="E1239" s="303"/>
      <c r="F1239" s="302">
        <v>0.85985386872142566</v>
      </c>
      <c r="G1239" s="302">
        <v>1.0811528507078696</v>
      </c>
      <c r="H1239" s="302">
        <f t="shared" si="449"/>
        <v>1.9410067194292953</v>
      </c>
      <c r="I1239" s="303"/>
      <c r="J1239" s="302">
        <v>0.81463089462872218</v>
      </c>
      <c r="K1239" s="302">
        <v>1.1658011348501922</v>
      </c>
      <c r="L1239" s="302">
        <f t="shared" si="450"/>
        <v>1.9804320294789144</v>
      </c>
      <c r="M1239" s="236"/>
      <c r="N1239" s="236"/>
    </row>
    <row r="1240" spans="1:14" x14ac:dyDescent="0.2">
      <c r="A1240" s="237" t="str">
        <f>name!E$11</f>
        <v>Process, plant and machine operatives</v>
      </c>
      <c r="B1240" s="302">
        <v>2.998523519161261E-2</v>
      </c>
      <c r="C1240" s="302">
        <v>0.60191137908540782</v>
      </c>
      <c r="D1240" s="302">
        <f t="shared" si="448"/>
        <v>0.63189661427702037</v>
      </c>
      <c r="E1240" s="303"/>
      <c r="F1240" s="302">
        <v>3.0005756335424016E-2</v>
      </c>
      <c r="G1240" s="302">
        <v>0.48955832014989148</v>
      </c>
      <c r="H1240" s="302">
        <f t="shared" si="449"/>
        <v>0.51956407648531555</v>
      </c>
      <c r="I1240" s="303"/>
      <c r="J1240" s="302">
        <v>5.2867361801870842E-2</v>
      </c>
      <c r="K1240" s="302">
        <v>0.4874426443608546</v>
      </c>
      <c r="L1240" s="302">
        <f t="shared" si="450"/>
        <v>0.5403100061627254</v>
      </c>
      <c r="M1240" s="236"/>
      <c r="N1240" s="236"/>
    </row>
    <row r="1241" spans="1:14" x14ac:dyDescent="0.2">
      <c r="A1241" s="237" t="str">
        <f>name!E$12</f>
        <v>Elementary occupations</v>
      </c>
      <c r="B1241" s="302">
        <v>1.9031126256603599</v>
      </c>
      <c r="C1241" s="302">
        <v>2.4776574811248833</v>
      </c>
      <c r="D1241" s="302">
        <f t="shared" si="448"/>
        <v>4.3807701067852429</v>
      </c>
      <c r="E1241" s="303"/>
      <c r="F1241" s="302">
        <v>1.9119278703626676</v>
      </c>
      <c r="G1241" s="302">
        <v>1.8061315678989338</v>
      </c>
      <c r="H1241" s="302">
        <f t="shared" si="449"/>
        <v>3.7180594382616015</v>
      </c>
      <c r="I1241" s="303"/>
      <c r="J1241" s="302">
        <v>1.4725904437642217</v>
      </c>
      <c r="K1241" s="302">
        <v>1.4770066857235982</v>
      </c>
      <c r="L1241" s="302">
        <f t="shared" si="450"/>
        <v>2.9495971294878198</v>
      </c>
      <c r="M1241" s="236"/>
      <c r="N1241" s="236"/>
    </row>
    <row r="1242" spans="1:14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  <c r="N1242" s="236"/>
    </row>
    <row r="1243" spans="1:14" x14ac:dyDescent="0.2">
      <c r="A1243" s="244" t="s">
        <v>32</v>
      </c>
      <c r="B1243" s="311">
        <f>SUM(B1233:B1241)</f>
        <v>13.678999999967131</v>
      </c>
      <c r="C1243" s="311">
        <f t="shared" ref="C1243:D1243" si="451">SUM(C1233:C1241)</f>
        <v>19.263000000141247</v>
      </c>
      <c r="D1243" s="311">
        <f t="shared" si="451"/>
        <v>32.942000000108386</v>
      </c>
      <c r="E1243" s="311"/>
      <c r="F1243" s="311">
        <f t="shared" ref="F1243:H1243" si="452">SUM(F1233:F1241)</f>
        <v>16.900999999941142</v>
      </c>
      <c r="G1243" s="311">
        <f t="shared" si="452"/>
        <v>17.917000000056227</v>
      </c>
      <c r="H1243" s="311">
        <f t="shared" si="452"/>
        <v>34.817999999997369</v>
      </c>
      <c r="I1243" s="311"/>
      <c r="J1243" s="311">
        <f t="shared" ref="J1243:L1243" si="453">SUM(J1233:J1241)</f>
        <v>15.955000000019366</v>
      </c>
      <c r="K1243" s="311">
        <f t="shared" si="453"/>
        <v>18.937000000202584</v>
      </c>
      <c r="L1243" s="311">
        <f t="shared" si="453"/>
        <v>34.892000000221948</v>
      </c>
      <c r="M1243" s="236"/>
      <c r="N1243" s="236"/>
    </row>
    <row r="1244" spans="1:14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  <c r="N1244" s="236"/>
    </row>
    <row r="1245" spans="1:14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56" t="s">
        <v>35</v>
      </c>
      <c r="M1245" s="236"/>
      <c r="N1245" s="236"/>
    </row>
    <row r="1246" spans="1:14" x14ac:dyDescent="0.2">
      <c r="A1246" s="242"/>
      <c r="B1246" s="250"/>
      <c r="C1246" s="250"/>
      <c r="D1246" s="250"/>
      <c r="E1246" s="250"/>
      <c r="F1246" s="250"/>
      <c r="G1246" s="250"/>
      <c r="H1246" s="250"/>
      <c r="I1246" s="250"/>
      <c r="J1246" s="250"/>
      <c r="K1246" s="250"/>
      <c r="L1246" s="236"/>
      <c r="M1246" s="236"/>
      <c r="N1246" s="236"/>
    </row>
    <row r="1247" spans="1:14" x14ac:dyDescent="0.2">
      <c r="A1247" s="241" t="str">
        <f>name!A76</f>
        <v>Membership organisations</v>
      </c>
      <c r="B1247" s="372">
        <f>B$6</f>
        <v>2015</v>
      </c>
      <c r="C1247" s="372"/>
      <c r="D1247" s="372"/>
      <c r="E1247" s="253"/>
      <c r="F1247" s="372">
        <f>F$6</f>
        <v>2020</v>
      </c>
      <c r="G1247" s="372"/>
      <c r="H1247" s="372"/>
      <c r="I1247" s="253"/>
      <c r="J1247" s="372">
        <f>J$6</f>
        <v>2035</v>
      </c>
      <c r="K1247" s="372"/>
      <c r="L1247" s="372"/>
      <c r="M1247" s="236"/>
      <c r="N1247" s="236"/>
    </row>
    <row r="1248" spans="1:14" x14ac:dyDescent="0.2">
      <c r="A1248" s="254"/>
      <c r="B1248" s="255" t="s">
        <v>352</v>
      </c>
      <c r="C1248" s="255" t="s">
        <v>353</v>
      </c>
      <c r="D1248" s="255" t="s">
        <v>32</v>
      </c>
      <c r="E1248" s="255"/>
      <c r="F1248" s="255" t="s">
        <v>352</v>
      </c>
      <c r="G1248" s="255" t="s">
        <v>353</v>
      </c>
      <c r="H1248" s="255" t="s">
        <v>32</v>
      </c>
      <c r="I1248" s="255"/>
      <c r="J1248" s="255" t="s">
        <v>352</v>
      </c>
      <c r="K1248" s="255" t="s">
        <v>353</v>
      </c>
      <c r="L1248" s="255" t="s">
        <v>32</v>
      </c>
      <c r="M1248" s="236"/>
      <c r="N1248" s="236"/>
    </row>
    <row r="1249" spans="1:14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  <c r="N1249" s="236"/>
    </row>
    <row r="1250" spans="1:14" x14ac:dyDescent="0.2">
      <c r="A1250" s="237" t="str">
        <f>name!E$4</f>
        <v>Managers, directors and senior officials</v>
      </c>
      <c r="B1250" s="302">
        <v>0.89883703305552765</v>
      </c>
      <c r="C1250" s="302">
        <v>0.72887150936079625</v>
      </c>
      <c r="D1250" s="302">
        <f>SUM(B1250:C1250)</f>
        <v>1.627708542416324</v>
      </c>
      <c r="E1250" s="303"/>
      <c r="F1250" s="302">
        <v>1.1771628210139746</v>
      </c>
      <c r="G1250" s="302">
        <v>0.58319757406120132</v>
      </c>
      <c r="H1250" s="302">
        <f>SUM(F1250:G1250)</f>
        <v>1.7603603950751761</v>
      </c>
      <c r="I1250" s="303"/>
      <c r="J1250" s="302">
        <v>1.0827176697189118</v>
      </c>
      <c r="K1250" s="302">
        <v>0.61298874348476973</v>
      </c>
      <c r="L1250" s="302">
        <f>SUM(J1250:K1250)</f>
        <v>1.6957064132036814</v>
      </c>
      <c r="M1250" s="236"/>
      <c r="N1250" s="236"/>
    </row>
    <row r="1251" spans="1:14" x14ac:dyDescent="0.2">
      <c r="A1251" s="237" t="str">
        <f>name!E$5</f>
        <v>Professional occupations</v>
      </c>
      <c r="B1251" s="302">
        <v>4.507750710755702</v>
      </c>
      <c r="C1251" s="302">
        <v>3.2802578931054187</v>
      </c>
      <c r="D1251" s="302">
        <f t="shared" ref="D1251:D1258" si="454">SUM(B1251:C1251)</f>
        <v>7.7880086038611207</v>
      </c>
      <c r="E1251" s="303"/>
      <c r="F1251" s="302">
        <v>5.5588256072087585</v>
      </c>
      <c r="G1251" s="302">
        <v>2.1484513978341653</v>
      </c>
      <c r="H1251" s="302">
        <f t="shared" ref="H1251:H1258" si="455">SUM(F1251:G1251)</f>
        <v>7.7072770050429238</v>
      </c>
      <c r="I1251" s="303"/>
      <c r="J1251" s="302">
        <v>5.5396758567656965</v>
      </c>
      <c r="K1251" s="302">
        <v>2.2509882202709202</v>
      </c>
      <c r="L1251" s="302">
        <f t="shared" ref="L1251:L1258" si="456">SUM(J1251:K1251)</f>
        <v>7.7906640770366167</v>
      </c>
      <c r="M1251" s="236"/>
      <c r="N1251" s="236"/>
    </row>
    <row r="1252" spans="1:14" x14ac:dyDescent="0.2">
      <c r="A1252" s="237" t="str">
        <f>name!E$6</f>
        <v>Associate professional occupations</v>
      </c>
      <c r="B1252" s="302">
        <v>2.2964813649650151</v>
      </c>
      <c r="C1252" s="302">
        <v>1.0691302920418422</v>
      </c>
      <c r="D1252" s="302">
        <f t="shared" si="454"/>
        <v>3.3656116570068573</v>
      </c>
      <c r="E1252" s="303"/>
      <c r="F1252" s="302">
        <v>2.4218080202719965</v>
      </c>
      <c r="G1252" s="302">
        <v>0.74770677653160833</v>
      </c>
      <c r="H1252" s="302">
        <f t="shared" si="455"/>
        <v>3.1695147968036048</v>
      </c>
      <c r="I1252" s="303"/>
      <c r="J1252" s="302">
        <v>2.3287934369053898</v>
      </c>
      <c r="K1252" s="302">
        <v>0.63623899425970198</v>
      </c>
      <c r="L1252" s="302">
        <f t="shared" si="456"/>
        <v>2.965032431165092</v>
      </c>
      <c r="M1252" s="236"/>
      <c r="N1252" s="236"/>
    </row>
    <row r="1253" spans="1:14" x14ac:dyDescent="0.2">
      <c r="A1253" s="237" t="str">
        <f>name!E$7</f>
        <v>Administrative and secretarial occupations</v>
      </c>
      <c r="B1253" s="302">
        <v>4.9907538918295451</v>
      </c>
      <c r="C1253" s="302">
        <v>0.28023642122653891</v>
      </c>
      <c r="D1253" s="302">
        <f t="shared" si="454"/>
        <v>5.2709903130560836</v>
      </c>
      <c r="E1253" s="303"/>
      <c r="F1253" s="302">
        <v>3.1974153902937075</v>
      </c>
      <c r="G1253" s="302">
        <v>0.20541703113020301</v>
      </c>
      <c r="H1253" s="302">
        <f t="shared" si="455"/>
        <v>3.4028324214239105</v>
      </c>
      <c r="I1253" s="303"/>
      <c r="J1253" s="302">
        <v>2.1465304392606255</v>
      </c>
      <c r="K1253" s="302">
        <v>0.20879028224092094</v>
      </c>
      <c r="L1253" s="302">
        <f t="shared" si="456"/>
        <v>2.3553207215015464</v>
      </c>
      <c r="M1253" s="236"/>
      <c r="N1253" s="236"/>
    </row>
    <row r="1254" spans="1:14" x14ac:dyDescent="0.2">
      <c r="A1254" s="237" t="str">
        <f>name!E$8</f>
        <v>Skilled trades occupations</v>
      </c>
      <c r="B1254" s="302">
        <v>0.35780689251084891</v>
      </c>
      <c r="C1254" s="302">
        <v>0.62103401285162119</v>
      </c>
      <c r="D1254" s="302">
        <f t="shared" si="454"/>
        <v>0.97884090536247004</v>
      </c>
      <c r="E1254" s="303"/>
      <c r="F1254" s="302">
        <v>0.28720260404051634</v>
      </c>
      <c r="G1254" s="302">
        <v>0.19162075176015783</v>
      </c>
      <c r="H1254" s="302">
        <f t="shared" si="455"/>
        <v>0.47882335580067414</v>
      </c>
      <c r="I1254" s="303"/>
      <c r="J1254" s="302">
        <v>0.37457853819159664</v>
      </c>
      <c r="K1254" s="302">
        <v>0.17913383035669897</v>
      </c>
      <c r="L1254" s="302">
        <f t="shared" si="456"/>
        <v>0.55371236854829564</v>
      </c>
      <c r="M1254" s="236"/>
      <c r="N1254" s="236"/>
    </row>
    <row r="1255" spans="1:14" x14ac:dyDescent="0.2">
      <c r="A1255" s="237" t="str">
        <f>name!E$9</f>
        <v>Caring, leisure and other service occupations</v>
      </c>
      <c r="B1255" s="302">
        <v>2.0678085812199019</v>
      </c>
      <c r="C1255" s="302">
        <v>0.35795750654641023</v>
      </c>
      <c r="D1255" s="302">
        <f t="shared" si="454"/>
        <v>2.4257660877663119</v>
      </c>
      <c r="E1255" s="303"/>
      <c r="F1255" s="302">
        <v>1.6459742421474182</v>
      </c>
      <c r="G1255" s="302">
        <v>0.1306999888558974</v>
      </c>
      <c r="H1255" s="302">
        <f t="shared" si="455"/>
        <v>1.7766742310033155</v>
      </c>
      <c r="I1255" s="303"/>
      <c r="J1255" s="302">
        <v>1.5722340887200805</v>
      </c>
      <c r="K1255" s="302">
        <v>0.14533278200187966</v>
      </c>
      <c r="L1255" s="302">
        <f t="shared" si="456"/>
        <v>1.7175668707219602</v>
      </c>
      <c r="M1255" s="236"/>
      <c r="N1255" s="236"/>
    </row>
    <row r="1256" spans="1:14" x14ac:dyDescent="0.2">
      <c r="A1256" s="237" t="str">
        <f>name!E$10</f>
        <v>Sales and customer service occupations</v>
      </c>
      <c r="B1256" s="302">
        <v>0.44334649181869756</v>
      </c>
      <c r="C1256" s="302">
        <v>0.13323367151771023</v>
      </c>
      <c r="D1256" s="302">
        <f t="shared" si="454"/>
        <v>0.57658016333640782</v>
      </c>
      <c r="E1256" s="303"/>
      <c r="F1256" s="302">
        <v>0.30811696151833118</v>
      </c>
      <c r="G1256" s="302">
        <v>6.0514320000635988E-2</v>
      </c>
      <c r="H1256" s="302">
        <f t="shared" si="455"/>
        <v>0.36863128151896718</v>
      </c>
      <c r="I1256" s="303"/>
      <c r="J1256" s="302">
        <v>0.2828120824741634</v>
      </c>
      <c r="K1256" s="302">
        <v>6.8011854458111087E-2</v>
      </c>
      <c r="L1256" s="302">
        <f t="shared" si="456"/>
        <v>0.35082393693227448</v>
      </c>
      <c r="M1256" s="236"/>
      <c r="N1256" s="236"/>
    </row>
    <row r="1257" spans="1:14" x14ac:dyDescent="0.2">
      <c r="A1257" s="237" t="str">
        <f>name!E$11</f>
        <v>Process, plant and machine operatives</v>
      </c>
      <c r="B1257" s="302">
        <v>0.23574255885253054</v>
      </c>
      <c r="C1257" s="302">
        <v>0.18106638190092564</v>
      </c>
      <c r="D1257" s="302">
        <f t="shared" si="454"/>
        <v>0.4168089407534562</v>
      </c>
      <c r="E1257" s="303"/>
      <c r="F1257" s="302">
        <v>0.18033410213481899</v>
      </c>
      <c r="G1257" s="302">
        <v>7.9129501435993996E-2</v>
      </c>
      <c r="H1257" s="302">
        <f t="shared" si="455"/>
        <v>0.259463603570813</v>
      </c>
      <c r="I1257" s="303"/>
      <c r="J1257" s="302">
        <v>0.19611660747667733</v>
      </c>
      <c r="K1257" s="302">
        <v>6.7605241099223168E-2</v>
      </c>
      <c r="L1257" s="302">
        <f t="shared" si="456"/>
        <v>0.26372184857590053</v>
      </c>
      <c r="M1257" s="236"/>
      <c r="N1257" s="236"/>
    </row>
    <row r="1258" spans="1:14" x14ac:dyDescent="0.2">
      <c r="A1258" s="237" t="str">
        <f>name!E$12</f>
        <v>Elementary occupations</v>
      </c>
      <c r="B1258" s="302">
        <v>2.6954724748038141</v>
      </c>
      <c r="C1258" s="302">
        <v>0.37221231159409773</v>
      </c>
      <c r="D1258" s="302">
        <f t="shared" si="454"/>
        <v>3.067684786397912</v>
      </c>
      <c r="E1258" s="303"/>
      <c r="F1258" s="302">
        <v>1.2101602510293659</v>
      </c>
      <c r="G1258" s="302">
        <v>0.12226265831968268</v>
      </c>
      <c r="H1258" s="302">
        <f t="shared" si="455"/>
        <v>1.3324229093490485</v>
      </c>
      <c r="I1258" s="303"/>
      <c r="J1258" s="302">
        <v>0.76154128058613368</v>
      </c>
      <c r="K1258" s="302">
        <v>8.8910051805315152E-2</v>
      </c>
      <c r="L1258" s="302">
        <f t="shared" si="456"/>
        <v>0.85045133239144888</v>
      </c>
      <c r="M1258" s="236"/>
      <c r="N1258" s="236"/>
    </row>
    <row r="1259" spans="1:14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  <c r="N1259" s="236"/>
    </row>
    <row r="1260" spans="1:14" x14ac:dyDescent="0.2">
      <c r="A1260" s="244" t="s">
        <v>32</v>
      </c>
      <c r="B1260" s="311">
        <f>SUM(B1250:B1258)</f>
        <v>18.493999999811582</v>
      </c>
      <c r="C1260" s="311">
        <f t="shared" ref="C1260:D1260" si="457">SUM(C1250:C1258)</f>
        <v>7.0240000001453602</v>
      </c>
      <c r="D1260" s="311">
        <f t="shared" si="457"/>
        <v>25.517999999956945</v>
      </c>
      <c r="E1260" s="311"/>
      <c r="F1260" s="311">
        <f t="shared" ref="F1260:H1260" si="458">SUM(F1250:F1258)</f>
        <v>15.986999999658886</v>
      </c>
      <c r="G1260" s="311">
        <f t="shared" si="458"/>
        <v>4.2689999999295463</v>
      </c>
      <c r="H1260" s="311">
        <f t="shared" si="458"/>
        <v>20.255999999588433</v>
      </c>
      <c r="I1260" s="311"/>
      <c r="J1260" s="311">
        <f t="shared" ref="J1260:L1260" si="459">SUM(J1250:J1258)</f>
        <v>14.285000000099274</v>
      </c>
      <c r="K1260" s="311">
        <f t="shared" si="459"/>
        <v>4.2579999999775415</v>
      </c>
      <c r="L1260" s="311">
        <f t="shared" si="459"/>
        <v>18.543000000076816</v>
      </c>
      <c r="M1260" s="236"/>
      <c r="N1260" s="236"/>
    </row>
    <row r="1261" spans="1:14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  <c r="N1261" s="236"/>
    </row>
    <row r="1262" spans="1:14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56" t="s">
        <v>35</v>
      </c>
      <c r="M1262" s="236"/>
      <c r="N1262" s="236"/>
    </row>
    <row r="1263" spans="1:14" x14ac:dyDescent="0.2">
      <c r="A1263" s="242"/>
      <c r="B1263" s="250"/>
      <c r="C1263" s="250"/>
      <c r="D1263" s="250"/>
      <c r="E1263" s="250"/>
      <c r="F1263" s="250"/>
      <c r="G1263" s="250"/>
      <c r="H1263" s="250"/>
      <c r="I1263" s="250"/>
      <c r="J1263" s="250"/>
      <c r="K1263" s="250"/>
      <c r="L1263" s="236"/>
      <c r="M1263" s="236"/>
      <c r="N1263" s="236"/>
    </row>
    <row r="1264" spans="1:14" x14ac:dyDescent="0.2">
      <c r="A1264" s="241" t="str">
        <f>name!A77</f>
        <v>Repair of goods</v>
      </c>
      <c r="B1264" s="372">
        <f>B$6</f>
        <v>2015</v>
      </c>
      <c r="C1264" s="372"/>
      <c r="D1264" s="372"/>
      <c r="E1264" s="253"/>
      <c r="F1264" s="372">
        <f>F$6</f>
        <v>2020</v>
      </c>
      <c r="G1264" s="372"/>
      <c r="H1264" s="372"/>
      <c r="I1264" s="253"/>
      <c r="J1264" s="372">
        <f>J$6</f>
        <v>2035</v>
      </c>
      <c r="K1264" s="372"/>
      <c r="L1264" s="372"/>
      <c r="M1264" s="236"/>
      <c r="N1264" s="236"/>
    </row>
    <row r="1265" spans="1:14" x14ac:dyDescent="0.2">
      <c r="A1265" s="254"/>
      <c r="B1265" s="255" t="s">
        <v>352</v>
      </c>
      <c r="C1265" s="255" t="s">
        <v>353</v>
      </c>
      <c r="D1265" s="255" t="s">
        <v>32</v>
      </c>
      <c r="E1265" s="255"/>
      <c r="F1265" s="255" t="s">
        <v>352</v>
      </c>
      <c r="G1265" s="255" t="s">
        <v>353</v>
      </c>
      <c r="H1265" s="255" t="s">
        <v>32</v>
      </c>
      <c r="I1265" s="255"/>
      <c r="J1265" s="255" t="s">
        <v>352</v>
      </c>
      <c r="K1265" s="255" t="s">
        <v>353</v>
      </c>
      <c r="L1265" s="255" t="s">
        <v>32</v>
      </c>
      <c r="M1265" s="236"/>
      <c r="N1265" s="236"/>
    </row>
    <row r="1266" spans="1:14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  <c r="N1266" s="236"/>
    </row>
    <row r="1267" spans="1:14" x14ac:dyDescent="0.2">
      <c r="A1267" s="237" t="str">
        <f>name!E$4</f>
        <v>Managers, directors and senior officials</v>
      </c>
      <c r="B1267" s="302">
        <v>0.19413326478829437</v>
      </c>
      <c r="C1267" s="302">
        <v>0.64084947580039697</v>
      </c>
      <c r="D1267" s="302">
        <f>SUM(B1267:C1267)</f>
        <v>0.83498274058869137</v>
      </c>
      <c r="E1267" s="303"/>
      <c r="F1267" s="302">
        <v>0.44242451096324431</v>
      </c>
      <c r="G1267" s="302">
        <v>1.1925904396921945</v>
      </c>
      <c r="H1267" s="302">
        <f>SUM(F1267:G1267)</f>
        <v>1.6350149506554388</v>
      </c>
      <c r="I1267" s="303"/>
      <c r="J1267" s="302">
        <v>0.11316518248420568</v>
      </c>
      <c r="K1267" s="302">
        <v>1.3277351411190361</v>
      </c>
      <c r="L1267" s="302">
        <f>SUM(J1267:K1267)</f>
        <v>1.4409003236032418</v>
      </c>
      <c r="M1267" s="236"/>
      <c r="N1267" s="236"/>
    </row>
    <row r="1268" spans="1:14" x14ac:dyDescent="0.2">
      <c r="A1268" s="237" t="str">
        <f>name!E$5</f>
        <v>Professional occupations</v>
      </c>
      <c r="B1268" s="302">
        <v>8.8643363497309585E-2</v>
      </c>
      <c r="C1268" s="302">
        <v>0.66036020868914824</v>
      </c>
      <c r="D1268" s="302">
        <f t="shared" ref="D1268:D1275" si="460">SUM(B1268:C1268)</f>
        <v>0.74900357218645786</v>
      </c>
      <c r="E1268" s="303"/>
      <c r="F1268" s="302">
        <v>0.28684330357456311</v>
      </c>
      <c r="G1268" s="302">
        <v>1.273915642307748</v>
      </c>
      <c r="H1268" s="302">
        <f t="shared" ref="H1268:H1275" si="461">SUM(F1268:G1268)</f>
        <v>1.560758945882311</v>
      </c>
      <c r="I1268" s="303"/>
      <c r="J1268" s="302">
        <v>0.27122501107576402</v>
      </c>
      <c r="K1268" s="302">
        <v>1.4604098093118874</v>
      </c>
      <c r="L1268" s="302">
        <f t="shared" ref="L1268:L1275" si="462">SUM(J1268:K1268)</f>
        <v>1.7316348203876513</v>
      </c>
      <c r="M1268" s="236"/>
      <c r="N1268" s="236"/>
    </row>
    <row r="1269" spans="1:14" x14ac:dyDescent="0.2">
      <c r="A1269" s="237" t="str">
        <f>name!E$6</f>
        <v>Associate professional occupations</v>
      </c>
      <c r="B1269" s="302">
        <v>0.10634441204565047</v>
      </c>
      <c r="C1269" s="302">
        <v>0.262570141128045</v>
      </c>
      <c r="D1269" s="302">
        <f t="shared" si="460"/>
        <v>0.36891455317369548</v>
      </c>
      <c r="E1269" s="303"/>
      <c r="F1269" s="302">
        <v>0.32428533602970139</v>
      </c>
      <c r="G1269" s="302">
        <v>0.46728764017265795</v>
      </c>
      <c r="H1269" s="302">
        <f t="shared" si="461"/>
        <v>0.79157297620235934</v>
      </c>
      <c r="I1269" s="303"/>
      <c r="J1269" s="302">
        <v>0.24213635219313681</v>
      </c>
      <c r="K1269" s="302">
        <v>0.43325482210770455</v>
      </c>
      <c r="L1269" s="302">
        <f t="shared" si="462"/>
        <v>0.67539117430084139</v>
      </c>
      <c r="M1269" s="236"/>
      <c r="N1269" s="236"/>
    </row>
    <row r="1270" spans="1:14" x14ac:dyDescent="0.2">
      <c r="A1270" s="237" t="str">
        <f>name!E$7</f>
        <v>Administrative and secretarial occupations</v>
      </c>
      <c r="B1270" s="302">
        <v>4.5013838535867094E-2</v>
      </c>
      <c r="C1270" s="302">
        <v>8.1320160486381826E-2</v>
      </c>
      <c r="D1270" s="302">
        <f t="shared" si="460"/>
        <v>0.12633399902224893</v>
      </c>
      <c r="E1270" s="303"/>
      <c r="F1270" s="302">
        <v>0.11428322345107779</v>
      </c>
      <c r="G1270" s="302">
        <v>0.12334735506172037</v>
      </c>
      <c r="H1270" s="302">
        <f t="shared" si="461"/>
        <v>0.23763057851279817</v>
      </c>
      <c r="I1270" s="303"/>
      <c r="J1270" s="302">
        <v>0.77147521640218619</v>
      </c>
      <c r="K1270" s="302">
        <v>0.10109534532282613</v>
      </c>
      <c r="L1270" s="302">
        <f t="shared" si="462"/>
        <v>0.87257056172501235</v>
      </c>
      <c r="M1270" s="236"/>
      <c r="N1270" s="236"/>
    </row>
    <row r="1271" spans="1:14" x14ac:dyDescent="0.2">
      <c r="A1271" s="237" t="str">
        <f>name!E$8</f>
        <v>Skilled trades occupations</v>
      </c>
      <c r="B1271" s="302">
        <v>8.6355064586994532E-2</v>
      </c>
      <c r="C1271" s="302">
        <v>0.36176002388274175</v>
      </c>
      <c r="D1271" s="302">
        <f t="shared" si="460"/>
        <v>0.4481150884697363</v>
      </c>
      <c r="E1271" s="303"/>
      <c r="F1271" s="302">
        <v>0.16768075449407135</v>
      </c>
      <c r="G1271" s="302">
        <v>0.55824618053712671</v>
      </c>
      <c r="H1271" s="302">
        <f t="shared" si="461"/>
        <v>0.7259269350311981</v>
      </c>
      <c r="I1271" s="303"/>
      <c r="J1271" s="302">
        <v>4.4734441944036744E-2</v>
      </c>
      <c r="K1271" s="302">
        <v>0.66117625031963467</v>
      </c>
      <c r="L1271" s="302">
        <f t="shared" si="462"/>
        <v>0.70591069226367142</v>
      </c>
      <c r="M1271" s="236"/>
      <c r="N1271" s="236"/>
    </row>
    <row r="1272" spans="1:14" x14ac:dyDescent="0.2">
      <c r="A1272" s="237" t="str">
        <f>name!E$9</f>
        <v>Caring, leisure and other service occupations</v>
      </c>
      <c r="B1272" s="302">
        <v>2.0453260712806426E-2</v>
      </c>
      <c r="C1272" s="302">
        <v>2.2274945204549226E-2</v>
      </c>
      <c r="D1272" s="302">
        <f t="shared" si="460"/>
        <v>4.2728205917355655E-2</v>
      </c>
      <c r="E1272" s="303"/>
      <c r="F1272" s="302">
        <v>6.9371333337806484E-2</v>
      </c>
      <c r="G1272" s="302">
        <v>4.0810431711274589E-2</v>
      </c>
      <c r="H1272" s="302">
        <f t="shared" si="461"/>
        <v>0.11018176504908107</v>
      </c>
      <c r="I1272" s="303"/>
      <c r="J1272" s="302">
        <v>6.7840467303692475E-2</v>
      </c>
      <c r="K1272" s="302">
        <v>5.9376242847750692E-2</v>
      </c>
      <c r="L1272" s="302">
        <f t="shared" si="462"/>
        <v>0.12721671015144317</v>
      </c>
      <c r="M1272" s="236"/>
      <c r="N1272" s="236"/>
    </row>
    <row r="1273" spans="1:14" x14ac:dyDescent="0.2">
      <c r="A1273" s="237" t="str">
        <f>name!E$10</f>
        <v>Sales and customer service occupations</v>
      </c>
      <c r="B1273" s="302">
        <v>0.32470995521339691</v>
      </c>
      <c r="C1273" s="302">
        <v>0.60580376534168712</v>
      </c>
      <c r="D1273" s="302">
        <f t="shared" si="460"/>
        <v>0.93051372055508397</v>
      </c>
      <c r="E1273" s="303"/>
      <c r="F1273" s="302">
        <v>0.41274629037069149</v>
      </c>
      <c r="G1273" s="302">
        <v>0.82448310730509999</v>
      </c>
      <c r="H1273" s="302">
        <f t="shared" si="461"/>
        <v>1.2372293976757915</v>
      </c>
      <c r="I1273" s="303"/>
      <c r="J1273" s="302">
        <v>0.17570065110562827</v>
      </c>
      <c r="K1273" s="302">
        <v>0.59894455602742125</v>
      </c>
      <c r="L1273" s="302">
        <f t="shared" si="462"/>
        <v>0.77464520713304952</v>
      </c>
      <c r="M1273" s="236"/>
      <c r="N1273" s="236"/>
    </row>
    <row r="1274" spans="1:14" x14ac:dyDescent="0.2">
      <c r="A1274" s="237" t="str">
        <f>name!E$11</f>
        <v>Process, plant and machine operatives</v>
      </c>
      <c r="B1274" s="302">
        <v>4.5836354324700707E-2</v>
      </c>
      <c r="C1274" s="302">
        <v>0.10679662419425807</v>
      </c>
      <c r="D1274" s="302">
        <f t="shared" si="460"/>
        <v>0.1526329785189588</v>
      </c>
      <c r="E1274" s="303"/>
      <c r="F1274" s="302">
        <v>8.4174719938668818E-2</v>
      </c>
      <c r="G1274" s="302">
        <v>0.14100181507387111</v>
      </c>
      <c r="H1274" s="302">
        <f t="shared" si="461"/>
        <v>0.22517653501253992</v>
      </c>
      <c r="I1274" s="303"/>
      <c r="J1274" s="302">
        <v>2.1759884434883504E-2</v>
      </c>
      <c r="K1274" s="302">
        <v>0.10351299186122115</v>
      </c>
      <c r="L1274" s="302">
        <f t="shared" si="462"/>
        <v>0.12527287629610465</v>
      </c>
      <c r="M1274" s="236"/>
      <c r="N1274" s="236"/>
    </row>
    <row r="1275" spans="1:14" x14ac:dyDescent="0.2">
      <c r="A1275" s="237" t="str">
        <f>name!E$12</f>
        <v>Elementary occupations</v>
      </c>
      <c r="B1275" s="302">
        <v>2.8510486305511853E-2</v>
      </c>
      <c r="C1275" s="302">
        <v>0.17926465530234101</v>
      </c>
      <c r="D1275" s="302">
        <f t="shared" si="460"/>
        <v>0.20777514160785288</v>
      </c>
      <c r="E1275" s="303"/>
      <c r="F1275" s="302">
        <v>5.2190527804842297E-2</v>
      </c>
      <c r="G1275" s="302">
        <v>0.19531738809695059</v>
      </c>
      <c r="H1275" s="302">
        <f t="shared" si="461"/>
        <v>0.24750791590179289</v>
      </c>
      <c r="I1275" s="303"/>
      <c r="J1275" s="302">
        <v>8.0962793208469497E-2</v>
      </c>
      <c r="K1275" s="302">
        <v>0.1344948410621751</v>
      </c>
      <c r="L1275" s="302">
        <f t="shared" si="462"/>
        <v>0.2154576342706446</v>
      </c>
      <c r="M1275" s="236"/>
      <c r="N1275" s="236"/>
    </row>
    <row r="1276" spans="1:14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  <c r="N1276" s="236"/>
    </row>
    <row r="1277" spans="1:14" x14ac:dyDescent="0.2">
      <c r="A1277" s="244" t="s">
        <v>32</v>
      </c>
      <c r="B1277" s="311">
        <f>SUM(B1267:B1275)</f>
        <v>0.94000000001053197</v>
      </c>
      <c r="C1277" s="311">
        <f t="shared" ref="C1277:D1277" si="463">SUM(C1267:C1275)</f>
        <v>2.9210000000295495</v>
      </c>
      <c r="D1277" s="311">
        <f t="shared" si="463"/>
        <v>3.861000000040081</v>
      </c>
      <c r="E1277" s="311"/>
      <c r="F1277" s="311">
        <f t="shared" ref="F1277:H1277" si="464">SUM(F1267:F1275)</f>
        <v>1.9539999999646671</v>
      </c>
      <c r="G1277" s="311">
        <f t="shared" si="464"/>
        <v>4.816999999958643</v>
      </c>
      <c r="H1277" s="311">
        <f t="shared" si="464"/>
        <v>6.770999999923311</v>
      </c>
      <c r="I1277" s="311"/>
      <c r="J1277" s="311">
        <f t="shared" ref="J1277:L1277" si="465">SUM(J1267:J1275)</f>
        <v>1.7890000001520032</v>
      </c>
      <c r="K1277" s="311">
        <f t="shared" si="465"/>
        <v>4.8799999999796562</v>
      </c>
      <c r="L1277" s="311">
        <f t="shared" si="465"/>
        <v>6.6690000001316605</v>
      </c>
      <c r="M1277" s="236"/>
      <c r="N1277" s="236"/>
    </row>
    <row r="1278" spans="1:14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  <c r="N1278" s="236"/>
    </row>
    <row r="1279" spans="1:14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56" t="s">
        <v>35</v>
      </c>
      <c r="M1279" s="236"/>
      <c r="N1279" s="236"/>
    </row>
    <row r="1280" spans="1:14" x14ac:dyDescent="0.2">
      <c r="A1280" s="242"/>
      <c r="B1280" s="250"/>
      <c r="C1280" s="250"/>
      <c r="D1280" s="250"/>
      <c r="E1280" s="250"/>
      <c r="F1280" s="250"/>
      <c r="G1280" s="250"/>
      <c r="H1280" s="250"/>
      <c r="I1280" s="250"/>
      <c r="J1280" s="250"/>
      <c r="K1280" s="250"/>
      <c r="L1280" s="236"/>
      <c r="M1280" s="236"/>
      <c r="N1280" s="236"/>
    </row>
    <row r="1281" spans="1:14" x14ac:dyDescent="0.2">
      <c r="A1281" s="241" t="str">
        <f>name!A78</f>
        <v>Other personal service</v>
      </c>
      <c r="B1281" s="372">
        <f>B$6</f>
        <v>2015</v>
      </c>
      <c r="C1281" s="372"/>
      <c r="D1281" s="372"/>
      <c r="E1281" s="253"/>
      <c r="F1281" s="372">
        <f>F$6</f>
        <v>2020</v>
      </c>
      <c r="G1281" s="372"/>
      <c r="H1281" s="372"/>
      <c r="I1281" s="253"/>
      <c r="J1281" s="372">
        <f>J$6</f>
        <v>2035</v>
      </c>
      <c r="K1281" s="372"/>
      <c r="L1281" s="372"/>
      <c r="M1281" s="236"/>
      <c r="N1281" s="236"/>
    </row>
    <row r="1282" spans="1:14" x14ac:dyDescent="0.2">
      <c r="A1282" s="254"/>
      <c r="B1282" s="255" t="s">
        <v>352</v>
      </c>
      <c r="C1282" s="255" t="s">
        <v>353</v>
      </c>
      <c r="D1282" s="255" t="s">
        <v>32</v>
      </c>
      <c r="E1282" s="255"/>
      <c r="F1282" s="255" t="s">
        <v>352</v>
      </c>
      <c r="G1282" s="255" t="s">
        <v>353</v>
      </c>
      <c r="H1282" s="255" t="s">
        <v>32</v>
      </c>
      <c r="I1282" s="255"/>
      <c r="J1282" s="255" t="s">
        <v>352</v>
      </c>
      <c r="K1282" s="255" t="s">
        <v>353</v>
      </c>
      <c r="L1282" s="255" t="s">
        <v>32</v>
      </c>
      <c r="M1282" s="236"/>
      <c r="N1282" s="236"/>
    </row>
    <row r="1283" spans="1:14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  <c r="N1283" s="236"/>
    </row>
    <row r="1284" spans="1:14" x14ac:dyDescent="0.2">
      <c r="A1284" s="237" t="str">
        <f>name!E$4</f>
        <v>Managers, directors and senior officials</v>
      </c>
      <c r="B1284" s="302">
        <v>0.50120384307131927</v>
      </c>
      <c r="C1284" s="302">
        <v>1.5502234365913394</v>
      </c>
      <c r="D1284" s="302">
        <f>SUM(B1284:C1284)</f>
        <v>2.0514272796626587</v>
      </c>
      <c r="E1284" s="303"/>
      <c r="F1284" s="302">
        <v>1.1781406336315281</v>
      </c>
      <c r="G1284" s="302">
        <v>1.9958688268812421</v>
      </c>
      <c r="H1284" s="302">
        <f>SUM(F1284:G1284)</f>
        <v>3.17400946051277</v>
      </c>
      <c r="I1284" s="303"/>
      <c r="J1284" s="302">
        <v>1.0716582853522836</v>
      </c>
      <c r="K1284" s="302">
        <v>2.1815871571454988</v>
      </c>
      <c r="L1284" s="302">
        <f>SUM(J1284:K1284)</f>
        <v>3.2532454424977821</v>
      </c>
      <c r="M1284" s="236"/>
      <c r="N1284" s="236"/>
    </row>
    <row r="1285" spans="1:14" x14ac:dyDescent="0.2">
      <c r="A1285" s="237" t="str">
        <f>name!E$5</f>
        <v>Professional occupations</v>
      </c>
      <c r="B1285" s="302">
        <v>0.42748318597286145</v>
      </c>
      <c r="C1285" s="302">
        <v>1.1820184567862138</v>
      </c>
      <c r="D1285" s="302">
        <f t="shared" ref="D1285:D1292" si="466">SUM(B1285:C1285)</f>
        <v>1.6095016427590751</v>
      </c>
      <c r="E1285" s="303"/>
      <c r="F1285" s="302">
        <v>1.0805379424754724</v>
      </c>
      <c r="G1285" s="302">
        <v>1.7659000003490508</v>
      </c>
      <c r="H1285" s="302">
        <f t="shared" ref="H1285:H1292" si="467">SUM(F1285:G1285)</f>
        <v>2.8464379428245232</v>
      </c>
      <c r="I1285" s="303"/>
      <c r="J1285" s="302">
        <v>0.84647216562126282</v>
      </c>
      <c r="K1285" s="302">
        <v>1.8848094494740446</v>
      </c>
      <c r="L1285" s="302">
        <f t="shared" ref="L1285:L1292" si="468">SUM(J1285:K1285)</f>
        <v>2.7312816150953072</v>
      </c>
      <c r="M1285" s="236"/>
      <c r="N1285" s="236"/>
    </row>
    <row r="1286" spans="1:14" x14ac:dyDescent="0.2">
      <c r="A1286" s="237" t="str">
        <f>name!E$6</f>
        <v>Associate professional occupations</v>
      </c>
      <c r="B1286" s="302">
        <v>0.54828608267563617</v>
      </c>
      <c r="C1286" s="302">
        <v>0.96921763296272823</v>
      </c>
      <c r="D1286" s="302">
        <f t="shared" si="466"/>
        <v>1.5175037156383644</v>
      </c>
      <c r="E1286" s="303"/>
      <c r="F1286" s="302">
        <v>1.1579278103680053</v>
      </c>
      <c r="G1286" s="302">
        <v>1.3582225507078791</v>
      </c>
      <c r="H1286" s="302">
        <f t="shared" si="467"/>
        <v>2.5161503610758844</v>
      </c>
      <c r="I1286" s="303"/>
      <c r="J1286" s="302">
        <v>0.75138594577820716</v>
      </c>
      <c r="K1286" s="302">
        <v>1.1305991141860872</v>
      </c>
      <c r="L1286" s="302">
        <f t="shared" si="468"/>
        <v>1.8819850599642942</v>
      </c>
      <c r="M1286" s="236"/>
      <c r="N1286" s="236"/>
    </row>
    <row r="1287" spans="1:14" x14ac:dyDescent="0.2">
      <c r="A1287" s="237" t="str">
        <f>name!E$7</f>
        <v>Administrative and secretarial occupations</v>
      </c>
      <c r="B1287" s="302">
        <v>0.7321422980404807</v>
      </c>
      <c r="C1287" s="302">
        <v>0.17851485959206129</v>
      </c>
      <c r="D1287" s="302">
        <f t="shared" si="466"/>
        <v>0.91065715763254196</v>
      </c>
      <c r="E1287" s="303"/>
      <c r="F1287" s="302">
        <v>1.2320990361323936</v>
      </c>
      <c r="G1287" s="302">
        <v>0.25679373584179654</v>
      </c>
      <c r="H1287" s="302">
        <f t="shared" si="467"/>
        <v>1.4888927719741902</v>
      </c>
      <c r="I1287" s="303"/>
      <c r="J1287" s="302">
        <v>1.3263930416415197</v>
      </c>
      <c r="K1287" s="302">
        <v>0.27559113506112909</v>
      </c>
      <c r="L1287" s="302">
        <f t="shared" si="468"/>
        <v>1.6019841767026488</v>
      </c>
      <c r="M1287" s="236"/>
      <c r="N1287" s="236"/>
    </row>
    <row r="1288" spans="1:14" x14ac:dyDescent="0.2">
      <c r="A1288" s="237" t="str">
        <f>name!E$8</f>
        <v>Skilled trades occupations</v>
      </c>
      <c r="B1288" s="302">
        <v>0.19907143704616742</v>
      </c>
      <c r="C1288" s="302">
        <v>1.2247627405366477</v>
      </c>
      <c r="D1288" s="302">
        <f t="shared" si="466"/>
        <v>1.4238341775828152</v>
      </c>
      <c r="E1288" s="303"/>
      <c r="F1288" s="302">
        <v>0.49485513571095746</v>
      </c>
      <c r="G1288" s="302">
        <v>1.2617989319856151</v>
      </c>
      <c r="H1288" s="302">
        <f t="shared" si="467"/>
        <v>1.7566540676965725</v>
      </c>
      <c r="I1288" s="303"/>
      <c r="J1288" s="302">
        <v>0.69997425199803698</v>
      </c>
      <c r="K1288" s="302">
        <v>1.1654945587159304</v>
      </c>
      <c r="L1288" s="302">
        <f t="shared" si="468"/>
        <v>1.8654688107139674</v>
      </c>
      <c r="M1288" s="236"/>
      <c r="N1288" s="236"/>
    </row>
    <row r="1289" spans="1:14" x14ac:dyDescent="0.2">
      <c r="A1289" s="237" t="str">
        <f>name!E$9</f>
        <v>Caring, leisure and other service occupations</v>
      </c>
      <c r="B1289" s="302">
        <v>11.02098585288968</v>
      </c>
      <c r="C1289" s="302">
        <v>3.131417062784295</v>
      </c>
      <c r="D1289" s="302">
        <f t="shared" si="466"/>
        <v>14.152402915673974</v>
      </c>
      <c r="E1289" s="303"/>
      <c r="F1289" s="302">
        <v>20.429476078258599</v>
      </c>
      <c r="G1289" s="302">
        <v>4.420595513673752</v>
      </c>
      <c r="H1289" s="302">
        <f t="shared" si="467"/>
        <v>24.850071591932352</v>
      </c>
      <c r="I1289" s="303"/>
      <c r="J1289" s="302">
        <v>18.471599066978964</v>
      </c>
      <c r="K1289" s="302">
        <v>4.493773568658546</v>
      </c>
      <c r="L1289" s="302">
        <f t="shared" si="468"/>
        <v>22.965372635637511</v>
      </c>
      <c r="M1289" s="236"/>
      <c r="N1289" s="236"/>
    </row>
    <row r="1290" spans="1:14" x14ac:dyDescent="0.2">
      <c r="A1290" s="237" t="str">
        <f>name!E$10</f>
        <v>Sales and customer service occupations</v>
      </c>
      <c r="B1290" s="302">
        <v>0.31960187522403588</v>
      </c>
      <c r="C1290" s="302">
        <v>0.5354109616144882</v>
      </c>
      <c r="D1290" s="302">
        <f t="shared" si="466"/>
        <v>0.85501283683852414</v>
      </c>
      <c r="E1290" s="303"/>
      <c r="F1290" s="302">
        <v>0.52400749638696542</v>
      </c>
      <c r="G1290" s="302">
        <v>0.63131762553662307</v>
      </c>
      <c r="H1290" s="302">
        <f t="shared" si="467"/>
        <v>1.1553251219235885</v>
      </c>
      <c r="I1290" s="303"/>
      <c r="J1290" s="302">
        <v>0.42522693283017782</v>
      </c>
      <c r="K1290" s="302">
        <v>0.61786045501223652</v>
      </c>
      <c r="L1290" s="302">
        <f t="shared" si="468"/>
        <v>1.0430873878424143</v>
      </c>
      <c r="M1290" s="236"/>
      <c r="N1290" s="236"/>
    </row>
    <row r="1291" spans="1:14" x14ac:dyDescent="0.2">
      <c r="A1291" s="237" t="str">
        <f>name!E$11</f>
        <v>Process, plant and machine operatives</v>
      </c>
      <c r="B1291" s="302">
        <v>4.1257282304444517E-2</v>
      </c>
      <c r="C1291" s="302">
        <v>1.0106739033648697</v>
      </c>
      <c r="D1291" s="302">
        <f t="shared" si="466"/>
        <v>1.0519311856693143</v>
      </c>
      <c r="E1291" s="303"/>
      <c r="F1291" s="302">
        <v>7.295825179682959E-2</v>
      </c>
      <c r="G1291" s="302">
        <v>1.2535648192507487</v>
      </c>
      <c r="H1291" s="302">
        <f t="shared" si="467"/>
        <v>1.3265230710475784</v>
      </c>
      <c r="I1291" s="303"/>
      <c r="J1291" s="302">
        <v>9.5138046006954233E-2</v>
      </c>
      <c r="K1291" s="302">
        <v>1.0800756321296181</v>
      </c>
      <c r="L1291" s="302">
        <f t="shared" si="468"/>
        <v>1.1752136781365723</v>
      </c>
      <c r="M1291" s="236"/>
      <c r="N1291" s="236"/>
    </row>
    <row r="1292" spans="1:14" x14ac:dyDescent="0.2">
      <c r="A1292" s="237" t="str">
        <f>name!E$12</f>
        <v>Elementary occupations</v>
      </c>
      <c r="B1292" s="302">
        <v>0.48096814311289265</v>
      </c>
      <c r="C1292" s="302">
        <v>1.8227609458160645</v>
      </c>
      <c r="D1292" s="302">
        <f t="shared" si="466"/>
        <v>2.3037290889289572</v>
      </c>
      <c r="E1292" s="303"/>
      <c r="F1292" s="302">
        <v>0.689997615117525</v>
      </c>
      <c r="G1292" s="302">
        <v>2.0489379958606833</v>
      </c>
      <c r="H1292" s="302">
        <f t="shared" si="467"/>
        <v>2.7389356109782081</v>
      </c>
      <c r="I1292" s="303"/>
      <c r="J1292" s="302">
        <v>0.51015226353942111</v>
      </c>
      <c r="K1292" s="302">
        <v>1.9052089297216461</v>
      </c>
      <c r="L1292" s="302">
        <f t="shared" si="468"/>
        <v>2.4153611932610675</v>
      </c>
      <c r="M1292" s="236"/>
      <c r="N1292" s="236"/>
    </row>
    <row r="1293" spans="1:14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  <c r="N1293" s="236"/>
    </row>
    <row r="1294" spans="1:14" x14ac:dyDescent="0.2">
      <c r="A1294" s="244" t="s">
        <v>32</v>
      </c>
      <c r="B1294" s="311">
        <f>SUM(B1284:B1292)</f>
        <v>14.271000000337519</v>
      </c>
      <c r="C1294" s="311">
        <f t="shared" ref="C1294:D1294" si="469">SUM(C1284:C1292)</f>
        <v>11.605000000048706</v>
      </c>
      <c r="D1294" s="311">
        <f t="shared" si="469"/>
        <v>25.876000000386227</v>
      </c>
      <c r="E1294" s="311"/>
      <c r="F1294" s="311">
        <f t="shared" ref="F1294:H1294" si="470">SUM(F1284:F1292)</f>
        <v>26.859999999878276</v>
      </c>
      <c r="G1294" s="311">
        <f t="shared" si="470"/>
        <v>14.99300000008739</v>
      </c>
      <c r="H1294" s="311">
        <f t="shared" si="470"/>
        <v>41.852999999965668</v>
      </c>
      <c r="I1294" s="311"/>
      <c r="J1294" s="311">
        <f t="shared" ref="J1294:L1294" si="471">SUM(J1284:J1292)</f>
        <v>24.197999999746827</v>
      </c>
      <c r="K1294" s="311">
        <f t="shared" si="471"/>
        <v>14.735000000104737</v>
      </c>
      <c r="L1294" s="311">
        <f t="shared" si="471"/>
        <v>38.93299999985156</v>
      </c>
      <c r="M1294" s="236"/>
      <c r="N1294" s="236"/>
    </row>
    <row r="1295" spans="1:14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  <c r="N1295" s="236"/>
    </row>
  </sheetData>
  <mergeCells count="228"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</mergeCells>
  <pageMargins left="0.7" right="0.7" top="0.75" bottom="0.75" header="0.3" footer="0.3"/>
  <pageSetup paperSize="9" scale="75" orientation="portrait" r:id="rId1"/>
  <rowBreaks count="19" manualBreakCount="19">
    <brk id="54" max="16383" man="1"/>
    <brk id="122" max="11" man="1"/>
    <brk id="190" max="11" man="1"/>
    <brk id="258" max="11" man="1"/>
    <brk id="326" max="11" man="1"/>
    <brk id="394" max="11" man="1"/>
    <brk id="462" max="11" man="1"/>
    <brk id="530" max="11" man="1"/>
    <brk id="598" max="11" man="1"/>
    <brk id="666" max="11" man="1"/>
    <brk id="734" max="11" man="1"/>
    <brk id="802" max="11" man="1"/>
    <brk id="870" max="11" man="1"/>
    <brk id="938" max="11" man="1"/>
    <brk id="1006" max="11" man="1"/>
    <brk id="1074" max="11" man="1"/>
    <brk id="1142" max="11" man="1"/>
    <brk id="1210" max="11" man="1"/>
    <brk id="1278" max="11" man="1"/>
  </rowBreaks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>
    <pageSetUpPr fitToPage="1"/>
  </sheetPr>
  <dimension ref="A1:W1295"/>
  <sheetViews>
    <sheetView showGridLines="0" zoomScale="85" zoomScaleNormal="85" workbookViewId="0"/>
  </sheetViews>
  <sheetFormatPr defaultRowHeight="12.75" x14ac:dyDescent="0.2"/>
  <cols>
    <col min="1" max="1" width="37.85546875" customWidth="1"/>
    <col min="2" max="2" width="5.7109375" bestFit="1" customWidth="1"/>
    <col min="3" max="4" width="4.140625" bestFit="1" customWidth="1"/>
    <col min="5" max="5" width="5.7109375" bestFit="1" customWidth="1"/>
    <col min="6" max="6" width="4.7109375" customWidth="1"/>
    <col min="7" max="7" width="5.7109375" bestFit="1" customWidth="1"/>
    <col min="8" max="9" width="4.140625" bestFit="1" customWidth="1"/>
    <col min="10" max="10" width="5.7109375" bestFit="1" customWidth="1"/>
    <col min="11" max="11" width="4.85546875" customWidth="1"/>
    <col min="12" max="12" width="5.7109375" bestFit="1" customWidth="1"/>
    <col min="13" max="14" width="4.140625" bestFit="1" customWidth="1"/>
    <col min="15" max="15" width="5.7109375" bestFit="1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8" t="str">
        <f>CONCATENATE("Industry and Occupation Table 2  Occuptation composition (SOC2020) by employment status, ",B$6,"-",L$6,", ",Info!B5)</f>
        <v>Industry and Occupation Table 2  Occuptation composition (SOC2020) by employment status, 2015-2035, East Midlands</v>
      </c>
    </row>
    <row r="2" spans="1:23" x14ac:dyDescent="0.2">
      <c r="A2" s="258" t="s">
        <v>535</v>
      </c>
    </row>
    <row r="4" spans="1:23" x14ac:dyDescent="0.2">
      <c r="O4" s="251" t="s">
        <v>35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2">
        <v>2015</v>
      </c>
      <c r="C6" s="372"/>
      <c r="D6" s="372"/>
      <c r="E6" s="372"/>
      <c r="F6" s="246"/>
      <c r="G6" s="372">
        <v>2020</v>
      </c>
      <c r="H6" s="372"/>
      <c r="I6" s="372"/>
      <c r="J6" s="372"/>
      <c r="K6" s="278"/>
      <c r="L6" s="372">
        <v>2035</v>
      </c>
      <c r="M6" s="372"/>
      <c r="N6" s="372"/>
      <c r="O6" s="372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32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32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32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149.81869645494783</v>
      </c>
      <c r="C9" s="249">
        <f t="shared" ref="C9:D9" si="0"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22.29281064718608</v>
      </c>
      <c r="D9" s="249">
        <f t="shared" si="0"/>
        <v>40.855439414658946</v>
      </c>
      <c r="E9" s="249">
        <f>SUM(B9:D9)</f>
        <v>212.96694651679286</v>
      </c>
      <c r="F9" s="238"/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177.26468831825539</v>
      </c>
      <c r="H9" s="249">
        <f t="shared" ref="H9:I9" si="1">SUM(H26,H43,H60,H77,H94,H111,H128,H145,H162,H179,H196,H213,H230,H247,H264,H281,H298,H315,H332,H349,H366,H383,H400,H417,H434,H451,H468,H485,H502,H519,H536,H553,H570,H587,H604,H621,H638,H655,H672,H689,H706,H723,H740,H757,H774,H791,H808,H825,H842,H859,H876,H893,H910,H927,H944,H961,H978,H995,H1012,H1029,H1046,H1063,H1080,H1097,H1114,H1131,H1148,H1165,H1182,H1199,H1216,H1233,H1250,H1267,H1284)</f>
        <v>34.875672645290173</v>
      </c>
      <c r="I9" s="249">
        <f t="shared" si="1"/>
        <v>49.458576943315684</v>
      </c>
      <c r="J9" s="249">
        <f>SUM(G9:I9)</f>
        <v>261.59893790686124</v>
      </c>
      <c r="K9" s="238"/>
      <c r="L9" s="249">
        <f>SUM(L26,L43,L60,L77,L94,L111,L128,L145,L162,L179,L196,L213,L230,L247,L264,L281,L298,L315,L332,L349,L366,L383,L400,L417,L434,L451,L468,L485,L502,L519,L536,L553,L570,L587,L604,L621,L638,L655,L672,L689,L706,L723,L740,L757,L774,L791,L808,L825,L842,L859,L876,L893,L910,L927,L944,L961,L978,L995,L1012,L1029,L1046,L1063,L1080,L1097,L1114,L1131,L1148,L1165,L1182,L1199,L1216,L1233,L1250,L1267,L1284)</f>
        <v>193.55356077974977</v>
      </c>
      <c r="M9" s="249">
        <f t="shared" ref="M9:N9" si="2">SUM(M26,M43,M60,M77,M94,M111,M128,M145,M162,M179,M196,M213,M230,M247,M264,M281,M298,M315,M332,M349,M366,M383,M400,M417,M434,M451,M468,M485,M502,M519,M536,M553,M570,M587,M604,M621,M638,M655,M672,M689,M706,M723,M740,M757,M774,M791,M808,M825,M842,M859,M876,M893,M910,M927,M944,M961,M978,M995,M1012,M1029,M1046,M1063,M1080,M1097,M1114,M1131,M1148,M1165,M1182,M1199,M1216,M1233,M1250,M1267,M1284)</f>
        <v>44.846821889103936</v>
      </c>
      <c r="N9" s="249">
        <f t="shared" si="2"/>
        <v>57.9462076983326</v>
      </c>
      <c r="O9" s="249">
        <f>SUM(L9:N9)</f>
        <v>296.34659036718631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0" si="3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278.81172702557598</v>
      </c>
      <c r="C10" s="249">
        <f t="shared" si="3"/>
        <v>72.30108399542452</v>
      </c>
      <c r="D10" s="249">
        <f t="shared" si="3"/>
        <v>50.408688883730186</v>
      </c>
      <c r="E10" s="249">
        <f t="shared" ref="E10:E17" si="4">SUM(B10:D10)</f>
        <v>401.52149990473066</v>
      </c>
      <c r="F10" s="238"/>
      <c r="G10" s="249">
        <f t="shared" ref="G10:I10" si="5">SUM(G27,G44,G61,G78,G95,G112,G129,G146,G163,G180,G197,G214,G231,G248,G265,G282,G299,G316,G333,G350,G367,G384,G401,G418,G435,G452,G469,G486,G503,G520,G537,G554,G571,G588,G605,G622,G639,G656,G673,G690,G707,G724,G741,G758,G775,G792,G809,G826,G843,G860,G877,G894,G911,G928,G945,G962,G979,G996,G1013,G1030,G1047,G1064,G1081,G1098,G1115,G1132,G1149,G1166,G1183,G1200,G1217,G1234,G1251,G1268,G1285)</f>
        <v>349.55534812452021</v>
      </c>
      <c r="H10" s="249">
        <f t="shared" si="5"/>
        <v>93.216649809752582</v>
      </c>
      <c r="I10" s="249">
        <f t="shared" si="5"/>
        <v>52.724147276665114</v>
      </c>
      <c r="J10" s="249">
        <f t="shared" ref="J10:J17" si="6">SUM(G10:I10)</f>
        <v>495.49614521093793</v>
      </c>
      <c r="K10" s="238"/>
      <c r="L10" s="249">
        <f t="shared" ref="L10:N10" si="7">SUM(L27,L44,L61,L78,L95,L112,L129,L146,L163,L180,L197,L214,L231,L248,L265,L282,L299,L316,L333,L350,L367,L384,L401,L418,L435,L452,L469,L486,L503,L520,L537,L554,L571,L588,L605,L622,L639,L656,L673,L690,L707,L724,L741,L758,L775,L792,L809,L826,L843,L860,L877,L894,L911,L928,L945,L962,L979,L996,L1013,L1030,L1047,L1064,L1081,L1098,L1115,L1132,L1149,L1166,L1183,L1200,L1217,L1234,L1251,L1268,L1285)</f>
        <v>416.70254783421842</v>
      </c>
      <c r="M10" s="249">
        <f t="shared" si="7"/>
        <v>112.76879158805049</v>
      </c>
      <c r="N10" s="249">
        <f t="shared" si="7"/>
        <v>52.410911638947134</v>
      </c>
      <c r="O10" s="249">
        <f t="shared" ref="O10:O17" si="8">SUM(L10:N10)</f>
        <v>581.88225106121604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ref="B11:D11" si="9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169.31611606792805</v>
      </c>
      <c r="C11" s="249">
        <f t="shared" si="9"/>
        <v>49.144960415534008</v>
      </c>
      <c r="D11" s="249">
        <f t="shared" si="9"/>
        <v>36.025563087853747</v>
      </c>
      <c r="E11" s="249">
        <f t="shared" si="4"/>
        <v>254.48663957131581</v>
      </c>
      <c r="F11" s="238"/>
      <c r="G11" s="249">
        <f t="shared" ref="G11:I11" si="10">SUM(G28,G45,G62,G79,G96,G113,G130,G147,G164,G181,G198,G215,G232,G249,G266,G283,G300,G317,G334,G351,G368,G385,G402,G419,G436,G453,G470,G487,G504,G521,G538,G555,G572,G589,G606,G623,G640,G657,G674,G691,G708,G725,G742,G759,G776,G793,G810,G827,G844,G861,G878,G895,G912,G929,G946,G963,G980,G997,G1014,G1031,G1048,G1065,G1082,G1099,G1116,G1133,G1150,G1167,G1184,G1201,G1218,G1235,G1252,G1269,G1286)</f>
        <v>199.89724474729533</v>
      </c>
      <c r="H11" s="249">
        <f t="shared" si="10"/>
        <v>59.065659435836302</v>
      </c>
      <c r="I11" s="249">
        <f t="shared" si="10"/>
        <v>34.398374751000816</v>
      </c>
      <c r="J11" s="249">
        <f t="shared" si="6"/>
        <v>293.36127893413243</v>
      </c>
      <c r="K11" s="238"/>
      <c r="L11" s="249">
        <f t="shared" ref="L11:N11" si="11">SUM(L28,L45,L62,L79,L96,L113,L130,L147,L164,L181,L198,L215,L232,L249,L266,L283,L300,L317,L334,L351,L368,L385,L402,L419,L436,L453,L470,L487,L504,L521,L538,L555,L572,L589,L606,L623,L640,L657,L674,L691,L708,L725,L742,L759,L776,L793,L810,L827,L844,L861,L878,L895,L912,L929,L946,L963,L980,L997,L1014,L1031,L1048,L1065,L1082,L1099,L1116,L1133,L1150,L1167,L1184,L1201,L1218,L1235,L1252,L1269,L1286)</f>
        <v>207.66541540765064</v>
      </c>
      <c r="M11" s="249">
        <f t="shared" si="11"/>
        <v>61.808086147282872</v>
      </c>
      <c r="N11" s="249">
        <f t="shared" si="11"/>
        <v>34.342223155174501</v>
      </c>
      <c r="O11" s="249">
        <f t="shared" si="8"/>
        <v>303.81572471010804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ref="B12:D12" si="12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132.38245039450783</v>
      </c>
      <c r="C12" s="249">
        <f t="shared" si="12"/>
        <v>100.21458530315586</v>
      </c>
      <c r="D12" s="249">
        <f t="shared" si="12"/>
        <v>10.1069136087853</v>
      </c>
      <c r="E12" s="249">
        <f t="shared" si="4"/>
        <v>242.70394930644898</v>
      </c>
      <c r="F12" s="238"/>
      <c r="G12" s="249">
        <f t="shared" ref="G12:I12" si="13">SUM(G29,G46,G63,G80,G97,G114,G131,G148,G165,G182,G199,G216,G233,G250,G267,G284,G301,G318,G335,G352,G369,G386,G403,G420,G437,G454,G471,G488,G505,G522,G539,G556,G573,G590,G607,G624,G641,G658,G675,G692,G709,G726,G743,G760,G777,G794,G811,G828,G845,G862,G879,G896,G913,G930,G947,G964,G981,G998,G1015,G1032,G1049,G1066,G1083,G1100,G1117,G1134,G1151,G1168,G1185,G1202,G1219,G1236,G1253,G1270,G1287)</f>
        <v>140.09929848385082</v>
      </c>
      <c r="H12" s="249">
        <f t="shared" si="13"/>
        <v>100.39535048336808</v>
      </c>
      <c r="I12" s="249">
        <f t="shared" si="13"/>
        <v>11.459111959261891</v>
      </c>
      <c r="J12" s="249">
        <f t="shared" si="6"/>
        <v>251.95376092648078</v>
      </c>
      <c r="K12" s="238"/>
      <c r="L12" s="249">
        <f t="shared" ref="L12:N12" si="14">SUM(L29,L46,L63,L80,L97,L114,L131,L148,L165,L182,L199,L216,L233,L250,L267,L284,L301,L318,L335,L352,L369,L386,L403,L420,L437,L454,L471,L488,L505,L522,L539,L556,L573,L590,L607,L624,L641,L658,L675,L692,L709,L726,L743,L760,L777,L794,L811,L828,L845,L862,L879,L896,L913,L930,L947,L964,L981,L998,L1015,L1032,L1049,L1066,L1083,L1100,L1117,L1134,L1151,L1168,L1185,L1202,L1219,L1236,L1253,L1270,L1287)</f>
        <v>120.65228605976958</v>
      </c>
      <c r="M12" s="249">
        <f t="shared" si="14"/>
        <v>85.255661790119646</v>
      </c>
      <c r="N12" s="249">
        <f t="shared" si="14"/>
        <v>10.846489445443586</v>
      </c>
      <c r="O12" s="249">
        <f t="shared" si="8"/>
        <v>216.75443729533282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ref="B13:D13" si="15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139.02844614882167</v>
      </c>
      <c r="C13" s="249">
        <f t="shared" si="15"/>
        <v>25.60327658029491</v>
      </c>
      <c r="D13" s="249">
        <f t="shared" si="15"/>
        <v>68.378436706283679</v>
      </c>
      <c r="E13" s="249">
        <f t="shared" si="4"/>
        <v>233.01015943540025</v>
      </c>
      <c r="F13" s="238"/>
      <c r="G13" s="249">
        <f t="shared" ref="G13:I13" si="16">SUM(G30,G47,G64,G81,G98,G115,G132,G149,G166,G183,G200,G217,G234,G251,G268,G285,G302,G319,G336,G353,G370,G387,G404,G421,G438,G455,G472,G489,G506,G523,G540,G557,G574,G591,G608,G625,G642,G659,G676,G693,G710,G727,G744,G761,G778,G795,G812,G829,G846,G863,G880,G897,G914,G931,G948,G965,G982,G999,G1016,G1033,G1050,G1067,G1084,G1101,G1118,G1135,G1152,G1169,G1186,G1203,G1220,G1237,G1254,G1271,G1288)</f>
        <v>122.33182023672845</v>
      </c>
      <c r="H13" s="249">
        <f t="shared" si="16"/>
        <v>20.88377376188194</v>
      </c>
      <c r="I13" s="249">
        <f t="shared" si="16"/>
        <v>65.589561030108754</v>
      </c>
      <c r="J13" s="249">
        <f t="shared" si="6"/>
        <v>208.80515502871913</v>
      </c>
      <c r="K13" s="238"/>
      <c r="L13" s="249">
        <f t="shared" ref="L13:N13" si="17">SUM(L30,L47,L64,L81,L98,L115,L132,L149,L166,L183,L200,L217,L234,L251,L268,L285,L302,L319,L336,L353,L370,L387,L404,L421,L438,L455,L472,L489,L506,L523,L540,L557,L574,L591,L608,L625,L642,L659,L676,L693,L710,L727,L744,L761,L778,L795,L812,L829,L846,L863,L880,L897,L914,L931,L948,L965,L982,L999,L1016,L1033,L1050,L1067,L1084,L1101,L1118,L1135,L1152,L1169,L1186,L1203,L1220,L1237,L1254,L1271,L1288)</f>
        <v>101.38937195347137</v>
      </c>
      <c r="M13" s="249">
        <f t="shared" si="17"/>
        <v>22.048617481867836</v>
      </c>
      <c r="N13" s="249">
        <f t="shared" si="17"/>
        <v>66.286775745505864</v>
      </c>
      <c r="O13" s="249">
        <f t="shared" si="8"/>
        <v>189.72476518084505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ref="B14:D14" si="18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114.53082719791374</v>
      </c>
      <c r="C14" s="249">
        <f t="shared" si="18"/>
        <v>114.51932590906831</v>
      </c>
      <c r="D14" s="249">
        <f t="shared" si="18"/>
        <v>19.851400236289969</v>
      </c>
      <c r="E14" s="249">
        <f t="shared" si="4"/>
        <v>248.90155334327204</v>
      </c>
      <c r="F14" s="238"/>
      <c r="G14" s="249">
        <f t="shared" ref="G14:I14" si="19">SUM(G31,G48,G65,G82,G99,G116,G133,G150,G167,G184,G201,G218,G235,G252,G269,G286,G303,G320,G337,G354,G371,G388,G405,G422,G439,G456,G473,G490,G507,G524,G541,G558,G575,G592,G609,G626,G643,G660,G677,G694,G711,G728,G745,G762,G779,G796,G813,G830,G847,G864,G881,G898,G915,G932,G949,G966,G983,G1000,G1017,G1034,G1051,G1068,G1085,G1102,G1119,G1136,G1153,G1170,G1187,G1204,G1221,G1238,G1255,G1272,G1289)</f>
        <v>115.60713067947749</v>
      </c>
      <c r="H14" s="249">
        <f t="shared" si="19"/>
        <v>112.0781207769779</v>
      </c>
      <c r="I14" s="249">
        <f t="shared" si="19"/>
        <v>29.015883014181888</v>
      </c>
      <c r="J14" s="249">
        <f t="shared" si="6"/>
        <v>256.70113447063727</v>
      </c>
      <c r="K14" s="238"/>
      <c r="L14" s="249">
        <f t="shared" ref="L14:N14" si="20">SUM(L31,L48,L65,L82,L99,L116,L133,L150,L167,L184,L201,L218,L235,L252,L269,L286,L303,L320,L337,L354,L371,L388,L405,L422,L439,L456,L473,L490,L507,L524,L541,L558,L575,L592,L609,L626,L643,L660,L677,L694,L711,L728,L745,L762,L779,L796,L813,L830,L847,L864,L881,L898,L915,L932,L949,L966,L983,L1000,L1017,L1034,L1051,L1068,L1085,L1102,L1119,L1136,L1153,L1170,L1187,L1204,L1221,L1238,L1255,L1272,L1289)</f>
        <v>139.47710773857415</v>
      </c>
      <c r="M14" s="249">
        <f t="shared" si="20"/>
        <v>119.77281578962004</v>
      </c>
      <c r="N14" s="249">
        <f t="shared" si="20"/>
        <v>32.757842803761022</v>
      </c>
      <c r="O14" s="249">
        <f t="shared" si="8"/>
        <v>292.00776633195522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ref="B15:D15" si="21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74.135574601059062</v>
      </c>
      <c r="C15" s="249">
        <f t="shared" si="21"/>
        <v>120.75512019665686</v>
      </c>
      <c r="D15" s="249">
        <f t="shared" si="21"/>
        <v>14.687635008806767</v>
      </c>
      <c r="E15" s="249">
        <f t="shared" si="4"/>
        <v>209.5783298065227</v>
      </c>
      <c r="F15" s="238"/>
      <c r="G15" s="249">
        <f t="shared" ref="G15:I15" si="22">SUM(G32,G49,G66,G83,G100,G117,G134,G151,G168,G185,G202,G219,G236,G253,G270,G287,G304,G321,G338,G355,G372,G389,G406,G423,G440,G457,G474,G491,G508,G525,G542,G559,G576,G593,G610,G627,G644,G661,G678,G695,G712,G729,G746,G763,G780,G797,G814,G831,G848,G865,G882,G899,G916,G933,G950,G967,G984,G1001,G1018,G1035,G1052,G1069,G1086,G1103,G1120,G1137,G1154,G1171,G1188,G1205,G1222,G1239,G1256,G1273,G1290)</f>
        <v>67.73714607275889</v>
      </c>
      <c r="H15" s="249">
        <f t="shared" si="22"/>
        <v>118.73643088658628</v>
      </c>
      <c r="I15" s="249">
        <f t="shared" si="22"/>
        <v>11.708528686171995</v>
      </c>
      <c r="J15" s="249">
        <f t="shared" si="6"/>
        <v>198.18210564551717</v>
      </c>
      <c r="K15" s="238"/>
      <c r="L15" s="249">
        <f t="shared" ref="L15:N15" si="23">SUM(L32,L49,L66,L83,L100,L117,L134,L151,L168,L185,L202,L219,L236,L253,L270,L287,L304,L321,L338,L355,L372,L389,L406,L423,L440,L457,L474,L491,L508,L525,L542,L559,L576,L593,L610,L627,L644,L661,L678,L695,L712,L729,L746,L763,L780,L797,L814,L831,L848,L865,L882,L899,L916,L933,L950,L967,L984,L1001,L1018,L1035,L1052,L1069,L1086,L1103,L1120,L1137,L1154,L1171,L1188,L1205,L1222,L1239,L1256,L1273,L1290)</f>
        <v>66.013206210235239</v>
      </c>
      <c r="M15" s="249">
        <f t="shared" si="23"/>
        <v>121.05888830817484</v>
      </c>
      <c r="N15" s="249">
        <f t="shared" si="23"/>
        <v>9.9589463249341463</v>
      </c>
      <c r="O15" s="249">
        <f t="shared" si="8"/>
        <v>197.03104084334424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ref="B16:D16" si="24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145.24309488573715</v>
      </c>
      <c r="C16" s="249">
        <f t="shared" si="24"/>
        <v>24.884169858408772</v>
      </c>
      <c r="D16" s="249">
        <f t="shared" si="24"/>
        <v>19.160174744546019</v>
      </c>
      <c r="E16" s="249">
        <f t="shared" si="4"/>
        <v>189.28743948869194</v>
      </c>
      <c r="F16" s="238"/>
      <c r="G16" s="249">
        <f t="shared" ref="G16:I16" si="25">SUM(G33,G50,G67,G84,G101,G118,G135,G152,G169,G186,G203,G220,G237,G254,G271,G288,G305,G322,G339,G356,G373,G390,G407,G424,G441,G458,G475,G492,G509,G526,G543,G560,G577,G594,G611,G628,G645,G662,G679,G696,G713,G730,G747,G764,G781,G798,G815,G832,G849,G866,G883,G900,G917,G934,G951,G968,G985,G1002,G1019,G1036,G1053,G1070,G1087,G1104,G1121,G1138,G1155,G1172,G1189,G1206,G1223,G1240,G1257,G1274,G1291)</f>
        <v>131.57968500146558</v>
      </c>
      <c r="H16" s="249">
        <f t="shared" si="25"/>
        <v>30.102317542829109</v>
      </c>
      <c r="I16" s="249">
        <f t="shared" si="25"/>
        <v>26.465698761970803</v>
      </c>
      <c r="J16" s="249">
        <f t="shared" si="6"/>
        <v>188.14770130626547</v>
      </c>
      <c r="K16" s="238"/>
      <c r="L16" s="249">
        <f t="shared" ref="L16:N16" si="26">SUM(L33,L50,L67,L84,L101,L118,L135,L152,L169,L186,L203,L220,L237,L254,L271,L288,L305,L322,L339,L356,L373,L390,L407,L424,L441,L458,L475,L492,L509,L526,L543,L560,L577,L594,L611,L628,L645,L662,L679,L696,L713,L730,L747,L764,L781,L798,L815,L832,L849,L866,L883,L900,L917,L934,L951,L968,L985,L1002,L1019,L1036,L1053,L1070,L1087,L1104,L1121,L1138,L1155,L1172,L1189,L1206,L1223,L1240,L1257,L1274,L1291)</f>
        <v>138.87835018854418</v>
      </c>
      <c r="M16" s="249">
        <f t="shared" si="26"/>
        <v>37.893339482122023</v>
      </c>
      <c r="N16" s="249">
        <f t="shared" si="26"/>
        <v>29.418610655197817</v>
      </c>
      <c r="O16" s="249">
        <f t="shared" si="8"/>
        <v>206.19030032586403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ref="B17:D17" si="27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137.89306721993762</v>
      </c>
      <c r="C17" s="249">
        <f t="shared" si="27"/>
        <v>129.55066709793661</v>
      </c>
      <c r="D17" s="249">
        <f t="shared" si="27"/>
        <v>14.590748308179052</v>
      </c>
      <c r="E17" s="249">
        <f t="shared" si="4"/>
        <v>282.03448262605332</v>
      </c>
      <c r="F17" s="238"/>
      <c r="G17" s="249">
        <f t="shared" ref="G17:I17" si="28">SUM(G34,G51,G68,G85,G102,G119,G136,G153,G170,G187,G204,G221,G238,G255,G272,G289,G306,G323,G340,G357,G374,G391,G408,G425,G442,G459,G476,G493,G510,G527,G544,G561,G578,G595,G612,G629,G646,G663,G680,G697,G714,G731,G748,G765,G782,G799,G816,G833,G850,G867,G884,G901,G918,G935,G952,G969,G986,G1003,G1020,G1037,G1054,G1071,G1088,G1105,G1122,G1139,G1156,G1173,G1190,G1207,G1224,G1241,G1258,G1275,G1292)</f>
        <v>118.51763833129411</v>
      </c>
      <c r="H17" s="249">
        <f t="shared" si="28"/>
        <v>117.18102466145655</v>
      </c>
      <c r="I17" s="249">
        <f t="shared" si="28"/>
        <v>14.293117576035838</v>
      </c>
      <c r="J17" s="249">
        <f t="shared" si="6"/>
        <v>249.99178056878648</v>
      </c>
      <c r="K17" s="238"/>
      <c r="L17" s="249">
        <f t="shared" ref="L17:N17" si="29">SUM(L34,L51,L68,L85,L102,L119,L136,L153,L170,L187,L204,L221,L238,L255,L272,L289,L306,L323,L340,L357,L374,L391,L408,L425,L442,L459,L476,L493,L510,L527,L544,L561,L578,L595,L612,L629,L646,L663,L680,L697,L714,L731,L748,L765,L782,L799,L816,L833,L850,L867,L884,L901,L918,L935,L952,L969,L986,L1003,L1020,L1037,L1054,L1071,L1088,L1105,L1122,L1139,L1156,L1173,L1190,L1207,L1224,L1241,L1258,L1275,L1292)</f>
        <v>114.27015382737051</v>
      </c>
      <c r="M17" s="249">
        <f t="shared" si="29"/>
        <v>94.306977522322569</v>
      </c>
      <c r="N17" s="249">
        <f t="shared" si="29"/>
        <v>18.363992533724527</v>
      </c>
      <c r="O17" s="249">
        <f t="shared" si="8"/>
        <v>226.94112388341762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32</v>
      </c>
      <c r="B19" s="247">
        <f>SUM(B9:B17)</f>
        <v>1341.1599999964287</v>
      </c>
      <c r="C19" s="247">
        <f t="shared" ref="C19:O19" si="30">SUM(C9:C17)</f>
        <v>659.26600000366591</v>
      </c>
      <c r="D19" s="247">
        <f t="shared" si="30"/>
        <v>274.0649999991337</v>
      </c>
      <c r="E19" s="247">
        <f t="shared" si="30"/>
        <v>2274.4909999992287</v>
      </c>
      <c r="F19" s="247"/>
      <c r="G19" s="247">
        <f t="shared" si="30"/>
        <v>1422.5899999956462</v>
      </c>
      <c r="H19" s="247">
        <f t="shared" si="30"/>
        <v>686.53500000397889</v>
      </c>
      <c r="I19" s="247">
        <f t="shared" si="30"/>
        <v>295.11299999871278</v>
      </c>
      <c r="J19" s="247">
        <f t="shared" si="30"/>
        <v>2404.2379999983377</v>
      </c>
      <c r="K19" s="247"/>
      <c r="L19" s="247">
        <f t="shared" si="30"/>
        <v>1498.6019999995838</v>
      </c>
      <c r="M19" s="247">
        <f t="shared" si="30"/>
        <v>699.75999999866417</v>
      </c>
      <c r="N19" s="247">
        <f t="shared" si="30"/>
        <v>312.33200000102119</v>
      </c>
      <c r="O19" s="247">
        <f t="shared" si="30"/>
        <v>2510.6939999992692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35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name!A4</f>
        <v>Agriculture, etc</v>
      </c>
      <c r="B23" s="374">
        <f>$B$6</f>
        <v>2015</v>
      </c>
      <c r="C23" s="374"/>
      <c r="D23" s="374"/>
      <c r="E23" s="374"/>
      <c r="F23" s="263"/>
      <c r="G23" s="374">
        <f>$G$6</f>
        <v>2020</v>
      </c>
      <c r="H23" s="374"/>
      <c r="I23" s="374"/>
      <c r="J23" s="374"/>
      <c r="K23" s="263"/>
      <c r="L23" s="374">
        <f>$L$6</f>
        <v>2035</v>
      </c>
      <c r="M23" s="374"/>
      <c r="N23" s="374"/>
      <c r="O23" s="374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1.3348876617473697</v>
      </c>
      <c r="C26" s="302">
        <v>0.40885474219899492</v>
      </c>
      <c r="D26" s="302">
        <v>0.22780999528440346</v>
      </c>
      <c r="E26" s="302">
        <f>SUM(B26:D26)</f>
        <v>1.9715523992307682</v>
      </c>
      <c r="F26" s="303"/>
      <c r="G26" s="302">
        <v>3.1346431632978349</v>
      </c>
      <c r="H26" s="302">
        <v>0.44383376622160764</v>
      </c>
      <c r="I26" s="302">
        <v>0.3699324682318994</v>
      </c>
      <c r="J26" s="302">
        <f>SUM(G26:I26)</f>
        <v>3.9484093977513419</v>
      </c>
      <c r="K26" s="303"/>
      <c r="L26" s="302">
        <v>4.2307511240604319</v>
      </c>
      <c r="M26" s="302">
        <v>0.40391641851868304</v>
      </c>
      <c r="N26" s="302">
        <v>0.37617310088854305</v>
      </c>
      <c r="O26" s="302">
        <f>SUM(L26:N26)</f>
        <v>5.0108406434676587</v>
      </c>
    </row>
    <row r="27" spans="1:15" s="236" customFormat="1" x14ac:dyDescent="0.2">
      <c r="A27" s="237" t="str">
        <f>name!E$5</f>
        <v>Professional occupations</v>
      </c>
      <c r="B27" s="302">
        <v>1.0513083074329923</v>
      </c>
      <c r="C27" s="302">
        <v>0.4401975782259645</v>
      </c>
      <c r="D27" s="302">
        <v>0.10163217722230827</v>
      </c>
      <c r="E27" s="302">
        <f t="shared" ref="E27:E34" si="31">SUM(B27:D27)</f>
        <v>1.5931380628812652</v>
      </c>
      <c r="F27" s="303"/>
      <c r="G27" s="302">
        <v>2.7037833598464003</v>
      </c>
      <c r="H27" s="302">
        <v>0.51220582613231824</v>
      </c>
      <c r="I27" s="302">
        <v>0.19053528928219879</v>
      </c>
      <c r="J27" s="302">
        <f t="shared" ref="J27:J34" si="32">SUM(G27:I27)</f>
        <v>3.4065244752609174</v>
      </c>
      <c r="K27" s="303"/>
      <c r="L27" s="302">
        <v>3.5991749819724292</v>
      </c>
      <c r="M27" s="302">
        <v>0.4886962771990207</v>
      </c>
      <c r="N27" s="302">
        <v>0.20718942890872566</v>
      </c>
      <c r="O27" s="302">
        <f t="shared" ref="O27:O34" si="33">SUM(L27:N27)</f>
        <v>4.2950606880801763</v>
      </c>
    </row>
    <row r="28" spans="1:15" s="236" customFormat="1" x14ac:dyDescent="0.2">
      <c r="A28" s="237" t="str">
        <f>name!E$6</f>
        <v>Associate professional occupations</v>
      </c>
      <c r="B28" s="302">
        <v>0.55454612249582946</v>
      </c>
      <c r="C28" s="302">
        <v>0.38159500919888295</v>
      </c>
      <c r="D28" s="302">
        <v>6.5802776708568184E-2</v>
      </c>
      <c r="E28" s="302">
        <f t="shared" si="31"/>
        <v>1.0019439084032806</v>
      </c>
      <c r="F28" s="303"/>
      <c r="G28" s="302">
        <v>1.3218644067549838</v>
      </c>
      <c r="H28" s="302">
        <v>0.37750287835202279</v>
      </c>
      <c r="I28" s="302">
        <v>0.1142375364715493</v>
      </c>
      <c r="J28" s="302">
        <f t="shared" si="32"/>
        <v>1.8136048215785558</v>
      </c>
      <c r="K28" s="303"/>
      <c r="L28" s="302">
        <v>1.3712477161482441</v>
      </c>
      <c r="M28" s="302">
        <v>0.23587209986624316</v>
      </c>
      <c r="N28" s="302">
        <v>0.14107972989694023</v>
      </c>
      <c r="O28" s="302">
        <f t="shared" si="33"/>
        <v>1.7481995459114275</v>
      </c>
    </row>
    <row r="29" spans="1:15" s="236" customFormat="1" x14ac:dyDescent="0.2">
      <c r="A29" s="237" t="str">
        <f>name!E$7</f>
        <v>Administrative and secretarial occupations</v>
      </c>
      <c r="B29" s="302">
        <v>0.54745034719530283</v>
      </c>
      <c r="C29" s="302">
        <v>1.1032660129910323</v>
      </c>
      <c r="D29" s="302">
        <v>5.1460010857609234E-2</v>
      </c>
      <c r="E29" s="302">
        <f t="shared" si="31"/>
        <v>1.7021763710439444</v>
      </c>
      <c r="F29" s="303"/>
      <c r="G29" s="302">
        <v>0.94228869865099096</v>
      </c>
      <c r="H29" s="302">
        <v>0.53305876571146416</v>
      </c>
      <c r="I29" s="302">
        <v>0.10510741534199138</v>
      </c>
      <c r="J29" s="302">
        <f t="shared" si="32"/>
        <v>1.5804548797044464</v>
      </c>
      <c r="K29" s="303"/>
      <c r="L29" s="302">
        <v>0.61225890563726759</v>
      </c>
      <c r="M29" s="302">
        <v>0.25650758122005113</v>
      </c>
      <c r="N29" s="302">
        <v>0.103799736716817</v>
      </c>
      <c r="O29" s="302">
        <f t="shared" si="33"/>
        <v>0.97256622357413569</v>
      </c>
    </row>
    <row r="30" spans="1:15" s="236" customFormat="1" x14ac:dyDescent="0.2">
      <c r="A30" s="237" t="str">
        <f>name!E$8</f>
        <v>Skilled trades occupations</v>
      </c>
      <c r="B30" s="302">
        <v>6.2898286747439753</v>
      </c>
      <c r="C30" s="302">
        <v>0.85597320989099468</v>
      </c>
      <c r="D30" s="302">
        <v>7.1756787707799843</v>
      </c>
      <c r="E30" s="302">
        <f t="shared" si="31"/>
        <v>14.321480655414955</v>
      </c>
      <c r="F30" s="303"/>
      <c r="G30" s="302">
        <v>11.965062136303155</v>
      </c>
      <c r="H30" s="302">
        <v>0.52822288947202489</v>
      </c>
      <c r="I30" s="302">
        <v>8.6529951324622889</v>
      </c>
      <c r="J30" s="302">
        <f>SUM(G30:I30)</f>
        <v>21.146280158237467</v>
      </c>
      <c r="K30" s="303"/>
      <c r="L30" s="302">
        <v>12.186159123347821</v>
      </c>
      <c r="M30" s="302">
        <v>0.6872405370243857</v>
      </c>
      <c r="N30" s="302">
        <v>5.1141230388179473</v>
      </c>
      <c r="O30" s="302">
        <f t="shared" si="33"/>
        <v>17.987522699190151</v>
      </c>
    </row>
    <row r="31" spans="1:15" s="236" customFormat="1" x14ac:dyDescent="0.2">
      <c r="A31" s="237" t="str">
        <f>name!E$9</f>
        <v>Caring, leisure and other service occupations</v>
      </c>
      <c r="B31" s="302">
        <v>0.46146754898909148</v>
      </c>
      <c r="C31" s="302">
        <v>0.45946610812956462</v>
      </c>
      <c r="D31" s="302">
        <v>0.19972214714987183</v>
      </c>
      <c r="E31" s="302">
        <f t="shared" si="31"/>
        <v>1.120655804268528</v>
      </c>
      <c r="F31" s="303"/>
      <c r="G31" s="302">
        <v>0.78302114239316378</v>
      </c>
      <c r="H31" s="302">
        <v>0.25781020487197609</v>
      </c>
      <c r="I31" s="302">
        <v>0.27486369569408514</v>
      </c>
      <c r="J31" s="302">
        <f t="shared" si="32"/>
        <v>1.3156950429592249</v>
      </c>
      <c r="K31" s="303"/>
      <c r="L31" s="302">
        <v>0.63557473030671807</v>
      </c>
      <c r="M31" s="302">
        <v>0.20010529058988358</v>
      </c>
      <c r="N31" s="302">
        <v>0.48992043328306789</v>
      </c>
      <c r="O31" s="302">
        <f t="shared" si="33"/>
        <v>1.3256004541796695</v>
      </c>
    </row>
    <row r="32" spans="1:15" s="236" customFormat="1" x14ac:dyDescent="0.2">
      <c r="A32" s="237" t="str">
        <f>name!E$10</f>
        <v>Sales and customer service occupations</v>
      </c>
      <c r="B32" s="302">
        <v>0.46772801014554888</v>
      </c>
      <c r="C32" s="302">
        <v>0.26302097779135231</v>
      </c>
      <c r="D32" s="302">
        <v>0.1280025731115596</v>
      </c>
      <c r="E32" s="302">
        <f t="shared" si="31"/>
        <v>0.85875156104846073</v>
      </c>
      <c r="F32" s="303"/>
      <c r="G32" s="302">
        <v>0.88367442843010757</v>
      </c>
      <c r="H32" s="302">
        <v>0.18923196688991756</v>
      </c>
      <c r="I32" s="302">
        <v>0.15818388776841158</v>
      </c>
      <c r="J32" s="302">
        <f t="shared" si="32"/>
        <v>1.2310902830884367</v>
      </c>
      <c r="K32" s="303"/>
      <c r="L32" s="302">
        <v>0.86022436932489565</v>
      </c>
      <c r="M32" s="302">
        <v>0.18928008913364294</v>
      </c>
      <c r="N32" s="302">
        <v>0.12819002743681154</v>
      </c>
      <c r="O32" s="302">
        <f t="shared" si="33"/>
        <v>1.1776944858953502</v>
      </c>
    </row>
    <row r="33" spans="1:15" s="236" customFormat="1" x14ac:dyDescent="0.2">
      <c r="A33" s="237" t="str">
        <f>name!E$11</f>
        <v>Process, plant and machine operatives</v>
      </c>
      <c r="B33" s="302">
        <v>0.70814963100518014</v>
      </c>
      <c r="C33" s="302">
        <v>0.33828551080390679</v>
      </c>
      <c r="D33" s="302">
        <v>0.18397526758215446</v>
      </c>
      <c r="E33" s="302">
        <f t="shared" si="31"/>
        <v>1.2304104093912414</v>
      </c>
      <c r="F33" s="303"/>
      <c r="G33" s="302">
        <v>1.1305064785319971</v>
      </c>
      <c r="H33" s="302">
        <v>0.24327690018276946</v>
      </c>
      <c r="I33" s="302">
        <v>0.3492784970611541</v>
      </c>
      <c r="J33" s="302">
        <f t="shared" si="32"/>
        <v>1.7230618757759206</v>
      </c>
      <c r="K33" s="303"/>
      <c r="L33" s="302">
        <v>0.79541272974008304</v>
      </c>
      <c r="M33" s="302">
        <v>0.39635899131585711</v>
      </c>
      <c r="N33" s="302">
        <v>0.67089824822555988</v>
      </c>
      <c r="O33" s="302">
        <f t="shared" si="33"/>
        <v>1.8626699692815001</v>
      </c>
    </row>
    <row r="34" spans="1:15" s="236" customFormat="1" x14ac:dyDescent="0.2">
      <c r="A34" s="237" t="str">
        <f>name!E$12</f>
        <v>Elementary occupations</v>
      </c>
      <c r="B34" s="302">
        <v>1.3376336961405868</v>
      </c>
      <c r="C34" s="302">
        <v>1.065340850798518</v>
      </c>
      <c r="D34" s="302">
        <v>1.5079162812837066</v>
      </c>
      <c r="E34" s="302">
        <f t="shared" si="31"/>
        <v>3.9108908282228114</v>
      </c>
      <c r="F34" s="303"/>
      <c r="G34" s="302">
        <v>1.9461561858294367</v>
      </c>
      <c r="H34" s="302">
        <v>0.55585680219026889</v>
      </c>
      <c r="I34" s="302">
        <v>2.0358660774433552</v>
      </c>
      <c r="J34" s="302">
        <f t="shared" si="32"/>
        <v>4.537879065463061</v>
      </c>
      <c r="K34" s="303"/>
      <c r="L34" s="302">
        <v>0.72219631954407237</v>
      </c>
      <c r="M34" s="302">
        <v>0.41302271513912947</v>
      </c>
      <c r="N34" s="302">
        <v>3.4246262554837759</v>
      </c>
      <c r="O34" s="302">
        <f t="shared" si="33"/>
        <v>4.5598452901669777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32</v>
      </c>
      <c r="B36" s="311">
        <f>SUM(B26:B34)</f>
        <v>12.752999999895877</v>
      </c>
      <c r="C36" s="311">
        <f t="shared" ref="C36:O36" si="34">SUM(C26:C34)</f>
        <v>5.3160000000292111</v>
      </c>
      <c r="D36" s="311">
        <f t="shared" si="34"/>
        <v>9.6419999999801664</v>
      </c>
      <c r="E36" s="311">
        <f t="shared" si="34"/>
        <v>27.710999999905255</v>
      </c>
      <c r="F36" s="311"/>
      <c r="G36" s="311">
        <f t="shared" si="34"/>
        <v>24.811000000038074</v>
      </c>
      <c r="H36" s="311">
        <f t="shared" si="34"/>
        <v>3.6410000000243694</v>
      </c>
      <c r="I36" s="311">
        <f t="shared" si="34"/>
        <v>12.250999999756933</v>
      </c>
      <c r="J36" s="311">
        <f t="shared" si="34"/>
        <v>40.702999999819369</v>
      </c>
      <c r="K36" s="311"/>
      <c r="L36" s="311">
        <f t="shared" si="34"/>
        <v>25.013000000081963</v>
      </c>
      <c r="M36" s="311">
        <f t="shared" si="34"/>
        <v>3.2710000000068971</v>
      </c>
      <c r="N36" s="311">
        <f t="shared" si="34"/>
        <v>10.655999999658189</v>
      </c>
      <c r="O36" s="311">
        <f t="shared" si="34"/>
        <v>38.939999999747045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35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name!A5</f>
        <v>Coal, oil &amp; gas; Mining &amp; related</v>
      </c>
      <c r="B40" s="374">
        <f>$B$6</f>
        <v>2015</v>
      </c>
      <c r="C40" s="374"/>
      <c r="D40" s="374"/>
      <c r="E40" s="374"/>
      <c r="F40" s="263"/>
      <c r="G40" s="374">
        <f>$G$6</f>
        <v>2020</v>
      </c>
      <c r="H40" s="374"/>
      <c r="I40" s="374"/>
      <c r="J40" s="374"/>
      <c r="K40" s="263"/>
      <c r="L40" s="374">
        <f>$L$6</f>
        <v>2035</v>
      </c>
      <c r="M40" s="374"/>
      <c r="N40" s="374"/>
      <c r="O40" s="374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0.41273515805943928</v>
      </c>
      <c r="C43" s="302">
        <v>1.0794573977716224E-2</v>
      </c>
      <c r="D43" s="302">
        <v>1.826125155134251E-4</v>
      </c>
      <c r="E43" s="302">
        <f>SUM(B43:D43)</f>
        <v>0.42371234455266893</v>
      </c>
      <c r="F43" s="303"/>
      <c r="G43" s="302">
        <v>0.35510460070809474</v>
      </c>
      <c r="H43" s="302">
        <v>2.4333846470106411E-2</v>
      </c>
      <c r="I43" s="302">
        <v>0</v>
      </c>
      <c r="J43" s="302">
        <f>SUM(G43:I43)</f>
        <v>0.37943844717820113</v>
      </c>
      <c r="K43" s="303"/>
      <c r="L43" s="302">
        <v>0.24641559832718735</v>
      </c>
      <c r="M43" s="302">
        <v>1.9039765190336115E-2</v>
      </c>
      <c r="N43" s="302">
        <v>0</v>
      </c>
      <c r="O43" s="302">
        <f>SUM(L43:N43)</f>
        <v>0.26545536351752347</v>
      </c>
    </row>
    <row r="44" spans="1:15" s="236" customFormat="1" x14ac:dyDescent="0.2">
      <c r="A44" s="237" t="str">
        <f>name!E$5</f>
        <v>Professional occupations</v>
      </c>
      <c r="B44" s="302">
        <v>0.56088482984149268</v>
      </c>
      <c r="C44" s="302">
        <v>4.3238207362323526E-2</v>
      </c>
      <c r="D44" s="302">
        <v>9.4753556721353431E-5</v>
      </c>
      <c r="E44" s="302">
        <f t="shared" ref="E44:E51" si="35">SUM(B44:D44)</f>
        <v>0.60421779076053761</v>
      </c>
      <c r="F44" s="303"/>
      <c r="G44" s="302">
        <v>0.53462576068102119</v>
      </c>
      <c r="H44" s="302">
        <v>5.5012267536053275E-2</v>
      </c>
      <c r="I44" s="302">
        <v>0</v>
      </c>
      <c r="J44" s="302">
        <f t="shared" ref="J44:J46" si="36">SUM(G44:I44)</f>
        <v>0.58963802821707445</v>
      </c>
      <c r="K44" s="303"/>
      <c r="L44" s="302">
        <v>0.41089519569494726</v>
      </c>
      <c r="M44" s="302">
        <v>4.0068246703120453E-2</v>
      </c>
      <c r="N44" s="302">
        <v>0</v>
      </c>
      <c r="O44" s="302">
        <f t="shared" ref="O44:O51" si="37">SUM(L44:N44)</f>
        <v>0.45096344239806774</v>
      </c>
    </row>
    <row r="45" spans="1:15" s="236" customFormat="1" x14ac:dyDescent="0.2">
      <c r="A45" s="237" t="str">
        <f>name!E$6</f>
        <v>Associate professional occupations</v>
      </c>
      <c r="B45" s="302">
        <v>0.42020404752876095</v>
      </c>
      <c r="C45" s="302">
        <v>2.96962653468507E-2</v>
      </c>
      <c r="D45" s="302">
        <v>1.399386277432883E-4</v>
      </c>
      <c r="E45" s="302">
        <f t="shared" si="35"/>
        <v>0.45004025150335497</v>
      </c>
      <c r="F45" s="303"/>
      <c r="G45" s="302">
        <v>0.37450297123743748</v>
      </c>
      <c r="H45" s="302">
        <v>3.2594183646020305E-2</v>
      </c>
      <c r="I45" s="302">
        <v>0</v>
      </c>
      <c r="J45" s="302">
        <f t="shared" si="36"/>
        <v>0.40709715488345777</v>
      </c>
      <c r="K45" s="303"/>
      <c r="L45" s="302">
        <v>0.21959000249703994</v>
      </c>
      <c r="M45" s="302">
        <v>2.021429317044271E-2</v>
      </c>
      <c r="N45" s="302">
        <v>0</v>
      </c>
      <c r="O45" s="302">
        <f t="shared" si="37"/>
        <v>0.23980429566748265</v>
      </c>
    </row>
    <row r="46" spans="1:15" s="236" customFormat="1" x14ac:dyDescent="0.2">
      <c r="A46" s="237" t="str">
        <f>name!E$7</f>
        <v>Administrative and secretarial occupations</v>
      </c>
      <c r="B46" s="302">
        <v>0.31342969035447832</v>
      </c>
      <c r="C46" s="302">
        <v>5.4624567073612823E-2</v>
      </c>
      <c r="D46" s="302">
        <v>3.5177051316376018E-4</v>
      </c>
      <c r="E46" s="302">
        <f t="shared" si="35"/>
        <v>0.36840602794125493</v>
      </c>
      <c r="F46" s="303"/>
      <c r="G46" s="302">
        <v>0.24557475991163091</v>
      </c>
      <c r="H46" s="302">
        <v>3.6480572102807952E-2</v>
      </c>
      <c r="I46" s="302">
        <v>0</v>
      </c>
      <c r="J46" s="302">
        <f t="shared" si="36"/>
        <v>0.28205533201443889</v>
      </c>
      <c r="K46" s="303"/>
      <c r="L46" s="302">
        <v>0.12951953614477346</v>
      </c>
      <c r="M46" s="302">
        <v>1.6118785088996022E-2</v>
      </c>
      <c r="N46" s="302">
        <v>0</v>
      </c>
      <c r="O46" s="302">
        <f t="shared" si="37"/>
        <v>0.14563832123376949</v>
      </c>
    </row>
    <row r="47" spans="1:15" s="236" customFormat="1" x14ac:dyDescent="0.2">
      <c r="A47" s="237" t="str">
        <f>name!E$8</f>
        <v>Skilled trades occupations</v>
      </c>
      <c r="B47" s="302">
        <v>1.8769914785532769</v>
      </c>
      <c r="C47" s="302">
        <v>3.0665909625688263E-2</v>
      </c>
      <c r="D47" s="302">
        <v>2.0088246322424004E-5</v>
      </c>
      <c r="E47" s="302">
        <f t="shared" si="35"/>
        <v>1.9076774764252875</v>
      </c>
      <c r="F47" s="303"/>
      <c r="G47" s="302">
        <v>1.2011153065109961</v>
      </c>
      <c r="H47" s="302">
        <v>2.3863183185501388E-2</v>
      </c>
      <c r="I47" s="302">
        <v>0</v>
      </c>
      <c r="J47" s="302">
        <f>SUM(G47:I47)</f>
        <v>1.2249784896964975</v>
      </c>
      <c r="K47" s="303"/>
      <c r="L47" s="302">
        <v>0.65565442592501089</v>
      </c>
      <c r="M47" s="302">
        <v>2.3842101335525903E-2</v>
      </c>
      <c r="N47" s="302">
        <v>0</v>
      </c>
      <c r="O47" s="302">
        <f t="shared" si="37"/>
        <v>0.67949652726053678</v>
      </c>
    </row>
    <row r="48" spans="1:15" s="236" customFormat="1" x14ac:dyDescent="0.2">
      <c r="A48" s="237" t="str">
        <f>name!E$9</f>
        <v>Caring, leisure and other service occupations</v>
      </c>
      <c r="B48" s="302">
        <v>3.4232343392648384E-2</v>
      </c>
      <c r="C48" s="302">
        <v>9.3927170817968031E-2</v>
      </c>
      <c r="D48" s="302">
        <v>4.6214654448797924E-5</v>
      </c>
      <c r="E48" s="302">
        <f t="shared" si="35"/>
        <v>0.1282057288650652</v>
      </c>
      <c r="F48" s="303"/>
      <c r="G48" s="302">
        <v>2.7271508416036764E-2</v>
      </c>
      <c r="H48" s="302">
        <v>5.2908493533510653E-2</v>
      </c>
      <c r="I48" s="302">
        <v>0</v>
      </c>
      <c r="J48" s="302">
        <f t="shared" ref="J48:J51" si="38">SUM(G48:I48)</f>
        <v>8.0180001949547414E-2</v>
      </c>
      <c r="K48" s="303"/>
      <c r="L48" s="302">
        <v>1.9903245032083849E-2</v>
      </c>
      <c r="M48" s="302">
        <v>4.0835349081928679E-2</v>
      </c>
      <c r="N48" s="302">
        <v>0</v>
      </c>
      <c r="O48" s="302">
        <f t="shared" si="37"/>
        <v>6.0738594114012529E-2</v>
      </c>
    </row>
    <row r="49" spans="1:15" s="236" customFormat="1" x14ac:dyDescent="0.2">
      <c r="A49" s="237" t="str">
        <f>name!E$10</f>
        <v>Sales and customer service occupations</v>
      </c>
      <c r="B49" s="302">
        <v>0.10926031442653442</v>
      </c>
      <c r="C49" s="302">
        <v>4.2932867372035846E-2</v>
      </c>
      <c r="D49" s="302">
        <v>7.66105153449074E-5</v>
      </c>
      <c r="E49" s="302">
        <f t="shared" si="35"/>
        <v>0.15226979231391519</v>
      </c>
      <c r="F49" s="303"/>
      <c r="G49" s="302">
        <v>8.1767282026613472E-2</v>
      </c>
      <c r="H49" s="302">
        <v>3.8481412894833443E-2</v>
      </c>
      <c r="I49" s="302">
        <v>0</v>
      </c>
      <c r="J49" s="302">
        <f t="shared" si="38"/>
        <v>0.12024869492144691</v>
      </c>
      <c r="K49" s="303"/>
      <c r="L49" s="302">
        <v>5.6269932027651862E-2</v>
      </c>
      <c r="M49" s="302">
        <v>2.3162060904836985E-2</v>
      </c>
      <c r="N49" s="302">
        <v>0</v>
      </c>
      <c r="O49" s="302">
        <f t="shared" si="37"/>
        <v>7.9431992932488843E-2</v>
      </c>
    </row>
    <row r="50" spans="1:15" s="236" customFormat="1" x14ac:dyDescent="0.2">
      <c r="A50" s="237" t="str">
        <f>name!E$11</f>
        <v>Process, plant and machine operatives</v>
      </c>
      <c r="B50" s="302">
        <v>1.1830831208232078</v>
      </c>
      <c r="C50" s="302">
        <v>3.8185395466427526E-2</v>
      </c>
      <c r="D50" s="302">
        <v>3.0050504683777007E-5</v>
      </c>
      <c r="E50" s="302">
        <f t="shared" si="35"/>
        <v>1.221298566794319</v>
      </c>
      <c r="F50" s="303"/>
      <c r="G50" s="302">
        <v>0.7236171227353575</v>
      </c>
      <c r="H50" s="302">
        <v>5.9806856046743156E-2</v>
      </c>
      <c r="I50" s="302">
        <v>0</v>
      </c>
      <c r="J50" s="302">
        <f t="shared" si="38"/>
        <v>0.78342397878210068</v>
      </c>
      <c r="K50" s="303"/>
      <c r="L50" s="302">
        <v>0.44643196420836923</v>
      </c>
      <c r="M50" s="302">
        <v>4.4617378409420427E-2</v>
      </c>
      <c r="N50" s="302">
        <v>0</v>
      </c>
      <c r="O50" s="302">
        <f t="shared" si="37"/>
        <v>0.49104934261778965</v>
      </c>
    </row>
    <row r="51" spans="1:15" s="236" customFormat="1" x14ac:dyDescent="0.2">
      <c r="A51" s="237" t="str">
        <f>name!E$12</f>
        <v>Elementary occupations</v>
      </c>
      <c r="B51" s="302">
        <v>0.274179016975936</v>
      </c>
      <c r="C51" s="302">
        <v>5.3935042955573123E-2</v>
      </c>
      <c r="D51" s="302">
        <v>5.7960866046837489E-5</v>
      </c>
      <c r="E51" s="302">
        <f t="shared" si="35"/>
        <v>0.32817202079755592</v>
      </c>
      <c r="F51" s="303"/>
      <c r="G51" s="302">
        <v>0.1644206877785909</v>
      </c>
      <c r="H51" s="302">
        <v>2.9519184583029809E-2</v>
      </c>
      <c r="I51" s="302">
        <v>0</v>
      </c>
      <c r="J51" s="302">
        <f t="shared" si="38"/>
        <v>0.19393987236162069</v>
      </c>
      <c r="K51" s="303"/>
      <c r="L51" s="302">
        <v>8.2320100153247588E-2</v>
      </c>
      <c r="M51" s="302">
        <v>8.1020201145105605E-3</v>
      </c>
      <c r="N51" s="302">
        <v>0</v>
      </c>
      <c r="O51" s="302">
        <f t="shared" si="37"/>
        <v>9.0422120267758144E-2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32</v>
      </c>
      <c r="B53" s="311">
        <f>SUM(B43:B51)</f>
        <v>5.1849999999557754</v>
      </c>
      <c r="C53" s="311">
        <f t="shared" ref="C53:E53" si="39">SUM(C43:C51)</f>
        <v>0.39799999999819602</v>
      </c>
      <c r="D53" s="311">
        <f t="shared" si="39"/>
        <v>9.999999999885708E-4</v>
      </c>
      <c r="E53" s="311">
        <f t="shared" si="39"/>
        <v>5.5839999999539591</v>
      </c>
      <c r="F53" s="311"/>
      <c r="G53" s="311">
        <f t="shared" ref="G53:J53" si="40">SUM(G43:G51)</f>
        <v>3.7080000000057787</v>
      </c>
      <c r="H53" s="311">
        <f t="shared" si="40"/>
        <v>0.35299999999860643</v>
      </c>
      <c r="I53" s="311">
        <f t="shared" si="40"/>
        <v>0</v>
      </c>
      <c r="J53" s="311">
        <f t="shared" si="40"/>
        <v>4.0610000000043849</v>
      </c>
      <c r="K53" s="311"/>
      <c r="L53" s="311">
        <f t="shared" ref="L53:O53" si="41">SUM(L43:L51)</f>
        <v>2.2670000000103112</v>
      </c>
      <c r="M53" s="311">
        <f t="shared" si="41"/>
        <v>0.23599999999911789</v>
      </c>
      <c r="N53" s="311">
        <f t="shared" si="41"/>
        <v>0</v>
      </c>
      <c r="O53" s="311">
        <f t="shared" si="41"/>
        <v>2.5030000000094295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35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name!A6</f>
        <v>Food products</v>
      </c>
      <c r="B57" s="374">
        <f>$B$6</f>
        <v>2015</v>
      </c>
      <c r="C57" s="374"/>
      <c r="D57" s="374"/>
      <c r="E57" s="374"/>
      <c r="F57" s="263"/>
      <c r="G57" s="374">
        <f>$G$6</f>
        <v>2020</v>
      </c>
      <c r="H57" s="374"/>
      <c r="I57" s="374"/>
      <c r="J57" s="374"/>
      <c r="K57" s="263"/>
      <c r="L57" s="374">
        <f>$L$6</f>
        <v>2035</v>
      </c>
      <c r="M57" s="374"/>
      <c r="N57" s="374"/>
      <c r="O57" s="374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4.1929879443845177</v>
      </c>
      <c r="C60" s="302">
        <v>0.14000602090921624</v>
      </c>
      <c r="D60" s="302">
        <v>0.2549969401161547</v>
      </c>
      <c r="E60" s="302">
        <f>SUM(B60:D60)</f>
        <v>4.5879909054098889</v>
      </c>
      <c r="F60" s="303"/>
      <c r="G60" s="302">
        <v>5.0520235698853657</v>
      </c>
      <c r="H60" s="302">
        <v>0.30882172150884507</v>
      </c>
      <c r="I60" s="302">
        <v>0.16350795711422444</v>
      </c>
      <c r="J60" s="302">
        <f>SUM(G60:I60)</f>
        <v>5.5243532485084348</v>
      </c>
      <c r="K60" s="303"/>
      <c r="L60" s="302">
        <v>6.3168658759844929</v>
      </c>
      <c r="M60" s="302">
        <v>0.35353453019288394</v>
      </c>
      <c r="N60" s="302">
        <v>0.24553154146978659</v>
      </c>
      <c r="O60" s="302">
        <f>SUM(L60:N60)</f>
        <v>6.9159319476471639</v>
      </c>
    </row>
    <row r="61" spans="1:15" s="236" customFormat="1" x14ac:dyDescent="0.2">
      <c r="A61" s="237" t="str">
        <f>name!E$5</f>
        <v>Professional occupations</v>
      </c>
      <c r="B61" s="302">
        <v>4.5264605784960583</v>
      </c>
      <c r="C61" s="302">
        <v>0.14919070527109801</v>
      </c>
      <c r="D61" s="302">
        <v>0.16633892376753082</v>
      </c>
      <c r="E61" s="302">
        <f t="shared" ref="E61:E68" si="42">SUM(B61:D61)</f>
        <v>4.8419902075346872</v>
      </c>
      <c r="F61" s="303"/>
      <c r="G61" s="302">
        <v>5.9674263053488801</v>
      </c>
      <c r="H61" s="302">
        <v>0.30426769321425196</v>
      </c>
      <c r="I61" s="302">
        <v>5.5038617620526024E-2</v>
      </c>
      <c r="J61" s="302">
        <f t="shared" ref="J61:J63" si="43">SUM(G61:I61)</f>
        <v>6.3267326161836577</v>
      </c>
      <c r="K61" s="303"/>
      <c r="L61" s="302">
        <v>9.4744872967680749</v>
      </c>
      <c r="M61" s="302">
        <v>0.4092918811356322</v>
      </c>
      <c r="N61" s="302">
        <v>3.4046200887044853E-2</v>
      </c>
      <c r="O61" s="302">
        <f t="shared" ref="O61:O68" si="44">SUM(L61:N61)</f>
        <v>9.9178253787907522</v>
      </c>
    </row>
    <row r="62" spans="1:15" s="236" customFormat="1" x14ac:dyDescent="0.2">
      <c r="A62" s="237" t="str">
        <f>name!E$6</f>
        <v>Associate professional occupations</v>
      </c>
      <c r="B62" s="302">
        <v>6.043222808826453</v>
      </c>
      <c r="C62" s="302">
        <v>0.25307257313005782</v>
      </c>
      <c r="D62" s="302">
        <v>0.10316983094510528</v>
      </c>
      <c r="E62" s="302">
        <f t="shared" si="42"/>
        <v>6.3994652129016156</v>
      </c>
      <c r="F62" s="303"/>
      <c r="G62" s="302">
        <v>7.6415270427965556</v>
      </c>
      <c r="H62" s="302">
        <v>0.44270755087546959</v>
      </c>
      <c r="I62" s="302">
        <v>4.0468672462743813E-2</v>
      </c>
      <c r="J62" s="302">
        <f t="shared" si="43"/>
        <v>8.1247032661347696</v>
      </c>
      <c r="K62" s="303"/>
      <c r="L62" s="302">
        <v>9.14035724437562</v>
      </c>
      <c r="M62" s="302">
        <v>0.39797410794867144</v>
      </c>
      <c r="N62" s="302">
        <v>2.8910864983061259E-2</v>
      </c>
      <c r="O62" s="302">
        <f t="shared" si="44"/>
        <v>9.5672422173073528</v>
      </c>
    </row>
    <row r="63" spans="1:15" s="236" customFormat="1" x14ac:dyDescent="0.2">
      <c r="A63" s="237" t="str">
        <f>name!E$7</f>
        <v>Administrative and secretarial occupations</v>
      </c>
      <c r="B63" s="302">
        <v>2.8173312218634328</v>
      </c>
      <c r="C63" s="302">
        <v>0.71199325583323803</v>
      </c>
      <c r="D63" s="302">
        <v>6.6578003961746846E-2</v>
      </c>
      <c r="E63" s="302">
        <f t="shared" si="42"/>
        <v>3.5959024816584173</v>
      </c>
      <c r="F63" s="303"/>
      <c r="G63" s="302">
        <v>2.9481781524745778</v>
      </c>
      <c r="H63" s="302">
        <v>0.83758774978603545</v>
      </c>
      <c r="I63" s="302">
        <v>2.4449738884199913E-2</v>
      </c>
      <c r="J63" s="302">
        <f t="shared" si="43"/>
        <v>3.8102156411448131</v>
      </c>
      <c r="K63" s="303"/>
      <c r="L63" s="302">
        <v>3.3548994914549133</v>
      </c>
      <c r="M63" s="302">
        <v>0.86388917858878789</v>
      </c>
      <c r="N63" s="302">
        <v>2.1899703157497351E-2</v>
      </c>
      <c r="O63" s="302">
        <f t="shared" si="44"/>
        <v>4.2406883732011984</v>
      </c>
    </row>
    <row r="64" spans="1:15" s="236" customFormat="1" x14ac:dyDescent="0.2">
      <c r="A64" s="237" t="str">
        <f>name!E$8</f>
        <v>Skilled trades occupations</v>
      </c>
      <c r="B64" s="302">
        <v>6.7653619800641884</v>
      </c>
      <c r="C64" s="302">
        <v>0.32601171044962324</v>
      </c>
      <c r="D64" s="302">
        <v>0.6800109690932723</v>
      </c>
      <c r="E64" s="302">
        <f t="shared" si="42"/>
        <v>7.7713846596070839</v>
      </c>
      <c r="F64" s="303"/>
      <c r="G64" s="302">
        <v>5.6207465210550689</v>
      </c>
      <c r="H64" s="302">
        <v>0.36853347719325913</v>
      </c>
      <c r="I64" s="302">
        <v>0.29105664527052572</v>
      </c>
      <c r="J64" s="302">
        <f>SUM(G64:I64)</f>
        <v>6.2803366435188543</v>
      </c>
      <c r="K64" s="303"/>
      <c r="L64" s="302">
        <v>5.7900467906887316</v>
      </c>
      <c r="M64" s="302">
        <v>0.39899280386942054</v>
      </c>
      <c r="N64" s="302">
        <v>0.35732211824509202</v>
      </c>
      <c r="O64" s="302">
        <f t="shared" si="44"/>
        <v>6.5463617128032441</v>
      </c>
    </row>
    <row r="65" spans="1:15" s="236" customFormat="1" x14ac:dyDescent="0.2">
      <c r="A65" s="237" t="str">
        <f>name!E$9</f>
        <v>Caring, leisure and other service occupations</v>
      </c>
      <c r="B65" s="302">
        <v>0.33548657941016941</v>
      </c>
      <c r="C65" s="302">
        <v>7.3992136492338045E-2</v>
      </c>
      <c r="D65" s="302">
        <v>1.91359362859795E-2</v>
      </c>
      <c r="E65" s="302">
        <f t="shared" si="42"/>
        <v>0.42861465218848693</v>
      </c>
      <c r="F65" s="303"/>
      <c r="G65" s="302">
        <v>0.36071640985782427</v>
      </c>
      <c r="H65" s="302">
        <v>9.1699135850791952E-2</v>
      </c>
      <c r="I65" s="302">
        <v>9.3473545949358632E-3</v>
      </c>
      <c r="J65" s="302">
        <f t="shared" ref="J65:J68" si="45">SUM(G65:I65)</f>
        <v>0.46176290030355205</v>
      </c>
      <c r="K65" s="303"/>
      <c r="L65" s="302">
        <v>0.44395587735852315</v>
      </c>
      <c r="M65" s="302">
        <v>8.067473734855593E-2</v>
      </c>
      <c r="N65" s="302">
        <v>1.73725168524562E-2</v>
      </c>
      <c r="O65" s="302">
        <f t="shared" si="44"/>
        <v>0.54200313155953528</v>
      </c>
    </row>
    <row r="66" spans="1:15" s="236" customFormat="1" x14ac:dyDescent="0.2">
      <c r="A66" s="237" t="str">
        <f>name!E$10</f>
        <v>Sales and customer service occupations</v>
      </c>
      <c r="B66" s="302">
        <v>0.67083249704482317</v>
      </c>
      <c r="C66" s="302">
        <v>0.15386056233353509</v>
      </c>
      <c r="D66" s="302">
        <v>4.5135719634890881E-2</v>
      </c>
      <c r="E66" s="302">
        <f t="shared" si="42"/>
        <v>0.86982877901324906</v>
      </c>
      <c r="F66" s="303"/>
      <c r="G66" s="302">
        <v>0.67534696129865912</v>
      </c>
      <c r="H66" s="302">
        <v>0.22195784107404601</v>
      </c>
      <c r="I66" s="302">
        <v>2.4642042294219103E-2</v>
      </c>
      <c r="J66" s="302">
        <f t="shared" si="45"/>
        <v>0.92194684466692423</v>
      </c>
      <c r="K66" s="303"/>
      <c r="L66" s="302">
        <v>0.90024531784223705</v>
      </c>
      <c r="M66" s="302">
        <v>0.20583223979320808</v>
      </c>
      <c r="N66" s="302">
        <v>3.8705713171965132E-2</v>
      </c>
      <c r="O66" s="302">
        <f t="shared" si="44"/>
        <v>1.1447832708074102</v>
      </c>
    </row>
    <row r="67" spans="1:15" s="236" customFormat="1" x14ac:dyDescent="0.2">
      <c r="A67" s="237" t="str">
        <f>name!E$11</f>
        <v>Process, plant and machine operatives</v>
      </c>
      <c r="B67" s="302">
        <v>14.392071760543979</v>
      </c>
      <c r="C67" s="302">
        <v>1.1940047845716504</v>
      </c>
      <c r="D67" s="302">
        <v>0.10571268699230868</v>
      </c>
      <c r="E67" s="302">
        <f t="shared" si="42"/>
        <v>15.691789232107938</v>
      </c>
      <c r="F67" s="303"/>
      <c r="G67" s="302">
        <v>11.940856917476145</v>
      </c>
      <c r="H67" s="302">
        <v>1.8164539437208622</v>
      </c>
      <c r="I67" s="302">
        <v>4.5236665222987221E-2</v>
      </c>
      <c r="J67" s="302">
        <f t="shared" si="45"/>
        <v>13.802547526419994</v>
      </c>
      <c r="K67" s="303"/>
      <c r="L67" s="302">
        <v>14.818875209248361</v>
      </c>
      <c r="M67" s="302">
        <v>3.1106850950972049</v>
      </c>
      <c r="N67" s="302">
        <v>6.5841574016653845E-2</v>
      </c>
      <c r="O67" s="302">
        <f t="shared" si="44"/>
        <v>17.99540187836222</v>
      </c>
    </row>
    <row r="68" spans="1:15" s="236" customFormat="1" x14ac:dyDescent="0.2">
      <c r="A68" s="237" t="str">
        <f>name!E$12</f>
        <v>Elementary occupations</v>
      </c>
      <c r="B68" s="302">
        <v>9.3322446290136831</v>
      </c>
      <c r="C68" s="302">
        <v>2.1348682511197294</v>
      </c>
      <c r="D68" s="302">
        <v>4.5920989219498137E-2</v>
      </c>
      <c r="E68" s="302">
        <f t="shared" si="42"/>
        <v>11.513033869352912</v>
      </c>
      <c r="F68" s="303"/>
      <c r="G68" s="302">
        <v>7.8281781200324483</v>
      </c>
      <c r="H68" s="302">
        <v>2.8619708869005342</v>
      </c>
      <c r="I68" s="302">
        <v>1.2252306527436167E-2</v>
      </c>
      <c r="J68" s="302">
        <f t="shared" si="45"/>
        <v>10.702401313460419</v>
      </c>
      <c r="K68" s="303"/>
      <c r="L68" s="302">
        <v>7.3732668964873271</v>
      </c>
      <c r="M68" s="302">
        <v>2.74112542598859</v>
      </c>
      <c r="N68" s="302">
        <v>1.8369767211194283E-2</v>
      </c>
      <c r="O68" s="302">
        <f t="shared" si="44"/>
        <v>10.132762089687111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32</v>
      </c>
      <c r="B70" s="311">
        <f>SUM(B60:B68)</f>
        <v>49.075999999647308</v>
      </c>
      <c r="C70" s="311">
        <f t="shared" ref="C70:E70" si="46">SUM(C60:C68)</f>
        <v>5.1370000001104863</v>
      </c>
      <c r="D70" s="311">
        <f t="shared" si="46"/>
        <v>1.4870000000164869</v>
      </c>
      <c r="E70" s="311">
        <f t="shared" si="46"/>
        <v>55.699999999774278</v>
      </c>
      <c r="F70" s="311"/>
      <c r="G70" s="311">
        <f t="shared" ref="G70:J70" si="47">SUM(G60:G68)</f>
        <v>48.035000000225523</v>
      </c>
      <c r="H70" s="311">
        <f t="shared" si="47"/>
        <v>7.2540000001240958</v>
      </c>
      <c r="I70" s="311">
        <f t="shared" si="47"/>
        <v>0.66599999999179815</v>
      </c>
      <c r="J70" s="311">
        <f t="shared" si="47"/>
        <v>55.955000000341421</v>
      </c>
      <c r="K70" s="311"/>
      <c r="L70" s="311">
        <f t="shared" ref="L70:O70" si="48">SUM(L60:L68)</f>
        <v>57.613000000208281</v>
      </c>
      <c r="M70" s="311">
        <f t="shared" si="48"/>
        <v>8.5619999999629552</v>
      </c>
      <c r="N70" s="311">
        <f t="shared" si="48"/>
        <v>0.82799999999475149</v>
      </c>
      <c r="O70" s="311">
        <f t="shared" si="48"/>
        <v>67.003000000165983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35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name!A7</f>
        <v>Beverages and tobacco</v>
      </c>
      <c r="B74" s="374">
        <f>$B$6</f>
        <v>2015</v>
      </c>
      <c r="C74" s="374"/>
      <c r="D74" s="374"/>
      <c r="E74" s="374"/>
      <c r="F74" s="263"/>
      <c r="G74" s="374">
        <f>$G$6</f>
        <v>2020</v>
      </c>
      <c r="H74" s="374"/>
      <c r="I74" s="374"/>
      <c r="J74" s="374"/>
      <c r="K74" s="263"/>
      <c r="L74" s="374">
        <f>$L$6</f>
        <v>2035</v>
      </c>
      <c r="M74" s="374"/>
      <c r="N74" s="374"/>
      <c r="O74" s="374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0.17308178798199644</v>
      </c>
      <c r="C77" s="302">
        <v>2.7620779390679522E-2</v>
      </c>
      <c r="D77" s="302">
        <v>4.5241397011707533E-3</v>
      </c>
      <c r="E77" s="302">
        <f>SUM(B77:D77)</f>
        <v>0.20522670707384671</v>
      </c>
      <c r="F77" s="303"/>
      <c r="G77" s="302">
        <v>0.14254207321925452</v>
      </c>
      <c r="H77" s="302">
        <v>1.4921590609122955E-2</v>
      </c>
      <c r="I77" s="302">
        <v>3.5742529942598723E-3</v>
      </c>
      <c r="J77" s="302">
        <f>SUM(G77:I77)</f>
        <v>0.16103791682263735</v>
      </c>
      <c r="K77" s="303"/>
      <c r="L77" s="302">
        <v>0.14772118798059242</v>
      </c>
      <c r="M77" s="302">
        <v>1.8450872513016248E-2</v>
      </c>
      <c r="N77" s="302">
        <v>4.5456479475322418E-3</v>
      </c>
      <c r="O77" s="302">
        <f>SUM(L77:N77)</f>
        <v>0.1707177084411409</v>
      </c>
    </row>
    <row r="78" spans="1:15" s="236" customFormat="1" x14ac:dyDescent="0.2">
      <c r="A78" s="237" t="str">
        <f>name!E$5</f>
        <v>Professional occupations</v>
      </c>
      <c r="B78" s="302">
        <v>0.28208847137631227</v>
      </c>
      <c r="C78" s="302">
        <v>3.5954194451319012E-2</v>
      </c>
      <c r="D78" s="302">
        <v>4.1376915019572334E-3</v>
      </c>
      <c r="E78" s="302">
        <f t="shared" ref="E78:E85" si="49">SUM(B78:D78)</f>
        <v>0.32218035732958855</v>
      </c>
      <c r="F78" s="303"/>
      <c r="G78" s="302">
        <v>0.25675038661409127</v>
      </c>
      <c r="H78" s="302">
        <v>1.6754934692260994E-2</v>
      </c>
      <c r="I78" s="302">
        <v>2.9182640840011878E-3</v>
      </c>
      <c r="J78" s="302">
        <f t="shared" ref="J78:J80" si="50">SUM(G78:I78)</f>
        <v>0.27642358539035344</v>
      </c>
      <c r="K78" s="303"/>
      <c r="L78" s="302">
        <v>0.37184587701761707</v>
      </c>
      <c r="M78" s="302">
        <v>1.8304275476239404E-2</v>
      </c>
      <c r="N78" s="302">
        <v>1.4539175468991242E-3</v>
      </c>
      <c r="O78" s="302">
        <f t="shared" ref="O78:O85" si="51">SUM(L78:N78)</f>
        <v>0.39160407004075559</v>
      </c>
    </row>
    <row r="79" spans="1:15" s="236" customFormat="1" x14ac:dyDescent="0.2">
      <c r="A79" s="237" t="str">
        <f>name!E$6</f>
        <v>Associate professional occupations</v>
      </c>
      <c r="B79" s="302">
        <v>0.30625211134311942</v>
      </c>
      <c r="C79" s="302">
        <v>6.5654021363626594E-2</v>
      </c>
      <c r="D79" s="302">
        <v>4.3891380371168295E-3</v>
      </c>
      <c r="E79" s="302">
        <f t="shared" si="49"/>
        <v>0.37629527074386282</v>
      </c>
      <c r="F79" s="303"/>
      <c r="G79" s="302">
        <v>0.27117405687980511</v>
      </c>
      <c r="H79" s="302">
        <v>2.7492728036335321E-2</v>
      </c>
      <c r="I79" s="302">
        <v>2.3286711290653505E-3</v>
      </c>
      <c r="J79" s="302">
        <f t="shared" si="50"/>
        <v>0.30099545604520583</v>
      </c>
      <c r="K79" s="303"/>
      <c r="L79" s="302">
        <v>0.31050726740426388</v>
      </c>
      <c r="M79" s="302">
        <v>2.6008257937135196E-2</v>
      </c>
      <c r="N79" s="302">
        <v>2.3036952589624597E-3</v>
      </c>
      <c r="O79" s="302">
        <f t="shared" si="51"/>
        <v>0.33881922060036151</v>
      </c>
    </row>
    <row r="80" spans="1:15" s="236" customFormat="1" x14ac:dyDescent="0.2">
      <c r="A80" s="237" t="str">
        <f>name!E$7</f>
        <v>Administrative and secretarial occupations</v>
      </c>
      <c r="B80" s="302">
        <v>3.0772708112106091E-2</v>
      </c>
      <c r="C80" s="302">
        <v>0.10400055729928388</v>
      </c>
      <c r="D80" s="302">
        <v>1.419270017272645E-2</v>
      </c>
      <c r="E80" s="302">
        <f t="shared" si="49"/>
        <v>0.14896596558411643</v>
      </c>
      <c r="F80" s="303"/>
      <c r="G80" s="302">
        <v>2.4255905510364884E-2</v>
      </c>
      <c r="H80" s="302">
        <v>4.3440494754978139E-2</v>
      </c>
      <c r="I80" s="302">
        <v>1.2788599555379815E-2</v>
      </c>
      <c r="J80" s="302">
        <f t="shared" si="50"/>
        <v>8.0484999820722825E-2</v>
      </c>
      <c r="K80" s="303"/>
      <c r="L80" s="302">
        <v>2.2088821444087879E-2</v>
      </c>
      <c r="M80" s="302">
        <v>6.1481635129103193E-2</v>
      </c>
      <c r="N80" s="302">
        <v>2.0947984085154029E-2</v>
      </c>
      <c r="O80" s="302">
        <f t="shared" si="51"/>
        <v>0.10451844065834509</v>
      </c>
    </row>
    <row r="81" spans="1:15" s="236" customFormat="1" x14ac:dyDescent="0.2">
      <c r="A81" s="237" t="str">
        <f>name!E$8</f>
        <v>Skilled trades occupations</v>
      </c>
      <c r="B81" s="302">
        <v>0.11233875667737483</v>
      </c>
      <c r="C81" s="302">
        <v>8.8631662556851367E-3</v>
      </c>
      <c r="D81" s="302">
        <v>4.1555252884331552E-3</v>
      </c>
      <c r="E81" s="302">
        <f t="shared" si="49"/>
        <v>0.12535744822149311</v>
      </c>
      <c r="F81" s="303"/>
      <c r="G81" s="302">
        <v>6.4917431603255971E-2</v>
      </c>
      <c r="H81" s="302">
        <v>2.665349827268541E-3</v>
      </c>
      <c r="I81" s="302">
        <v>1.8837051433499466E-3</v>
      </c>
      <c r="J81" s="302">
        <f>SUM(G81:I81)</f>
        <v>6.9466486573874456E-2</v>
      </c>
      <c r="K81" s="303"/>
      <c r="L81" s="302">
        <v>5.4830997500016486E-2</v>
      </c>
      <c r="M81" s="302">
        <v>3.1807262572394672E-3</v>
      </c>
      <c r="N81" s="302">
        <v>1.7413491411757012E-3</v>
      </c>
      <c r="O81" s="302">
        <f t="shared" si="51"/>
        <v>5.9753072898431653E-2</v>
      </c>
    </row>
    <row r="82" spans="1:15" s="236" customFormat="1" x14ac:dyDescent="0.2">
      <c r="A82" s="237" t="str">
        <f>name!E$9</f>
        <v>Caring, leisure and other service occupations</v>
      </c>
      <c r="B82" s="302">
        <v>3.4332996065195742E-2</v>
      </c>
      <c r="C82" s="302">
        <v>4.0448625322897939E-2</v>
      </c>
      <c r="D82" s="302">
        <v>3.140146129715176E-3</v>
      </c>
      <c r="E82" s="302">
        <f t="shared" si="49"/>
        <v>7.7921767517808868E-2</v>
      </c>
      <c r="F82" s="303"/>
      <c r="G82" s="302">
        <v>2.7929181155876715E-2</v>
      </c>
      <c r="H82" s="302">
        <v>1.1576893847588112E-2</v>
      </c>
      <c r="I82" s="302">
        <v>1.3024554582163411E-3</v>
      </c>
      <c r="J82" s="302">
        <f t="shared" ref="J82:J85" si="52">SUM(G82:I82)</f>
        <v>4.0808530461681168E-2</v>
      </c>
      <c r="K82" s="303"/>
      <c r="L82" s="302">
        <v>4.685226960565133E-2</v>
      </c>
      <c r="M82" s="302">
        <v>9.2719300029107943E-3</v>
      </c>
      <c r="N82" s="302">
        <v>1.331093066000598E-3</v>
      </c>
      <c r="O82" s="302">
        <f t="shared" si="51"/>
        <v>5.7455292674562723E-2</v>
      </c>
    </row>
    <row r="83" spans="1:15" s="236" customFormat="1" x14ac:dyDescent="0.2">
      <c r="A83" s="237" t="str">
        <f>name!E$10</f>
        <v>Sales and customer service occupations</v>
      </c>
      <c r="B83" s="302">
        <v>1.8654013400503631E-2</v>
      </c>
      <c r="C83" s="302">
        <v>4.1253117933336289E-2</v>
      </c>
      <c r="D83" s="302">
        <v>3.1756624985105936E-3</v>
      </c>
      <c r="E83" s="302">
        <f t="shared" si="49"/>
        <v>6.3082793832350506E-2</v>
      </c>
      <c r="F83" s="303"/>
      <c r="G83" s="302">
        <v>1.2963925716626735E-2</v>
      </c>
      <c r="H83" s="302">
        <v>1.7370111133696197E-2</v>
      </c>
      <c r="I83" s="302">
        <v>2.1751345268353831E-3</v>
      </c>
      <c r="J83" s="302">
        <f t="shared" si="52"/>
        <v>3.2509171377158315E-2</v>
      </c>
      <c r="K83" s="303"/>
      <c r="L83" s="302">
        <v>1.3021021232371333E-2</v>
      </c>
      <c r="M83" s="302">
        <v>1.9111868024753426E-2</v>
      </c>
      <c r="N83" s="302">
        <v>2.7715976066272035E-3</v>
      </c>
      <c r="O83" s="302">
        <f t="shared" si="51"/>
        <v>3.4904486863751957E-2</v>
      </c>
    </row>
    <row r="84" spans="1:15" s="236" customFormat="1" x14ac:dyDescent="0.2">
      <c r="A84" s="237" t="str">
        <f>name!E$11</f>
        <v>Process, plant and machine operatives</v>
      </c>
      <c r="B84" s="302">
        <v>0.20557471355436407</v>
      </c>
      <c r="C84" s="302">
        <v>3.8357132559639365E-2</v>
      </c>
      <c r="D84" s="302">
        <v>5.5665456840180315E-3</v>
      </c>
      <c r="E84" s="302">
        <f t="shared" si="49"/>
        <v>0.24949839179802147</v>
      </c>
      <c r="F84" s="303"/>
      <c r="G84" s="302">
        <v>0.11882724457540758</v>
      </c>
      <c r="H84" s="302">
        <v>1.330834279278917E-2</v>
      </c>
      <c r="I84" s="302">
        <v>5.1489655577597743E-3</v>
      </c>
      <c r="J84" s="302">
        <f t="shared" si="52"/>
        <v>0.13728455292595654</v>
      </c>
      <c r="K84" s="303"/>
      <c r="L84" s="302">
        <v>0.1264452322396962</v>
      </c>
      <c r="M84" s="302">
        <v>3.5884276807682927E-2</v>
      </c>
      <c r="N84" s="302">
        <v>6.434852666622806E-3</v>
      </c>
      <c r="O84" s="302">
        <f t="shared" si="51"/>
        <v>0.16876436171400194</v>
      </c>
    </row>
    <row r="85" spans="1:15" s="236" customFormat="1" x14ac:dyDescent="0.2">
      <c r="A85" s="237" t="str">
        <f>name!E$12</f>
        <v>Elementary occupations</v>
      </c>
      <c r="B85" s="302">
        <v>0.10590444148491346</v>
      </c>
      <c r="C85" s="302">
        <v>0.12284840542997794</v>
      </c>
      <c r="D85" s="302">
        <v>9.7184509869041157E-3</v>
      </c>
      <c r="E85" s="302">
        <f t="shared" si="49"/>
        <v>0.2384712979017955</v>
      </c>
      <c r="F85" s="303"/>
      <c r="G85" s="302">
        <v>5.963979472433744E-2</v>
      </c>
      <c r="H85" s="302">
        <v>3.5469554306421472E-2</v>
      </c>
      <c r="I85" s="302">
        <v>6.8799515506891831E-3</v>
      </c>
      <c r="J85" s="302">
        <f t="shared" si="52"/>
        <v>0.10198930058144809</v>
      </c>
      <c r="K85" s="303"/>
      <c r="L85" s="302">
        <v>4.1687325576412936E-2</v>
      </c>
      <c r="M85" s="302">
        <v>2.4306157849844818E-2</v>
      </c>
      <c r="N85" s="302">
        <v>1.0469862680596595E-2</v>
      </c>
      <c r="O85" s="302">
        <f t="shared" si="51"/>
        <v>7.6463346106854346E-2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32</v>
      </c>
      <c r="B87" s="311">
        <f>SUM(B77:B85)</f>
        <v>1.2689999999958859</v>
      </c>
      <c r="C87" s="311">
        <f t="shared" ref="C87:E87" si="53">SUM(C77:C85)</f>
        <v>0.48500000000644566</v>
      </c>
      <c r="D87" s="311">
        <f t="shared" si="53"/>
        <v>5.3000000000552334E-2</v>
      </c>
      <c r="E87" s="311">
        <f t="shared" si="53"/>
        <v>1.8070000000028841</v>
      </c>
      <c r="F87" s="311"/>
      <c r="G87" s="311">
        <f t="shared" ref="G87:J87" si="54">SUM(G77:G85)</f>
        <v>0.97899999999902021</v>
      </c>
      <c r="H87" s="311">
        <f t="shared" si="54"/>
        <v>0.18300000000046091</v>
      </c>
      <c r="I87" s="311">
        <f t="shared" si="54"/>
        <v>3.8999999999556847E-2</v>
      </c>
      <c r="J87" s="311">
        <f t="shared" si="54"/>
        <v>1.2009999999990379</v>
      </c>
      <c r="K87" s="311"/>
      <c r="L87" s="311">
        <f t="shared" ref="L87:O87" si="55">SUM(L77:L85)</f>
        <v>1.1350000000007097</v>
      </c>
      <c r="M87" s="311">
        <f t="shared" si="55"/>
        <v>0.21599999999792549</v>
      </c>
      <c r="N87" s="311">
        <f t="shared" si="55"/>
        <v>5.1999999999570758E-2</v>
      </c>
      <c r="O87" s="311">
        <f t="shared" si="55"/>
        <v>1.4029999999982059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35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name!A8</f>
        <v>Textiles</v>
      </c>
      <c r="B91" s="374">
        <f>$B$6</f>
        <v>2015</v>
      </c>
      <c r="C91" s="374"/>
      <c r="D91" s="374"/>
      <c r="E91" s="374"/>
      <c r="F91" s="263"/>
      <c r="G91" s="374">
        <f>$G$6</f>
        <v>2020</v>
      </c>
      <c r="H91" s="374"/>
      <c r="I91" s="374"/>
      <c r="J91" s="374"/>
      <c r="K91" s="263"/>
      <c r="L91" s="374">
        <f>$L$6</f>
        <v>2035</v>
      </c>
      <c r="M91" s="374"/>
      <c r="N91" s="374"/>
      <c r="O91" s="374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0.47058840346914621</v>
      </c>
      <c r="C94" s="302">
        <v>2.2926416004051372E-2</v>
      </c>
      <c r="D94" s="302">
        <v>0.20355286079092877</v>
      </c>
      <c r="E94" s="302">
        <f>SUM(B94:D94)</f>
        <v>0.69706768026412635</v>
      </c>
      <c r="F94" s="303"/>
      <c r="G94" s="302">
        <v>1.1794649839519511</v>
      </c>
      <c r="H94" s="302">
        <v>0.18397265948003605</v>
      </c>
      <c r="I94" s="302">
        <v>0.32909878752257055</v>
      </c>
      <c r="J94" s="302">
        <f>SUM(G94:I94)</f>
        <v>1.6925364309545576</v>
      </c>
      <c r="K94" s="303"/>
      <c r="L94" s="302">
        <v>0.92067163495110982</v>
      </c>
      <c r="M94" s="302">
        <v>0.1481251944023427</v>
      </c>
      <c r="N94" s="302">
        <v>0.24338258887365538</v>
      </c>
      <c r="O94" s="302">
        <f>SUM(L94:N94)</f>
        <v>1.3121794182271078</v>
      </c>
    </row>
    <row r="95" spans="1:15" s="236" customFormat="1" x14ac:dyDescent="0.2">
      <c r="A95" s="237" t="str">
        <f>name!E$5</f>
        <v>Professional occupations</v>
      </c>
      <c r="B95" s="302">
        <v>0.2639767067164876</v>
      </c>
      <c r="C95" s="302">
        <v>1.7507006606514008E-2</v>
      </c>
      <c r="D95" s="302">
        <v>6.0078041998413642E-2</v>
      </c>
      <c r="E95" s="302">
        <f t="shared" ref="E95:E102" si="56">SUM(B95:D95)</f>
        <v>0.34156175532141525</v>
      </c>
      <c r="F95" s="303"/>
      <c r="G95" s="302">
        <v>0.75888186050519879</v>
      </c>
      <c r="H95" s="302">
        <v>0.11234455567805082</v>
      </c>
      <c r="I95" s="302">
        <v>7.9283034304271693E-2</v>
      </c>
      <c r="J95" s="302">
        <f t="shared" ref="J95:J97" si="57">SUM(G95:I95)</f>
        <v>0.95050945048752133</v>
      </c>
      <c r="K95" s="303"/>
      <c r="L95" s="302">
        <v>0.71252413555485372</v>
      </c>
      <c r="M95" s="302">
        <v>8.848841696923429E-2</v>
      </c>
      <c r="N95" s="302">
        <v>4.4172957083200313E-2</v>
      </c>
      <c r="O95" s="302">
        <f t="shared" ref="O95:O102" si="58">SUM(L95:N95)</f>
        <v>0.84518550960728833</v>
      </c>
    </row>
    <row r="96" spans="1:15" s="236" customFormat="1" x14ac:dyDescent="0.2">
      <c r="A96" s="237" t="str">
        <f>name!E$6</f>
        <v>Associate professional occupations</v>
      </c>
      <c r="B96" s="302">
        <v>0.2566629870047446</v>
      </c>
      <c r="C96" s="302">
        <v>3.7602008596565983E-2</v>
      </c>
      <c r="D96" s="302">
        <v>8.4638007617661035E-2</v>
      </c>
      <c r="E96" s="302">
        <f t="shared" si="56"/>
        <v>0.37890300321897163</v>
      </c>
      <c r="F96" s="303"/>
      <c r="G96" s="302">
        <v>0.67240267231020989</v>
      </c>
      <c r="H96" s="302">
        <v>0.20032882359161805</v>
      </c>
      <c r="I96" s="302">
        <v>0.1080812042297554</v>
      </c>
      <c r="J96" s="302">
        <f t="shared" si="57"/>
        <v>0.98081270013158339</v>
      </c>
      <c r="K96" s="303"/>
      <c r="L96" s="302">
        <v>0.50808577392904519</v>
      </c>
      <c r="M96" s="302">
        <v>0.11045566505546099</v>
      </c>
      <c r="N96" s="302">
        <v>6.5003548984630816E-2</v>
      </c>
      <c r="O96" s="302">
        <f t="shared" si="58"/>
        <v>0.68354498796913699</v>
      </c>
    </row>
    <row r="97" spans="1:15" s="236" customFormat="1" x14ac:dyDescent="0.2">
      <c r="A97" s="237" t="str">
        <f>name!E$7</f>
        <v>Administrative and secretarial occupations</v>
      </c>
      <c r="B97" s="302">
        <v>0.31966857142162675</v>
      </c>
      <c r="C97" s="302">
        <v>7.1651330582944345E-2</v>
      </c>
      <c r="D97" s="302">
        <v>1.6649740083356512E-2</v>
      </c>
      <c r="E97" s="302">
        <f t="shared" si="56"/>
        <v>0.40796964208792763</v>
      </c>
      <c r="F97" s="303"/>
      <c r="G97" s="302">
        <v>0.78694920841025418</v>
      </c>
      <c r="H97" s="302">
        <v>0.18397064893111956</v>
      </c>
      <c r="I97" s="302">
        <v>2.0210508118644274E-2</v>
      </c>
      <c r="J97" s="302">
        <f t="shared" si="57"/>
        <v>0.99113036546001798</v>
      </c>
      <c r="K97" s="303"/>
      <c r="L97" s="302">
        <v>0.55382778783653197</v>
      </c>
      <c r="M97" s="302">
        <v>0.10804787695657177</v>
      </c>
      <c r="N97" s="302">
        <v>1.1624477489461228E-2</v>
      </c>
      <c r="O97" s="302">
        <f t="shared" si="58"/>
        <v>0.67350014228256505</v>
      </c>
    </row>
    <row r="98" spans="1:15" s="236" customFormat="1" x14ac:dyDescent="0.2">
      <c r="A98" s="237" t="str">
        <f>name!E$8</f>
        <v>Skilled trades occupations</v>
      </c>
      <c r="B98" s="302">
        <v>0.83088286759809116</v>
      </c>
      <c r="C98" s="302">
        <v>5.659209642273056E-2</v>
      </c>
      <c r="D98" s="302">
        <v>0.36265557808077947</v>
      </c>
      <c r="E98" s="302">
        <f t="shared" si="56"/>
        <v>1.2501305421016011</v>
      </c>
      <c r="F98" s="303"/>
      <c r="G98" s="302">
        <v>1.433901668774642</v>
      </c>
      <c r="H98" s="302">
        <v>0.18263985809756422</v>
      </c>
      <c r="I98" s="302">
        <v>0.42898035115772359</v>
      </c>
      <c r="J98" s="302">
        <f>SUM(G98:I98)</f>
        <v>2.0455218780299296</v>
      </c>
      <c r="K98" s="303"/>
      <c r="L98" s="302">
        <v>0.82930624196734326</v>
      </c>
      <c r="M98" s="302">
        <v>0.12521870519856035</v>
      </c>
      <c r="N98" s="302">
        <v>0.294665415863892</v>
      </c>
      <c r="O98" s="302">
        <f t="shared" si="58"/>
        <v>1.2491903630297956</v>
      </c>
    </row>
    <row r="99" spans="1:15" s="236" customFormat="1" x14ac:dyDescent="0.2">
      <c r="A99" s="237" t="str">
        <f>name!E$9</f>
        <v>Caring, leisure and other service occupations</v>
      </c>
      <c r="B99" s="302">
        <v>2.0758579644321724E-2</v>
      </c>
      <c r="C99" s="302">
        <v>4.9699966727891429E-3</v>
      </c>
      <c r="D99" s="302">
        <v>9.4775292487815979E-3</v>
      </c>
      <c r="E99" s="302">
        <f t="shared" si="56"/>
        <v>3.5206105565892466E-2</v>
      </c>
      <c r="F99" s="303"/>
      <c r="G99" s="302">
        <v>4.9336094072346758E-2</v>
      </c>
      <c r="H99" s="302">
        <v>2.28497230110906E-2</v>
      </c>
      <c r="I99" s="302">
        <v>1.5466534672850646E-2</v>
      </c>
      <c r="J99" s="302">
        <f t="shared" ref="J99:J102" si="59">SUM(G99:I99)</f>
        <v>8.7652351756287994E-2</v>
      </c>
      <c r="K99" s="303"/>
      <c r="L99" s="302">
        <v>3.6616385457941034E-2</v>
      </c>
      <c r="M99" s="302">
        <v>1.642634879636088E-2</v>
      </c>
      <c r="N99" s="302">
        <v>1.5785884139484826E-2</v>
      </c>
      <c r="O99" s="302">
        <f t="shared" si="58"/>
        <v>6.8828618393786734E-2</v>
      </c>
    </row>
    <row r="100" spans="1:15" s="236" customFormat="1" x14ac:dyDescent="0.2">
      <c r="A100" s="237" t="str">
        <f>name!E$10</f>
        <v>Sales and customer service occupations</v>
      </c>
      <c r="B100" s="302">
        <v>9.2858547462592589E-2</v>
      </c>
      <c r="C100" s="302">
        <v>3.9826867636111249E-2</v>
      </c>
      <c r="D100" s="302">
        <v>4.0030072845595246E-2</v>
      </c>
      <c r="E100" s="302">
        <f t="shared" si="56"/>
        <v>0.17271548794429908</v>
      </c>
      <c r="F100" s="303"/>
      <c r="G100" s="302">
        <v>0.20689690888755638</v>
      </c>
      <c r="H100" s="302">
        <v>0.15953395769310791</v>
      </c>
      <c r="I100" s="302">
        <v>3.9206074070758899E-2</v>
      </c>
      <c r="J100" s="302">
        <f t="shared" si="59"/>
        <v>0.40563694065142314</v>
      </c>
      <c r="K100" s="303"/>
      <c r="L100" s="302">
        <v>0.1696931849420921</v>
      </c>
      <c r="M100" s="302">
        <v>0.11780296260673802</v>
      </c>
      <c r="N100" s="302">
        <v>2.2115446314917454E-2</v>
      </c>
      <c r="O100" s="302">
        <f t="shared" si="58"/>
        <v>0.30961159386374759</v>
      </c>
    </row>
    <row r="101" spans="1:15" s="236" customFormat="1" x14ac:dyDescent="0.2">
      <c r="A101" s="237" t="str">
        <f>name!E$11</f>
        <v>Process, plant and machine operatives</v>
      </c>
      <c r="B101" s="302">
        <v>1.3757286450344031</v>
      </c>
      <c r="C101" s="302">
        <v>0.20525518568441689</v>
      </c>
      <c r="D101" s="302">
        <v>0.26193083241098164</v>
      </c>
      <c r="E101" s="302">
        <f t="shared" si="56"/>
        <v>1.8429146631298017</v>
      </c>
      <c r="F101" s="303"/>
      <c r="G101" s="302">
        <v>2.4289942101769562</v>
      </c>
      <c r="H101" s="302">
        <v>0.68904222265405946</v>
      </c>
      <c r="I101" s="302">
        <v>0.34191641879965068</v>
      </c>
      <c r="J101" s="302">
        <f t="shared" si="59"/>
        <v>3.4599528516306663</v>
      </c>
      <c r="K101" s="303"/>
      <c r="L101" s="302">
        <v>2.1285460086229939</v>
      </c>
      <c r="M101" s="302">
        <v>0.6433988829426357</v>
      </c>
      <c r="N101" s="302">
        <v>0.26903102015416785</v>
      </c>
      <c r="O101" s="302">
        <f t="shared" si="58"/>
        <v>3.0409759117197974</v>
      </c>
    </row>
    <row r="102" spans="1:15" s="236" customFormat="1" x14ac:dyDescent="0.2">
      <c r="A102" s="237" t="str">
        <f>name!E$12</f>
        <v>Elementary occupations</v>
      </c>
      <c r="B102" s="302">
        <v>0.38687469162098215</v>
      </c>
      <c r="C102" s="302">
        <v>8.9669091807450169E-2</v>
      </c>
      <c r="D102" s="302">
        <v>8.5987336937302039E-2</v>
      </c>
      <c r="E102" s="302">
        <f t="shared" si="56"/>
        <v>0.56253112036573438</v>
      </c>
      <c r="F102" s="303"/>
      <c r="G102" s="302">
        <v>0.68117239292943621</v>
      </c>
      <c r="H102" s="302">
        <v>0.27931755089436389</v>
      </c>
      <c r="I102" s="302">
        <v>5.875708710775257E-2</v>
      </c>
      <c r="J102" s="302">
        <f t="shared" si="59"/>
        <v>1.0192470309315527</v>
      </c>
      <c r="K102" s="303"/>
      <c r="L102" s="302">
        <v>0.36272884676099931</v>
      </c>
      <c r="M102" s="302">
        <v>0.14303594706571271</v>
      </c>
      <c r="N102" s="302">
        <v>5.521866109433185E-2</v>
      </c>
      <c r="O102" s="302">
        <f t="shared" si="58"/>
        <v>0.56098345492104384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32</v>
      </c>
      <c r="B104" s="311">
        <f>SUM(B94:B102)</f>
        <v>4.0179999999723961</v>
      </c>
      <c r="C104" s="311">
        <f t="shared" ref="C104:E104" si="60">SUM(C94:C102)</f>
        <v>0.54600000001357374</v>
      </c>
      <c r="D104" s="311">
        <f t="shared" si="60"/>
        <v>1.1250000000138001</v>
      </c>
      <c r="E104" s="311">
        <f t="shared" si="60"/>
        <v>5.6889999999997691</v>
      </c>
      <c r="F104" s="311"/>
      <c r="G104" s="311">
        <f t="shared" ref="G104:J104" si="61">SUM(G94:G102)</f>
        <v>8.1980000000185509</v>
      </c>
      <c r="H104" s="311">
        <f t="shared" si="61"/>
        <v>2.0140000000310105</v>
      </c>
      <c r="I104" s="311">
        <f t="shared" si="61"/>
        <v>1.4209999999839782</v>
      </c>
      <c r="J104" s="311">
        <f t="shared" si="61"/>
        <v>11.63300000003354</v>
      </c>
      <c r="K104" s="311"/>
      <c r="L104" s="311">
        <f t="shared" ref="L104:O104" si="62">SUM(L94:L102)</f>
        <v>6.222000000022911</v>
      </c>
      <c r="M104" s="311">
        <f t="shared" si="62"/>
        <v>1.5009999999936174</v>
      </c>
      <c r="N104" s="311">
        <f t="shared" si="62"/>
        <v>1.0209999999977417</v>
      </c>
      <c r="O104" s="311">
        <f t="shared" si="62"/>
        <v>8.7440000000142692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35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name!A9</f>
        <v>Wearing apparel; Leather, etc</v>
      </c>
      <c r="B108" s="374">
        <f>$B$6</f>
        <v>2015</v>
      </c>
      <c r="C108" s="374"/>
      <c r="D108" s="374"/>
      <c r="E108" s="374"/>
      <c r="F108" s="263"/>
      <c r="G108" s="374">
        <f>$G$6</f>
        <v>2020</v>
      </c>
      <c r="H108" s="374"/>
      <c r="I108" s="374"/>
      <c r="J108" s="374"/>
      <c r="K108" s="263"/>
      <c r="L108" s="374">
        <f>$L$6</f>
        <v>2035</v>
      </c>
      <c r="M108" s="374"/>
      <c r="N108" s="374"/>
      <c r="O108" s="374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0.58231515430909753</v>
      </c>
      <c r="C111" s="302">
        <v>5.8733912512386743E-2</v>
      </c>
      <c r="D111" s="302">
        <v>0.14719009107471964</v>
      </c>
      <c r="E111" s="302">
        <f>SUM(B111:D111)</f>
        <v>0.78823915789620402</v>
      </c>
      <c r="F111" s="303"/>
      <c r="G111" s="302">
        <v>0.80851342875466503</v>
      </c>
      <c r="H111" s="302">
        <v>0.28430077626330558</v>
      </c>
      <c r="I111" s="302">
        <v>0.41087109570846758</v>
      </c>
      <c r="J111" s="302">
        <f>SUM(G111:I111)</f>
        <v>1.5036853007264381</v>
      </c>
      <c r="K111" s="303"/>
      <c r="L111" s="302">
        <v>0.60869757239053279</v>
      </c>
      <c r="M111" s="302">
        <v>0.22944349378090284</v>
      </c>
      <c r="N111" s="302">
        <v>0.31032170525471081</v>
      </c>
      <c r="O111" s="302">
        <f>SUM(L111:N111)</f>
        <v>1.1484627714261464</v>
      </c>
    </row>
    <row r="112" spans="1:15" s="236" customFormat="1" x14ac:dyDescent="0.2">
      <c r="A112" s="237" t="str">
        <f>name!E$5</f>
        <v>Professional occupations</v>
      </c>
      <c r="B112" s="302">
        <v>0.5441201338296513</v>
      </c>
      <c r="C112" s="302">
        <v>4.197276316323343E-2</v>
      </c>
      <c r="D112" s="302">
        <v>6.5154184251499048E-2</v>
      </c>
      <c r="E112" s="302">
        <f t="shared" ref="E112:E119" si="63">SUM(B112:D112)</f>
        <v>0.6512470812443838</v>
      </c>
      <c r="F112" s="303"/>
      <c r="G112" s="302">
        <v>1.7542633999249782</v>
      </c>
      <c r="H112" s="302">
        <v>0.17766573843376393</v>
      </c>
      <c r="I112" s="302">
        <v>0.10892905921687007</v>
      </c>
      <c r="J112" s="302">
        <f t="shared" ref="J112:J114" si="64">SUM(G112:I112)</f>
        <v>2.0408581975756119</v>
      </c>
      <c r="K112" s="303"/>
      <c r="L112" s="302">
        <v>1.7699026456685587</v>
      </c>
      <c r="M112" s="302">
        <v>0.11393074701716419</v>
      </c>
      <c r="N112" s="302">
        <v>6.1811163223698798E-2</v>
      </c>
      <c r="O112" s="302">
        <f t="shared" ref="O112:O119" si="65">SUM(L112:N112)</f>
        <v>1.9456445559094218</v>
      </c>
    </row>
    <row r="113" spans="1:15" s="236" customFormat="1" x14ac:dyDescent="0.2">
      <c r="A113" s="237" t="str">
        <f>name!E$6</f>
        <v>Associate professional occupations</v>
      </c>
      <c r="B113" s="302">
        <v>0.60547835553486862</v>
      </c>
      <c r="C113" s="302">
        <v>0.1052694397928985</v>
      </c>
      <c r="D113" s="302">
        <v>0.17399959170696719</v>
      </c>
      <c r="E113" s="302">
        <f t="shared" si="63"/>
        <v>0.88474738703473432</v>
      </c>
      <c r="F113" s="303"/>
      <c r="G113" s="302">
        <v>0.93648979474495364</v>
      </c>
      <c r="H113" s="302">
        <v>0.40314182703620904</v>
      </c>
      <c r="I113" s="302">
        <v>0.19141434798593943</v>
      </c>
      <c r="J113" s="302">
        <f t="shared" si="64"/>
        <v>1.5310459697671022</v>
      </c>
      <c r="K113" s="303"/>
      <c r="L113" s="302">
        <v>0.69839372294247759</v>
      </c>
      <c r="M113" s="302">
        <v>0.18930737615799031</v>
      </c>
      <c r="N113" s="302">
        <v>0.12948541417098727</v>
      </c>
      <c r="O113" s="302">
        <f t="shared" si="65"/>
        <v>1.0171865132714553</v>
      </c>
    </row>
    <row r="114" spans="1:15" s="236" customFormat="1" x14ac:dyDescent="0.2">
      <c r="A114" s="237" t="str">
        <f>name!E$7</f>
        <v>Administrative and secretarial occupations</v>
      </c>
      <c r="B114" s="302">
        <v>1.0310552669122421</v>
      </c>
      <c r="C114" s="302">
        <v>0.21146771766162084</v>
      </c>
      <c r="D114" s="302">
        <v>6.0372871410566104E-2</v>
      </c>
      <c r="E114" s="302">
        <f t="shared" si="63"/>
        <v>1.302895855984429</v>
      </c>
      <c r="F114" s="303"/>
      <c r="G114" s="302">
        <v>1.1112322545483606</v>
      </c>
      <c r="H114" s="302">
        <v>0.4765906635931243</v>
      </c>
      <c r="I114" s="302">
        <v>0.13417286734342443</v>
      </c>
      <c r="J114" s="302">
        <f t="shared" si="64"/>
        <v>1.7219957854849093</v>
      </c>
      <c r="K114" s="303"/>
      <c r="L114" s="302">
        <v>0.68311982556535678</v>
      </c>
      <c r="M114" s="302">
        <v>0.26544891117394775</v>
      </c>
      <c r="N114" s="302">
        <v>0.13976884165565803</v>
      </c>
      <c r="O114" s="302">
        <f t="shared" si="65"/>
        <v>1.0883375783949625</v>
      </c>
    </row>
    <row r="115" spans="1:15" s="236" customFormat="1" x14ac:dyDescent="0.2">
      <c r="A115" s="237" t="str">
        <f>name!E$8</f>
        <v>Skilled trades occupations</v>
      </c>
      <c r="B115" s="302">
        <v>1.0150562639005933</v>
      </c>
      <c r="C115" s="302">
        <v>0.17543975363544262</v>
      </c>
      <c r="D115" s="302">
        <v>0.5397355299751021</v>
      </c>
      <c r="E115" s="302">
        <f t="shared" si="63"/>
        <v>1.7302315475111381</v>
      </c>
      <c r="F115" s="303"/>
      <c r="G115" s="302">
        <v>0.87078355344307901</v>
      </c>
      <c r="H115" s="302">
        <v>0.50644207999410373</v>
      </c>
      <c r="I115" s="302">
        <v>0.73869470416787508</v>
      </c>
      <c r="J115" s="302">
        <f>SUM(G115:I115)</f>
        <v>2.1159203376050577</v>
      </c>
      <c r="K115" s="303"/>
      <c r="L115" s="302">
        <v>0.37704069268879836</v>
      </c>
      <c r="M115" s="302">
        <v>0.36819280951961808</v>
      </c>
      <c r="N115" s="302">
        <v>0.48018171528009834</v>
      </c>
      <c r="O115" s="302">
        <f t="shared" si="65"/>
        <v>1.2254152174885147</v>
      </c>
    </row>
    <row r="116" spans="1:15" s="236" customFormat="1" x14ac:dyDescent="0.2">
      <c r="A116" s="237" t="str">
        <f>name!E$9</f>
        <v>Caring, leisure and other service occupations</v>
      </c>
      <c r="B116" s="302">
        <v>6.4560768848221123E-2</v>
      </c>
      <c r="C116" s="302">
        <v>2.1672074173254452E-2</v>
      </c>
      <c r="D116" s="302">
        <v>4.0036779947283517E-2</v>
      </c>
      <c r="E116" s="302">
        <f t="shared" si="63"/>
        <v>0.1262696229687591</v>
      </c>
      <c r="F116" s="303"/>
      <c r="G116" s="302">
        <v>0.61388862274118472</v>
      </c>
      <c r="H116" s="302">
        <v>7.2256597133972977E-2</v>
      </c>
      <c r="I116" s="302">
        <v>4.6063064580593997E-2</v>
      </c>
      <c r="J116" s="302">
        <f t="shared" ref="J116:J119" si="66">SUM(G116:I116)</f>
        <v>0.73220828445575159</v>
      </c>
      <c r="K116" s="303"/>
      <c r="L116" s="302">
        <v>0.70033756251378754</v>
      </c>
      <c r="M116" s="302">
        <v>5.1019765749628569E-2</v>
      </c>
      <c r="N116" s="302">
        <v>4.492590276737099E-2</v>
      </c>
      <c r="O116" s="302">
        <f t="shared" si="65"/>
        <v>0.79628323103078702</v>
      </c>
    </row>
    <row r="117" spans="1:15" s="236" customFormat="1" x14ac:dyDescent="0.2">
      <c r="A117" s="237" t="str">
        <f>name!E$10</f>
        <v>Sales and customer service occupations</v>
      </c>
      <c r="B117" s="302">
        <v>0.21684054306002185</v>
      </c>
      <c r="C117" s="302">
        <v>0.1106410963316514</v>
      </c>
      <c r="D117" s="302">
        <v>2.6096812951188271E-2</v>
      </c>
      <c r="E117" s="302">
        <f t="shared" si="63"/>
        <v>0.3535784523428615</v>
      </c>
      <c r="F117" s="303"/>
      <c r="G117" s="302">
        <v>0.32670788474509854</v>
      </c>
      <c r="H117" s="302">
        <v>0.27460106466962347</v>
      </c>
      <c r="I117" s="302">
        <v>3.1928014343007731E-2</v>
      </c>
      <c r="J117" s="302">
        <f t="shared" si="66"/>
        <v>0.63323696375772975</v>
      </c>
      <c r="K117" s="303"/>
      <c r="L117" s="302">
        <v>0.27690575590148991</v>
      </c>
      <c r="M117" s="302">
        <v>0.1963315208976294</v>
      </c>
      <c r="N117" s="302">
        <v>2.2501779526582517E-2</v>
      </c>
      <c r="O117" s="302">
        <f t="shared" si="65"/>
        <v>0.49573905632570181</v>
      </c>
    </row>
    <row r="118" spans="1:15" s="236" customFormat="1" x14ac:dyDescent="0.2">
      <c r="A118" s="237" t="str">
        <f>name!E$11</f>
        <v>Process, plant and machine operatives</v>
      </c>
      <c r="B118" s="302">
        <v>2.318635666927602</v>
      </c>
      <c r="C118" s="302">
        <v>0.67499676237327899</v>
      </c>
      <c r="D118" s="302">
        <v>0.19568719124988895</v>
      </c>
      <c r="E118" s="302">
        <f t="shared" si="63"/>
        <v>3.1893196205507697</v>
      </c>
      <c r="F118" s="303"/>
      <c r="G118" s="302">
        <v>1.1670703337951629</v>
      </c>
      <c r="H118" s="302">
        <v>2.0724514216554248</v>
      </c>
      <c r="I118" s="302">
        <v>0.31169007569569512</v>
      </c>
      <c r="J118" s="302">
        <f t="shared" si="66"/>
        <v>3.5512118311462828</v>
      </c>
      <c r="K118" s="303"/>
      <c r="L118" s="302">
        <v>0.81239738666219918</v>
      </c>
      <c r="M118" s="302">
        <v>1.8964972174380197</v>
      </c>
      <c r="N118" s="302">
        <v>0.29141150614545885</v>
      </c>
      <c r="O118" s="302">
        <f t="shared" si="65"/>
        <v>3.0003061102456776</v>
      </c>
    </row>
    <row r="119" spans="1:15" s="236" customFormat="1" x14ac:dyDescent="0.2">
      <c r="A119" s="237" t="str">
        <f>name!E$12</f>
        <v>Elementary occupations</v>
      </c>
      <c r="B119" s="302">
        <v>1.0709378466527675</v>
      </c>
      <c r="C119" s="302">
        <v>0.39980648041200184</v>
      </c>
      <c r="D119" s="302">
        <v>0.20472694744198672</v>
      </c>
      <c r="E119" s="302">
        <f t="shared" si="63"/>
        <v>1.6754712745067559</v>
      </c>
      <c r="F119" s="303"/>
      <c r="G119" s="302">
        <v>1.0650507273179632</v>
      </c>
      <c r="H119" s="302">
        <v>0.92854983134383362</v>
      </c>
      <c r="I119" s="302">
        <v>0.24823677093339816</v>
      </c>
      <c r="J119" s="302">
        <f t="shared" si="66"/>
        <v>2.241837329595195</v>
      </c>
      <c r="K119" s="303"/>
      <c r="L119" s="302">
        <v>0.6772048357058994</v>
      </c>
      <c r="M119" s="302">
        <v>0.55182815824569298</v>
      </c>
      <c r="N119" s="302">
        <v>0.25859197196405442</v>
      </c>
      <c r="O119" s="302">
        <f t="shared" si="65"/>
        <v>1.4876249659156466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32</v>
      </c>
      <c r="B121" s="311">
        <f>SUM(B111:B119)</f>
        <v>7.448999999975066</v>
      </c>
      <c r="C121" s="311">
        <f t="shared" ref="C121:E121" si="67">SUM(C111:C119)</f>
        <v>1.8000000000557688</v>
      </c>
      <c r="D121" s="311">
        <f t="shared" si="67"/>
        <v>1.4530000000092018</v>
      </c>
      <c r="E121" s="311">
        <f t="shared" si="67"/>
        <v>10.702000000040034</v>
      </c>
      <c r="F121" s="311"/>
      <c r="G121" s="311">
        <f t="shared" ref="G121:J121" si="68">SUM(G111:G119)</f>
        <v>8.6540000000154453</v>
      </c>
      <c r="H121" s="311">
        <f t="shared" si="68"/>
        <v>5.1960000001233606</v>
      </c>
      <c r="I121" s="311">
        <f t="shared" si="68"/>
        <v>2.2219999999752713</v>
      </c>
      <c r="J121" s="311">
        <f t="shared" si="68"/>
        <v>16.072000000114077</v>
      </c>
      <c r="K121" s="311"/>
      <c r="L121" s="311">
        <f t="shared" ref="L121:O121" si="69">SUM(L111:L119)</f>
        <v>6.6040000000391004</v>
      </c>
      <c r="M121" s="311">
        <f t="shared" si="69"/>
        <v>3.8619999999805938</v>
      </c>
      <c r="N121" s="311">
        <f t="shared" si="69"/>
        <v>1.7389999999886199</v>
      </c>
      <c r="O121" s="311">
        <f t="shared" si="69"/>
        <v>12.205000000008315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35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name!A10</f>
        <v xml:space="preserve">Wood and cork </v>
      </c>
      <c r="B125" s="374">
        <f>$B$6</f>
        <v>2015</v>
      </c>
      <c r="C125" s="374"/>
      <c r="D125" s="374"/>
      <c r="E125" s="374"/>
      <c r="F125" s="263"/>
      <c r="G125" s="374">
        <f>$G$6</f>
        <v>2020</v>
      </c>
      <c r="H125" s="374"/>
      <c r="I125" s="374"/>
      <c r="J125" s="374"/>
      <c r="K125" s="263"/>
      <c r="L125" s="374">
        <f>$L$6</f>
        <v>2035</v>
      </c>
      <c r="M125" s="374"/>
      <c r="N125" s="374"/>
      <c r="O125" s="374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0.54194476245294909</v>
      </c>
      <c r="C128" s="302">
        <v>4.4922705300852732E-2</v>
      </c>
      <c r="D128" s="302">
        <v>2.1302239850784735E-2</v>
      </c>
      <c r="E128" s="302">
        <f>SUM(B128:D128)</f>
        <v>0.60816970760458655</v>
      </c>
      <c r="F128" s="303"/>
      <c r="G128" s="302">
        <v>0.73668892095876493</v>
      </c>
      <c r="H128" s="302">
        <v>0.23878624249136141</v>
      </c>
      <c r="I128" s="302">
        <v>5.8075250031433802E-2</v>
      </c>
      <c r="J128" s="302">
        <f>SUM(G128:I128)</f>
        <v>1.0335504134815601</v>
      </c>
      <c r="K128" s="303"/>
      <c r="L128" s="302">
        <v>0.67097863855184958</v>
      </c>
      <c r="M128" s="302">
        <v>0.35314944214467031</v>
      </c>
      <c r="N128" s="302">
        <v>2.9735127731154838E-2</v>
      </c>
      <c r="O128" s="302">
        <f>SUM(L128:N128)</f>
        <v>1.0538632084276747</v>
      </c>
    </row>
    <row r="129" spans="1:15" s="236" customFormat="1" x14ac:dyDescent="0.2">
      <c r="A129" s="237" t="str">
        <f>name!E$5</f>
        <v>Professional occupations</v>
      </c>
      <c r="B129" s="302">
        <v>0.361467174836343</v>
      </c>
      <c r="C129" s="302">
        <v>2.1364320408295227E-2</v>
      </c>
      <c r="D129" s="302">
        <v>8.8462656256157093E-3</v>
      </c>
      <c r="E129" s="302">
        <f t="shared" ref="E129:E136" si="70">SUM(B129:D129)</f>
        <v>0.39167776087025391</v>
      </c>
      <c r="F129" s="303"/>
      <c r="G129" s="302">
        <v>0.55879605407007737</v>
      </c>
      <c r="H129" s="302">
        <v>9.7823432119436587E-2</v>
      </c>
      <c r="I129" s="302">
        <v>3.0195861510058482E-2</v>
      </c>
      <c r="J129" s="302">
        <f t="shared" ref="J129:J131" si="71">SUM(G129:I129)</f>
        <v>0.68681534769957242</v>
      </c>
      <c r="K129" s="303"/>
      <c r="L129" s="302">
        <v>0.59626770982969801</v>
      </c>
      <c r="M129" s="302">
        <v>0.10741749057217038</v>
      </c>
      <c r="N129" s="302">
        <v>8.1572883105135857E-3</v>
      </c>
      <c r="O129" s="302">
        <f t="shared" ref="O129:O136" si="72">SUM(L129:N129)</f>
        <v>0.71184248871238198</v>
      </c>
    </row>
    <row r="130" spans="1:15" s="236" customFormat="1" x14ac:dyDescent="0.2">
      <c r="A130" s="237" t="str">
        <f>name!E$6</f>
        <v>Associate professional occupations</v>
      </c>
      <c r="B130" s="302">
        <v>0.58501601088573196</v>
      </c>
      <c r="C130" s="302">
        <v>2.6799170660601716E-2</v>
      </c>
      <c r="D130" s="302">
        <v>1.0473314028465795E-2</v>
      </c>
      <c r="E130" s="302">
        <f t="shared" si="70"/>
        <v>0.62228849557479937</v>
      </c>
      <c r="F130" s="303"/>
      <c r="G130" s="302">
        <v>0.81236297180391714</v>
      </c>
      <c r="H130" s="302">
        <v>0.11382180703594102</v>
      </c>
      <c r="I130" s="302">
        <v>2.8902525753823637E-2</v>
      </c>
      <c r="J130" s="302">
        <f t="shared" si="71"/>
        <v>0.95508730459368185</v>
      </c>
      <c r="K130" s="303"/>
      <c r="L130" s="302">
        <v>0.66785603819905259</v>
      </c>
      <c r="M130" s="302">
        <v>0.10182000374030271</v>
      </c>
      <c r="N130" s="302">
        <v>1.818347765075044E-2</v>
      </c>
      <c r="O130" s="302">
        <f t="shared" si="72"/>
        <v>0.78785951959010581</v>
      </c>
    </row>
    <row r="131" spans="1:15" s="236" customFormat="1" x14ac:dyDescent="0.2">
      <c r="A131" s="237" t="str">
        <f>name!E$7</f>
        <v>Administrative and secretarial occupations</v>
      </c>
      <c r="B131" s="302">
        <v>0.40822148123888802</v>
      </c>
      <c r="C131" s="302">
        <v>0.1536916891786389</v>
      </c>
      <c r="D131" s="302">
        <v>4.2745312141398767E-3</v>
      </c>
      <c r="E131" s="302">
        <f t="shared" si="70"/>
        <v>0.56618770163166676</v>
      </c>
      <c r="F131" s="303"/>
      <c r="G131" s="302">
        <v>0.50104194948524972</v>
      </c>
      <c r="H131" s="302">
        <v>0.30226476648402956</v>
      </c>
      <c r="I131" s="302">
        <v>5.0609343436205457E-3</v>
      </c>
      <c r="J131" s="302">
        <f t="shared" si="71"/>
        <v>0.80836765031289981</v>
      </c>
      <c r="K131" s="303"/>
      <c r="L131" s="302">
        <v>0.41006166128835775</v>
      </c>
      <c r="M131" s="302">
        <v>6.5004966071698422E-2</v>
      </c>
      <c r="N131" s="302">
        <v>2.5651515976408239E-3</v>
      </c>
      <c r="O131" s="302">
        <f t="shared" si="72"/>
        <v>0.47763177895769698</v>
      </c>
    </row>
    <row r="132" spans="1:15" s="236" customFormat="1" x14ac:dyDescent="0.2">
      <c r="A132" s="237" t="str">
        <f>name!E$8</f>
        <v>Skilled trades occupations</v>
      </c>
      <c r="B132" s="302">
        <v>1.7720341609385972</v>
      </c>
      <c r="C132" s="302">
        <v>2.2157423053316399E-2</v>
      </c>
      <c r="D132" s="302">
        <v>0.37689396713440765</v>
      </c>
      <c r="E132" s="302">
        <f t="shared" si="70"/>
        <v>2.1710855511263212</v>
      </c>
      <c r="F132" s="303"/>
      <c r="G132" s="302">
        <v>1.7046239409572819</v>
      </c>
      <c r="H132" s="302">
        <v>0.1110027030263062</v>
      </c>
      <c r="I132" s="302">
        <v>0.99313142818072542</v>
      </c>
      <c r="J132" s="302">
        <f>SUM(G132:I132)</f>
        <v>2.8087580721643133</v>
      </c>
      <c r="K132" s="303"/>
      <c r="L132" s="302">
        <v>1.2061924428159434</v>
      </c>
      <c r="M132" s="302">
        <v>0.11106344698420968</v>
      </c>
      <c r="N132" s="302">
        <v>0.56733468564785938</v>
      </c>
      <c r="O132" s="302">
        <f t="shared" si="72"/>
        <v>1.8845905754480126</v>
      </c>
    </row>
    <row r="133" spans="1:15" s="236" customFormat="1" x14ac:dyDescent="0.2">
      <c r="A133" s="237" t="str">
        <f>name!E$9</f>
        <v>Caring, leisure and other service occupations</v>
      </c>
      <c r="B133" s="302">
        <v>6.1035649704029679E-2</v>
      </c>
      <c r="C133" s="302">
        <v>7.8423610156039922E-2</v>
      </c>
      <c r="D133" s="302">
        <v>4.8669119781023701E-2</v>
      </c>
      <c r="E133" s="302">
        <f t="shared" si="70"/>
        <v>0.1881283796410933</v>
      </c>
      <c r="F133" s="303"/>
      <c r="G133" s="302">
        <v>6.9047354591016546E-2</v>
      </c>
      <c r="H133" s="302">
        <v>0.26154481122463613</v>
      </c>
      <c r="I133" s="302">
        <v>0.15670411403796858</v>
      </c>
      <c r="J133" s="302">
        <f t="shared" ref="J133:J136" si="73">SUM(G133:I133)</f>
        <v>0.48729627985362123</v>
      </c>
      <c r="K133" s="303"/>
      <c r="L133" s="302">
        <v>6.8116698563499611E-2</v>
      </c>
      <c r="M133" s="302">
        <v>0.36484200187591731</v>
      </c>
      <c r="N133" s="302">
        <v>0.22294728276250614</v>
      </c>
      <c r="O133" s="302">
        <f t="shared" si="72"/>
        <v>0.65590598320192306</v>
      </c>
    </row>
    <row r="134" spans="1:15" s="236" customFormat="1" x14ac:dyDescent="0.2">
      <c r="A134" s="237" t="str">
        <f>name!E$10</f>
        <v>Sales and customer service occupations</v>
      </c>
      <c r="B134" s="302">
        <v>0.18206090753558615</v>
      </c>
      <c r="C134" s="302">
        <v>2.4960290699618987E-2</v>
      </c>
      <c r="D134" s="302">
        <v>2.7233903360823177E-2</v>
      </c>
      <c r="E134" s="302">
        <f t="shared" si="70"/>
        <v>0.23425510159602833</v>
      </c>
      <c r="F134" s="303"/>
      <c r="G134" s="302">
        <v>0.20173781498537308</v>
      </c>
      <c r="H134" s="302">
        <v>8.1111866022878745E-2</v>
      </c>
      <c r="I134" s="302">
        <v>7.1266539246411978E-2</v>
      </c>
      <c r="J134" s="302">
        <f t="shared" si="73"/>
        <v>0.35411622025466377</v>
      </c>
      <c r="K134" s="303"/>
      <c r="L134" s="302">
        <v>0.19390406792586412</v>
      </c>
      <c r="M134" s="302">
        <v>5.2912461905553786E-2</v>
      </c>
      <c r="N134" s="302">
        <v>2.4887513759878317E-2</v>
      </c>
      <c r="O134" s="302">
        <f t="shared" si="72"/>
        <v>0.27170404359129624</v>
      </c>
    </row>
    <row r="135" spans="1:15" s="236" customFormat="1" x14ac:dyDescent="0.2">
      <c r="A135" s="237" t="str">
        <f>name!E$11</f>
        <v>Process, plant and machine operatives</v>
      </c>
      <c r="B135" s="302">
        <v>2.4378680706778515</v>
      </c>
      <c r="C135" s="302">
        <v>4.3374975044003838E-2</v>
      </c>
      <c r="D135" s="302">
        <v>7.8299123213180277E-2</v>
      </c>
      <c r="E135" s="302">
        <f t="shared" si="70"/>
        <v>2.5595421689350357</v>
      </c>
      <c r="F135" s="303"/>
      <c r="G135" s="302">
        <v>2.3322736636415038</v>
      </c>
      <c r="H135" s="302">
        <v>0.23354755242303701</v>
      </c>
      <c r="I135" s="302">
        <v>0.32468067890744162</v>
      </c>
      <c r="J135" s="302">
        <f t="shared" si="73"/>
        <v>2.8905018949719823</v>
      </c>
      <c r="K135" s="303"/>
      <c r="L135" s="302">
        <v>2.2785981982255934</v>
      </c>
      <c r="M135" s="302">
        <v>0.22413714913712346</v>
      </c>
      <c r="N135" s="302">
        <v>0.33095556214104055</v>
      </c>
      <c r="O135" s="302">
        <f t="shared" si="72"/>
        <v>2.8336909095037575</v>
      </c>
    </row>
    <row r="136" spans="1:15" s="236" customFormat="1" x14ac:dyDescent="0.2">
      <c r="A136" s="237" t="str">
        <f>name!E$12</f>
        <v>Elementary occupations</v>
      </c>
      <c r="B136" s="302">
        <v>0.63835178163620965</v>
      </c>
      <c r="C136" s="302">
        <v>6.5305815504707737E-2</v>
      </c>
      <c r="D136" s="302">
        <v>0.45400753577480768</v>
      </c>
      <c r="E136" s="302">
        <f t="shared" si="70"/>
        <v>1.157665132915725</v>
      </c>
      <c r="F136" s="303"/>
      <c r="G136" s="302">
        <v>0.6124273295443079</v>
      </c>
      <c r="H136" s="302">
        <v>0.18709681918260673</v>
      </c>
      <c r="I136" s="302">
        <v>1.1869826679461666</v>
      </c>
      <c r="J136" s="302">
        <f t="shared" si="73"/>
        <v>1.9865068166730813</v>
      </c>
      <c r="K136" s="303"/>
      <c r="L136" s="302">
        <v>0.37302454467147322</v>
      </c>
      <c r="M136" s="302">
        <v>0.10865303756007787</v>
      </c>
      <c r="N136" s="302">
        <v>1.0522339103327754</v>
      </c>
      <c r="O136" s="302">
        <f t="shared" si="72"/>
        <v>1.5339114925643265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32</v>
      </c>
      <c r="B138" s="311">
        <f>SUM(B128:B136)</f>
        <v>6.9879999999061866</v>
      </c>
      <c r="C138" s="311">
        <f t="shared" ref="C138:E138" si="74">SUM(C128:C136)</f>
        <v>0.48100000000607546</v>
      </c>
      <c r="D138" s="311">
        <f t="shared" si="74"/>
        <v>1.0299999999832485</v>
      </c>
      <c r="E138" s="311">
        <f t="shared" si="74"/>
        <v>8.4989999998955099</v>
      </c>
      <c r="F138" s="311"/>
      <c r="G138" s="311">
        <f t="shared" ref="G138:J138" si="75">SUM(G128:G136)</f>
        <v>7.5290000000374926</v>
      </c>
      <c r="H138" s="311">
        <f t="shared" si="75"/>
        <v>1.6270000000102334</v>
      </c>
      <c r="I138" s="311">
        <f t="shared" si="75"/>
        <v>2.8549999999576507</v>
      </c>
      <c r="J138" s="311">
        <f t="shared" si="75"/>
        <v>12.011000000005376</v>
      </c>
      <c r="K138" s="311"/>
      <c r="L138" s="311">
        <f t="shared" ref="L138:O138" si="76">SUM(L128:L136)</f>
        <v>6.465000000071333</v>
      </c>
      <c r="M138" s="311">
        <f t="shared" si="76"/>
        <v>1.4889999999917241</v>
      </c>
      <c r="N138" s="311">
        <f t="shared" si="76"/>
        <v>2.256999999934119</v>
      </c>
      <c r="O138" s="311">
        <f t="shared" si="76"/>
        <v>10.210999999997176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35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name!A11</f>
        <v>Paper, etc</v>
      </c>
      <c r="B142" s="374">
        <f>$B$6</f>
        <v>2015</v>
      </c>
      <c r="C142" s="374"/>
      <c r="D142" s="374"/>
      <c r="E142" s="374"/>
      <c r="F142" s="263"/>
      <c r="G142" s="374">
        <f>$G$6</f>
        <v>2020</v>
      </c>
      <c r="H142" s="374"/>
      <c r="I142" s="374"/>
      <c r="J142" s="374"/>
      <c r="K142" s="263"/>
      <c r="L142" s="374">
        <f>$L$6</f>
        <v>2035</v>
      </c>
      <c r="M142" s="374"/>
      <c r="N142" s="374"/>
      <c r="O142" s="374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0.76531265485085942</v>
      </c>
      <c r="C145" s="302">
        <v>2.7389580137924488E-2</v>
      </c>
      <c r="D145" s="302">
        <v>0.33147703084227886</v>
      </c>
      <c r="E145" s="302">
        <f>SUM(B145:D145)</f>
        <v>1.1241792658310628</v>
      </c>
      <c r="F145" s="303"/>
      <c r="G145" s="302">
        <v>0.99431136542670218</v>
      </c>
      <c r="H145" s="302">
        <v>1.7997267252702481E-2</v>
      </c>
      <c r="I145" s="302">
        <v>3.144959336060113E-2</v>
      </c>
      <c r="J145" s="302">
        <f>SUM(G145:I145)</f>
        <v>1.0437582260400058</v>
      </c>
      <c r="K145" s="303"/>
      <c r="L145" s="302">
        <v>0.92419379071094276</v>
      </c>
      <c r="M145" s="302">
        <v>1.8504451776919291E-2</v>
      </c>
      <c r="N145" s="302">
        <v>4.2979219158417764E-2</v>
      </c>
      <c r="O145" s="302">
        <f>SUM(L145:N145)</f>
        <v>0.98567746164627978</v>
      </c>
    </row>
    <row r="146" spans="1:15" s="236" customFormat="1" x14ac:dyDescent="0.2">
      <c r="A146" s="237" t="str">
        <f>name!E$5</f>
        <v>Professional occupations</v>
      </c>
      <c r="B146" s="302">
        <v>0.64934701390380767</v>
      </c>
      <c r="C146" s="302">
        <v>3.7055870607231367E-2</v>
      </c>
      <c r="D146" s="302">
        <v>0.16833704398115396</v>
      </c>
      <c r="E146" s="302">
        <f t="shared" ref="E146:E153" si="77">SUM(B146:D146)</f>
        <v>0.85473992849219305</v>
      </c>
      <c r="F146" s="303"/>
      <c r="G146" s="302">
        <v>0.94121314110449328</v>
      </c>
      <c r="H146" s="302">
        <v>1.9806877737755121E-2</v>
      </c>
      <c r="I146" s="302">
        <v>1.6143437334896902E-2</v>
      </c>
      <c r="J146" s="302">
        <f t="shared" ref="J146:J148" si="78">SUM(G146:I146)</f>
        <v>0.97716345617714528</v>
      </c>
      <c r="K146" s="303"/>
      <c r="L146" s="302">
        <v>1.0123224824170847</v>
      </c>
      <c r="M146" s="302">
        <v>1.9476079634113637E-2</v>
      </c>
      <c r="N146" s="302">
        <v>1.7156577276639596E-2</v>
      </c>
      <c r="O146" s="302">
        <f t="shared" ref="O146:O153" si="79">SUM(L146:N146)</f>
        <v>1.0489551393278378</v>
      </c>
    </row>
    <row r="147" spans="1:15" s="236" customFormat="1" x14ac:dyDescent="0.2">
      <c r="A147" s="237" t="str">
        <f>name!E$6</f>
        <v>Associate professional occupations</v>
      </c>
      <c r="B147" s="302">
        <v>0.68036862768214179</v>
      </c>
      <c r="C147" s="302">
        <v>8.891309019927876E-2</v>
      </c>
      <c r="D147" s="302">
        <v>0.24340945626738322</v>
      </c>
      <c r="E147" s="302">
        <f t="shared" si="77"/>
        <v>1.0126911741488038</v>
      </c>
      <c r="F147" s="303"/>
      <c r="G147" s="302">
        <v>0.94247003847740685</v>
      </c>
      <c r="H147" s="302">
        <v>4.1523506818175925E-2</v>
      </c>
      <c r="I147" s="302">
        <v>3.3205992101358224E-2</v>
      </c>
      <c r="J147" s="302">
        <f t="shared" si="78"/>
        <v>1.0171995373969411</v>
      </c>
      <c r="K147" s="303"/>
      <c r="L147" s="302">
        <v>0.79148686633377729</v>
      </c>
      <c r="M147" s="302">
        <v>3.5795331730244045E-2</v>
      </c>
      <c r="N147" s="302">
        <v>3.9554348956272432E-2</v>
      </c>
      <c r="O147" s="302">
        <f t="shared" si="79"/>
        <v>0.86683654702029378</v>
      </c>
    </row>
    <row r="148" spans="1:15" s="236" customFormat="1" x14ac:dyDescent="0.2">
      <c r="A148" s="237" t="str">
        <f>name!E$7</f>
        <v>Administrative and secretarial occupations</v>
      </c>
      <c r="B148" s="302">
        <v>0.60911909647477025</v>
      </c>
      <c r="C148" s="302">
        <v>0.28043865233769172</v>
      </c>
      <c r="D148" s="302">
        <v>6.2948261700339347E-2</v>
      </c>
      <c r="E148" s="302">
        <f t="shared" si="77"/>
        <v>0.95250601051280137</v>
      </c>
      <c r="F148" s="303"/>
      <c r="G148" s="302">
        <v>0.73828319703714596</v>
      </c>
      <c r="H148" s="302">
        <v>9.1642621285136602E-2</v>
      </c>
      <c r="I148" s="302">
        <v>5.9833703030881249E-3</v>
      </c>
      <c r="J148" s="302">
        <f t="shared" si="78"/>
        <v>0.83590918862537067</v>
      </c>
      <c r="K148" s="303"/>
      <c r="L148" s="302">
        <v>0.66214525416843228</v>
      </c>
      <c r="M148" s="302">
        <v>5.9738502943287412E-2</v>
      </c>
      <c r="N148" s="302">
        <v>6.2579276976303779E-3</v>
      </c>
      <c r="O148" s="302">
        <f t="shared" si="79"/>
        <v>0.72814168480935004</v>
      </c>
    </row>
    <row r="149" spans="1:15" s="236" customFormat="1" x14ac:dyDescent="0.2">
      <c r="A149" s="237" t="str">
        <f>name!E$8</f>
        <v>Skilled trades occupations</v>
      </c>
      <c r="B149" s="302">
        <v>0.92173171334045967</v>
      </c>
      <c r="C149" s="302">
        <v>2.6312629196054E-2</v>
      </c>
      <c r="D149" s="302">
        <v>0.15717483062068965</v>
      </c>
      <c r="E149" s="302">
        <f t="shared" si="77"/>
        <v>1.1052191731572034</v>
      </c>
      <c r="F149" s="303"/>
      <c r="G149" s="302">
        <v>0.81914105746052335</v>
      </c>
      <c r="H149" s="302">
        <v>9.945581392368506E-3</v>
      </c>
      <c r="I149" s="302">
        <v>1.2305098229603352E-2</v>
      </c>
      <c r="J149" s="302">
        <f>SUM(G149:I149)</f>
        <v>0.84139173708249515</v>
      </c>
      <c r="K149" s="303"/>
      <c r="L149" s="302">
        <v>0.43450373035067152</v>
      </c>
      <c r="M149" s="302">
        <v>7.7385310172506721E-3</v>
      </c>
      <c r="N149" s="302">
        <v>9.3126385518412565E-3</v>
      </c>
      <c r="O149" s="302">
        <f t="shared" si="79"/>
        <v>0.4515548999197635</v>
      </c>
    </row>
    <row r="150" spans="1:15" s="236" customFormat="1" x14ac:dyDescent="0.2">
      <c r="A150" s="237" t="str">
        <f>name!E$9</f>
        <v>Caring, leisure and other service occupations</v>
      </c>
      <c r="B150" s="302">
        <v>9.3314582377143879E-2</v>
      </c>
      <c r="C150" s="302">
        <v>7.8081196215325471E-2</v>
      </c>
      <c r="D150" s="302">
        <v>6.4410466328202898E-3</v>
      </c>
      <c r="E150" s="302">
        <f t="shared" si="77"/>
        <v>0.17783682522528965</v>
      </c>
      <c r="F150" s="303"/>
      <c r="G150" s="302">
        <v>0.10973498554875848</v>
      </c>
      <c r="H150" s="302">
        <v>2.3675870915800697E-2</v>
      </c>
      <c r="I150" s="302">
        <v>1.6519564086832003E-3</v>
      </c>
      <c r="J150" s="302">
        <f t="shared" ref="J150:J153" si="80">SUM(G150:I150)</f>
        <v>0.13506281287324237</v>
      </c>
      <c r="K150" s="303"/>
      <c r="L150" s="302">
        <v>0.1009655623758285</v>
      </c>
      <c r="M150" s="302">
        <v>2.2541893466159663E-2</v>
      </c>
      <c r="N150" s="302">
        <v>1.6538031551700347E-3</v>
      </c>
      <c r="O150" s="302">
        <f t="shared" si="79"/>
        <v>0.12516125899715819</v>
      </c>
    </row>
    <row r="151" spans="1:15" s="236" customFormat="1" x14ac:dyDescent="0.2">
      <c r="A151" s="237" t="str">
        <f>name!E$10</f>
        <v>Sales and customer service occupations</v>
      </c>
      <c r="B151" s="302">
        <v>0.18647788867344686</v>
      </c>
      <c r="C151" s="302">
        <v>0.11614113260293683</v>
      </c>
      <c r="D151" s="302">
        <v>7.9112485407085126E-2</v>
      </c>
      <c r="E151" s="302">
        <f t="shared" si="77"/>
        <v>0.38173150668346878</v>
      </c>
      <c r="F151" s="303"/>
      <c r="G151" s="302">
        <v>0.20993291745852113</v>
      </c>
      <c r="H151" s="302">
        <v>4.1714641913027949E-2</v>
      </c>
      <c r="I151" s="302">
        <v>5.8595299235166516E-3</v>
      </c>
      <c r="J151" s="302">
        <f t="shared" si="80"/>
        <v>0.25750708929506572</v>
      </c>
      <c r="K151" s="303"/>
      <c r="L151" s="302">
        <v>0.22170415257809958</v>
      </c>
      <c r="M151" s="302">
        <v>4.1172129740777406E-2</v>
      </c>
      <c r="N151" s="302">
        <v>5.9109581848153714E-3</v>
      </c>
      <c r="O151" s="302">
        <f t="shared" si="79"/>
        <v>0.26878724050369235</v>
      </c>
    </row>
    <row r="152" spans="1:15" s="236" customFormat="1" x14ac:dyDescent="0.2">
      <c r="A152" s="237" t="str">
        <f>name!E$11</f>
        <v>Process, plant and machine operatives</v>
      </c>
      <c r="B152" s="302">
        <v>2.6157609648858617</v>
      </c>
      <c r="C152" s="302">
        <v>0.14938931765965871</v>
      </c>
      <c r="D152" s="302">
        <v>2.4376292849766657E-2</v>
      </c>
      <c r="E152" s="302">
        <f t="shared" si="77"/>
        <v>2.7895265753952874</v>
      </c>
      <c r="F152" s="303"/>
      <c r="G152" s="302">
        <v>2.3436805915650867</v>
      </c>
      <c r="H152" s="302">
        <v>5.2439998682061839E-2</v>
      </c>
      <c r="I152" s="302">
        <v>2.4976222215938016E-3</v>
      </c>
      <c r="J152" s="302">
        <f t="shared" si="80"/>
        <v>2.3986182124687425</v>
      </c>
      <c r="K152" s="303"/>
      <c r="L152" s="302">
        <v>2.1495811729090897</v>
      </c>
      <c r="M152" s="302">
        <v>7.7727405627657939E-2</v>
      </c>
      <c r="N152" s="302">
        <v>2.3467825303358733E-3</v>
      </c>
      <c r="O152" s="302">
        <f t="shared" si="79"/>
        <v>2.2296553610670835</v>
      </c>
    </row>
    <row r="153" spans="1:15" s="236" customFormat="1" x14ac:dyDescent="0.2">
      <c r="A153" s="237" t="str">
        <f>name!E$12</f>
        <v>Elementary occupations</v>
      </c>
      <c r="B153" s="302">
        <v>1.2745674577327244</v>
      </c>
      <c r="C153" s="302">
        <v>0.35927853107648888</v>
      </c>
      <c r="D153" s="302">
        <v>2.8723551722539598E-2</v>
      </c>
      <c r="E153" s="302">
        <f t="shared" si="77"/>
        <v>1.6625695405317527</v>
      </c>
      <c r="F153" s="303"/>
      <c r="G153" s="302">
        <v>1.1552327059536571</v>
      </c>
      <c r="H153" s="302">
        <v>0.13625363401164389</v>
      </c>
      <c r="I153" s="302">
        <v>1.9034001167787032E-3</v>
      </c>
      <c r="J153" s="302">
        <f t="shared" si="80"/>
        <v>1.2933897400820797</v>
      </c>
      <c r="K153" s="303"/>
      <c r="L153" s="302">
        <v>0.78309698820073548</v>
      </c>
      <c r="M153" s="302">
        <v>0.11430567406023348</v>
      </c>
      <c r="N153" s="302">
        <v>1.8277444921126675E-3</v>
      </c>
      <c r="O153" s="302">
        <f t="shared" si="79"/>
        <v>0.89923040675308163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32</v>
      </c>
      <c r="B155" s="311">
        <f>SUM(B145:B153)</f>
        <v>7.7959999999212144</v>
      </c>
      <c r="C155" s="311">
        <f t="shared" ref="C155:E155" si="81">SUM(C145:C153)</f>
        <v>1.1630000000325902</v>
      </c>
      <c r="D155" s="311">
        <f t="shared" si="81"/>
        <v>1.1020000000240566</v>
      </c>
      <c r="E155" s="311">
        <f t="shared" si="81"/>
        <v>10.060999999977863</v>
      </c>
      <c r="F155" s="311"/>
      <c r="G155" s="311">
        <f t="shared" ref="G155:J155" si="82">SUM(G145:G153)</f>
        <v>8.2540000000322955</v>
      </c>
      <c r="H155" s="311">
        <f t="shared" si="82"/>
        <v>0.435000000008673</v>
      </c>
      <c r="I155" s="311">
        <f t="shared" si="82"/>
        <v>0.11100000000012007</v>
      </c>
      <c r="J155" s="311">
        <f t="shared" si="82"/>
        <v>8.8000000000410896</v>
      </c>
      <c r="K155" s="311"/>
      <c r="L155" s="311">
        <f t="shared" ref="L155:O155" si="83">SUM(L145:L153)</f>
        <v>7.080000000044663</v>
      </c>
      <c r="M155" s="311">
        <f t="shared" si="83"/>
        <v>0.39699999999664359</v>
      </c>
      <c r="N155" s="311">
        <f t="shared" si="83"/>
        <v>0.12700000000323536</v>
      </c>
      <c r="O155" s="311">
        <f t="shared" si="83"/>
        <v>7.6040000000445414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35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name!A12</f>
        <v>Printing and recording</v>
      </c>
      <c r="B159" s="374">
        <f>$B$6</f>
        <v>2015</v>
      </c>
      <c r="C159" s="374"/>
      <c r="D159" s="374"/>
      <c r="E159" s="374"/>
      <c r="F159" s="263"/>
      <c r="G159" s="374">
        <f>$G$6</f>
        <v>2020</v>
      </c>
      <c r="H159" s="374"/>
      <c r="I159" s="374"/>
      <c r="J159" s="374"/>
      <c r="K159" s="263"/>
      <c r="L159" s="374">
        <f>$L$6</f>
        <v>2035</v>
      </c>
      <c r="M159" s="374"/>
      <c r="N159" s="374"/>
      <c r="O159" s="374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1.8951279856820564</v>
      </c>
      <c r="C162" s="302">
        <v>5.797680141763794E-2</v>
      </c>
      <c r="D162" s="302">
        <v>0.33405217263604575</v>
      </c>
      <c r="E162" s="302">
        <f>SUM(B162:D162)</f>
        <v>2.2871569597357402</v>
      </c>
      <c r="F162" s="303"/>
      <c r="G162" s="302">
        <v>1.1850464285626294</v>
      </c>
      <c r="H162" s="302">
        <v>9.1908602945094911E-2</v>
      </c>
      <c r="I162" s="302">
        <v>9.3047673379031026E-2</v>
      </c>
      <c r="J162" s="302">
        <f>SUM(G162:I162)</f>
        <v>1.3700027048867554</v>
      </c>
      <c r="K162" s="303"/>
      <c r="L162" s="302">
        <v>0.978667615142229</v>
      </c>
      <c r="M162" s="302">
        <v>9.4535949436388447E-2</v>
      </c>
      <c r="N162" s="302">
        <v>9.514728244900042E-2</v>
      </c>
      <c r="O162" s="302">
        <f>SUM(L162:N162)</f>
        <v>1.168350847027618</v>
      </c>
    </row>
    <row r="163" spans="1:15" s="236" customFormat="1" x14ac:dyDescent="0.2">
      <c r="A163" s="237" t="str">
        <f>name!E$5</f>
        <v>Professional occupations</v>
      </c>
      <c r="B163" s="302">
        <v>1.3962261604253914</v>
      </c>
      <c r="C163" s="302">
        <v>8.5250283051688344E-2</v>
      </c>
      <c r="D163" s="302">
        <v>0.19185932062633976</v>
      </c>
      <c r="E163" s="302">
        <f t="shared" ref="E163:E170" si="84">SUM(B163:D163)</f>
        <v>1.6733357641034194</v>
      </c>
      <c r="F163" s="303"/>
      <c r="G163" s="302">
        <v>0.99001842444321886</v>
      </c>
      <c r="H163" s="302">
        <v>0.10601850847932169</v>
      </c>
      <c r="I163" s="302">
        <v>4.7948865269659448E-2</v>
      </c>
      <c r="J163" s="302">
        <f t="shared" ref="J163:J165" si="85">SUM(G163:I163)</f>
        <v>1.1439857981921999</v>
      </c>
      <c r="K163" s="303"/>
      <c r="L163" s="302">
        <v>0.91259552589385839</v>
      </c>
      <c r="M163" s="302">
        <v>0.10773496980210015</v>
      </c>
      <c r="N163" s="302">
        <v>3.8079128563626809E-2</v>
      </c>
      <c r="O163" s="302">
        <f t="shared" ref="O163:O170" si="86">SUM(L163:N163)</f>
        <v>1.0584096242595853</v>
      </c>
    </row>
    <row r="164" spans="1:15" s="236" customFormat="1" x14ac:dyDescent="0.2">
      <c r="A164" s="237" t="str">
        <f>name!E$6</f>
        <v>Associate professional occupations</v>
      </c>
      <c r="B164" s="302">
        <v>1.5007123491590741</v>
      </c>
      <c r="C164" s="302">
        <v>0.21448813919968701</v>
      </c>
      <c r="D164" s="302">
        <v>0.39495708261576196</v>
      </c>
      <c r="E164" s="302">
        <f t="shared" si="84"/>
        <v>2.1101575709745233</v>
      </c>
      <c r="F164" s="303"/>
      <c r="G164" s="302">
        <v>0.98160397903680574</v>
      </c>
      <c r="H164" s="302">
        <v>0.23216160031398364</v>
      </c>
      <c r="I164" s="302">
        <v>9.8646749921011148E-2</v>
      </c>
      <c r="J164" s="302">
        <f t="shared" si="85"/>
        <v>1.3124123292718004</v>
      </c>
      <c r="K164" s="303"/>
      <c r="L164" s="302">
        <v>0.7548576173213053</v>
      </c>
      <c r="M164" s="302">
        <v>0.20565063369970618</v>
      </c>
      <c r="N164" s="302">
        <v>8.8247330732800416E-2</v>
      </c>
      <c r="O164" s="302">
        <f t="shared" si="86"/>
        <v>1.0487555817538119</v>
      </c>
    </row>
    <row r="165" spans="1:15" s="236" customFormat="1" x14ac:dyDescent="0.2">
      <c r="A165" s="237" t="str">
        <f>name!E$7</f>
        <v>Administrative and secretarial occupations</v>
      </c>
      <c r="B165" s="302">
        <v>1.1637277045868151</v>
      </c>
      <c r="C165" s="302">
        <v>0.52553289210426735</v>
      </c>
      <c r="D165" s="302">
        <v>8.4118167190604401E-2</v>
      </c>
      <c r="E165" s="302">
        <f t="shared" si="84"/>
        <v>1.7733787638816867</v>
      </c>
      <c r="F165" s="303"/>
      <c r="G165" s="302">
        <v>0.64851160517174544</v>
      </c>
      <c r="H165" s="302">
        <v>0.41080473678741575</v>
      </c>
      <c r="I165" s="302">
        <v>1.7654868920804912E-2</v>
      </c>
      <c r="J165" s="302">
        <f t="shared" si="85"/>
        <v>1.0769712108799661</v>
      </c>
      <c r="K165" s="303"/>
      <c r="L165" s="302">
        <v>0.4874650373410957</v>
      </c>
      <c r="M165" s="302">
        <v>0.28428143861440003</v>
      </c>
      <c r="N165" s="302">
        <v>1.3715629745391917E-2</v>
      </c>
      <c r="O165" s="302">
        <f t="shared" si="86"/>
        <v>0.78546210570088759</v>
      </c>
    </row>
    <row r="166" spans="1:15" s="236" customFormat="1" x14ac:dyDescent="0.2">
      <c r="A166" s="237" t="str">
        <f>name!E$8</f>
        <v>Skilled trades occupations</v>
      </c>
      <c r="B166" s="302">
        <v>1.047734291155124</v>
      </c>
      <c r="C166" s="302">
        <v>2.9307249419849378E-2</v>
      </c>
      <c r="D166" s="302">
        <v>0.14312240055909153</v>
      </c>
      <c r="E166" s="302">
        <f t="shared" si="84"/>
        <v>1.2201639411340648</v>
      </c>
      <c r="F166" s="303"/>
      <c r="G166" s="302">
        <v>0.44454759650618497</v>
      </c>
      <c r="H166" s="302">
        <v>3.8471083909246175E-2</v>
      </c>
      <c r="I166" s="302">
        <v>3.6605513138345612E-2</v>
      </c>
      <c r="J166" s="302">
        <f>SUM(G166:I166)</f>
        <v>0.51962419355377676</v>
      </c>
      <c r="K166" s="303"/>
      <c r="L166" s="302">
        <v>0.15586159166153976</v>
      </c>
      <c r="M166" s="302">
        <v>3.6403827041770379E-2</v>
      </c>
      <c r="N166" s="302">
        <v>2.0631046324524865E-2</v>
      </c>
      <c r="O166" s="302">
        <f t="shared" si="86"/>
        <v>0.21289646502783502</v>
      </c>
    </row>
    <row r="167" spans="1:15" s="236" customFormat="1" x14ac:dyDescent="0.2">
      <c r="A167" s="237" t="str">
        <f>name!E$9</f>
        <v>Caring, leisure and other service occupations</v>
      </c>
      <c r="B167" s="302">
        <v>4.57954705293247E-2</v>
      </c>
      <c r="C167" s="302">
        <v>2.9084991167628256E-2</v>
      </c>
      <c r="D167" s="302">
        <v>1.4857030477687327E-2</v>
      </c>
      <c r="E167" s="302">
        <f t="shared" si="84"/>
        <v>8.9737492174640276E-2</v>
      </c>
      <c r="F167" s="303"/>
      <c r="G167" s="302">
        <v>2.6125894523519048E-2</v>
      </c>
      <c r="H167" s="302">
        <v>2.5456643045949256E-2</v>
      </c>
      <c r="I167" s="302">
        <v>4.3939107328621841E-3</v>
      </c>
      <c r="J167" s="302">
        <f t="shared" ref="J167:J170" si="87">SUM(G167:I167)</f>
        <v>5.5976448302330485E-2</v>
      </c>
      <c r="K167" s="303"/>
      <c r="L167" s="302">
        <v>2.247596106373842E-2</v>
      </c>
      <c r="M167" s="302">
        <v>2.0195069425619459E-2</v>
      </c>
      <c r="N167" s="302">
        <v>3.6721678016879882E-3</v>
      </c>
      <c r="O167" s="302">
        <f t="shared" si="86"/>
        <v>4.634319829104587E-2</v>
      </c>
    </row>
    <row r="168" spans="1:15" s="236" customFormat="1" x14ac:dyDescent="0.2">
      <c r="A168" s="237" t="str">
        <f>name!E$10</f>
        <v>Sales and customer service occupations</v>
      </c>
      <c r="B168" s="302">
        <v>0.63668993469098545</v>
      </c>
      <c r="C168" s="302">
        <v>0.14370668321112748</v>
      </c>
      <c r="D168" s="302">
        <v>8.7923880066390042E-2</v>
      </c>
      <c r="E168" s="302">
        <f t="shared" si="84"/>
        <v>0.86832049796850297</v>
      </c>
      <c r="F168" s="303"/>
      <c r="G168" s="302">
        <v>0.33044305989553108</v>
      </c>
      <c r="H168" s="302">
        <v>0.13604840254535178</v>
      </c>
      <c r="I168" s="302">
        <v>1.7669947418691219E-2</v>
      </c>
      <c r="J168" s="302">
        <f t="shared" si="87"/>
        <v>0.48416140985957407</v>
      </c>
      <c r="K168" s="303"/>
      <c r="L168" s="302">
        <v>0.29343374596105193</v>
      </c>
      <c r="M168" s="302">
        <v>0.12364430453651155</v>
      </c>
      <c r="N168" s="302">
        <v>1.3122309991721454E-2</v>
      </c>
      <c r="O168" s="302">
        <f t="shared" si="86"/>
        <v>0.43020036048928489</v>
      </c>
    </row>
    <row r="169" spans="1:15" s="236" customFormat="1" x14ac:dyDescent="0.2">
      <c r="A169" s="237" t="str">
        <f>name!E$11</f>
        <v>Process, plant and machine operatives</v>
      </c>
      <c r="B169" s="302">
        <v>0.83707366795451998</v>
      </c>
      <c r="C169" s="302">
        <v>6.8228376254460224E-2</v>
      </c>
      <c r="D169" s="302">
        <v>2.5374629992162983E-2</v>
      </c>
      <c r="E169" s="302">
        <f t="shared" si="84"/>
        <v>0.93067667420114319</v>
      </c>
      <c r="F169" s="303"/>
      <c r="G169" s="302">
        <v>0.37378567919499095</v>
      </c>
      <c r="H169" s="302">
        <v>0.11594074493739832</v>
      </c>
      <c r="I169" s="302">
        <v>6.7670148962533138E-3</v>
      </c>
      <c r="J169" s="302">
        <f t="shared" si="87"/>
        <v>0.49649343902864257</v>
      </c>
      <c r="K169" s="303"/>
      <c r="L169" s="302">
        <v>0.32153392767577643</v>
      </c>
      <c r="M169" s="302">
        <v>0.16589144106536793</v>
      </c>
      <c r="N169" s="302">
        <v>5.3611534550387268E-3</v>
      </c>
      <c r="O169" s="302">
        <f t="shared" si="86"/>
        <v>0.49278652219618313</v>
      </c>
    </row>
    <row r="170" spans="1:15" s="236" customFormat="1" x14ac:dyDescent="0.2">
      <c r="A170" s="237" t="str">
        <f>name!E$12</f>
        <v>Elementary occupations</v>
      </c>
      <c r="B170" s="302">
        <v>1.6449124357574907</v>
      </c>
      <c r="C170" s="302">
        <v>0.5464245842164539</v>
      </c>
      <c r="D170" s="302">
        <v>2.2735315857705666E-2</v>
      </c>
      <c r="E170" s="302">
        <f t="shared" si="84"/>
        <v>2.2140723358316503</v>
      </c>
      <c r="F170" s="303"/>
      <c r="G170" s="302">
        <v>0.72491733264236513</v>
      </c>
      <c r="H170" s="302">
        <v>0.57218967706365353</v>
      </c>
      <c r="I170" s="302">
        <v>4.2654563242716294E-3</v>
      </c>
      <c r="J170" s="302">
        <f t="shared" si="87"/>
        <v>1.3013724660302903</v>
      </c>
      <c r="K170" s="303"/>
      <c r="L170" s="302">
        <v>0.47110897794153211</v>
      </c>
      <c r="M170" s="302">
        <v>0.41666236636963583</v>
      </c>
      <c r="N170" s="302">
        <v>4.0239509434237247E-3</v>
      </c>
      <c r="O170" s="302">
        <f t="shared" si="86"/>
        <v>0.89179529525459156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32</v>
      </c>
      <c r="B172" s="311">
        <f>SUM(B162:B170)</f>
        <v>10.167999999940783</v>
      </c>
      <c r="C172" s="311">
        <f t="shared" ref="C172:E172" si="88">SUM(C162:C170)</f>
        <v>1.7000000000427999</v>
      </c>
      <c r="D172" s="311">
        <f t="shared" si="88"/>
        <v>1.2990000000217892</v>
      </c>
      <c r="E172" s="311">
        <f t="shared" si="88"/>
        <v>13.167000000005372</v>
      </c>
      <c r="F172" s="311"/>
      <c r="G172" s="311">
        <f t="shared" ref="G172:J172" si="89">SUM(G162:G170)</f>
        <v>5.7049999999769891</v>
      </c>
      <c r="H172" s="311">
        <f t="shared" si="89"/>
        <v>1.7290000000274151</v>
      </c>
      <c r="I172" s="311">
        <f t="shared" si="89"/>
        <v>0.32700000000093044</v>
      </c>
      <c r="J172" s="311">
        <f t="shared" si="89"/>
        <v>7.7610000000053372</v>
      </c>
      <c r="K172" s="311"/>
      <c r="L172" s="311">
        <f t="shared" ref="L172:O172" si="90">SUM(L162:L170)</f>
        <v>4.3980000000021269</v>
      </c>
      <c r="M172" s="311">
        <f t="shared" si="90"/>
        <v>1.4549999999915</v>
      </c>
      <c r="N172" s="311">
        <f t="shared" si="90"/>
        <v>0.28200000000721631</v>
      </c>
      <c r="O172" s="311">
        <f t="shared" si="90"/>
        <v>6.1350000000008436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35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name!A13</f>
        <v>Coke and petroleum; Chemicals, etc</v>
      </c>
      <c r="B176" s="374">
        <f>$B$6</f>
        <v>2015</v>
      </c>
      <c r="C176" s="374"/>
      <c r="D176" s="374"/>
      <c r="E176" s="374"/>
      <c r="F176" s="263"/>
      <c r="G176" s="374">
        <f>$G$6</f>
        <v>2020</v>
      </c>
      <c r="H176" s="374"/>
      <c r="I176" s="374"/>
      <c r="J176" s="374"/>
      <c r="K176" s="263"/>
      <c r="L176" s="374">
        <f>$L$6</f>
        <v>2035</v>
      </c>
      <c r="M176" s="374"/>
      <c r="N176" s="374"/>
      <c r="O176" s="374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0.88592394913490147</v>
      </c>
      <c r="C179" s="302">
        <v>2.8139237250194994E-2</v>
      </c>
      <c r="D179" s="302">
        <v>6.154455755423844E-2</v>
      </c>
      <c r="E179" s="302">
        <f>SUM(B179:D179)</f>
        <v>0.97560774393933491</v>
      </c>
      <c r="F179" s="303"/>
      <c r="G179" s="302">
        <v>1.0198161156865961</v>
      </c>
      <c r="H179" s="302">
        <v>4.5569300724988715E-2</v>
      </c>
      <c r="I179" s="302">
        <v>0.14473709400214954</v>
      </c>
      <c r="J179" s="302">
        <f>SUM(G179:I179)</f>
        <v>1.2101225104137343</v>
      </c>
      <c r="K179" s="303"/>
      <c r="L179" s="302">
        <v>1.0856020221502456</v>
      </c>
      <c r="M179" s="302">
        <v>5.7163917048436944E-2</v>
      </c>
      <c r="N179" s="302">
        <v>0.15851125953703185</v>
      </c>
      <c r="O179" s="302">
        <f>SUM(L179:N179)</f>
        <v>1.3012771987357146</v>
      </c>
    </row>
    <row r="180" spans="1:15" s="236" customFormat="1" x14ac:dyDescent="0.2">
      <c r="A180" s="237" t="str">
        <f>name!E$5</f>
        <v>Professional occupations</v>
      </c>
      <c r="B180" s="302">
        <v>1.0350037425046321</v>
      </c>
      <c r="C180" s="302">
        <v>3.0549473914071694E-2</v>
      </c>
      <c r="D180" s="302">
        <v>4.3250951745425162E-2</v>
      </c>
      <c r="E180" s="302">
        <f t="shared" ref="E180:E187" si="91">SUM(B180:D180)</f>
        <v>1.108804168164129</v>
      </c>
      <c r="F180" s="303"/>
      <c r="G180" s="302">
        <v>1.3263614583563661</v>
      </c>
      <c r="H180" s="302">
        <v>4.1469120913549887E-2</v>
      </c>
      <c r="I180" s="302">
        <v>8.5441468958864092E-2</v>
      </c>
      <c r="J180" s="302">
        <f t="shared" ref="J180:J182" si="92">SUM(G180:I180)</f>
        <v>1.45327204822878</v>
      </c>
      <c r="K180" s="303"/>
      <c r="L180" s="302">
        <v>1.6116456846209721</v>
      </c>
      <c r="M180" s="302">
        <v>4.7472128642989643E-2</v>
      </c>
      <c r="N180" s="302">
        <v>7.4317195881133433E-2</v>
      </c>
      <c r="O180" s="302">
        <f t="shared" ref="O180:O187" si="93">SUM(L180:N180)</f>
        <v>1.7334350091450952</v>
      </c>
    </row>
    <row r="181" spans="1:15" s="236" customFormat="1" x14ac:dyDescent="0.2">
      <c r="A181" s="237" t="str">
        <f>name!E$6</f>
        <v>Associate professional occupations</v>
      </c>
      <c r="B181" s="302">
        <v>0.66756044411236204</v>
      </c>
      <c r="C181" s="302">
        <v>4.6359337076829779E-2</v>
      </c>
      <c r="D181" s="302">
        <v>3.3422143310855093E-2</v>
      </c>
      <c r="E181" s="302">
        <f t="shared" si="91"/>
        <v>0.74734192450004699</v>
      </c>
      <c r="F181" s="303"/>
      <c r="G181" s="302">
        <v>0.78891941741316984</v>
      </c>
      <c r="H181" s="302">
        <v>5.7512145125407053E-2</v>
      </c>
      <c r="I181" s="302">
        <v>5.5539885380825861E-2</v>
      </c>
      <c r="J181" s="302">
        <f t="shared" si="92"/>
        <v>0.90197144791940276</v>
      </c>
      <c r="K181" s="303"/>
      <c r="L181" s="302">
        <v>0.79619569414807034</v>
      </c>
      <c r="M181" s="302">
        <v>6.1199386646403779E-2</v>
      </c>
      <c r="N181" s="302">
        <v>6.7179932494381839E-2</v>
      </c>
      <c r="O181" s="302">
        <f t="shared" si="93"/>
        <v>0.92457501328885594</v>
      </c>
    </row>
    <row r="182" spans="1:15" s="236" customFormat="1" x14ac:dyDescent="0.2">
      <c r="A182" s="237" t="str">
        <f>name!E$7</f>
        <v>Administrative and secretarial occupations</v>
      </c>
      <c r="B182" s="302">
        <v>0.65711909488794906</v>
      </c>
      <c r="C182" s="302">
        <v>9.1355916362958714E-2</v>
      </c>
      <c r="D182" s="302">
        <v>9.7421230226976494E-3</v>
      </c>
      <c r="E182" s="302">
        <f t="shared" si="91"/>
        <v>0.75821713427360538</v>
      </c>
      <c r="F182" s="303"/>
      <c r="G182" s="302">
        <v>0.72351875417216982</v>
      </c>
      <c r="H182" s="302">
        <v>9.4932889481874047E-2</v>
      </c>
      <c r="I182" s="302">
        <v>1.5534168557609846E-2</v>
      </c>
      <c r="J182" s="302">
        <f t="shared" si="92"/>
        <v>0.83398581221165369</v>
      </c>
      <c r="K182" s="303"/>
      <c r="L182" s="302">
        <v>0.73542536547446935</v>
      </c>
      <c r="M182" s="302">
        <v>7.4063915661758545E-2</v>
      </c>
      <c r="N182" s="302">
        <v>1.7130149429291676E-2</v>
      </c>
      <c r="O182" s="302">
        <f t="shared" si="93"/>
        <v>0.82661943056551956</v>
      </c>
    </row>
    <row r="183" spans="1:15" s="236" customFormat="1" x14ac:dyDescent="0.2">
      <c r="A183" s="237" t="str">
        <f>name!E$8</f>
        <v>Skilled trades occupations</v>
      </c>
      <c r="B183" s="302">
        <v>0.24358373576325079</v>
      </c>
      <c r="C183" s="302">
        <v>2.0902886887065514E-2</v>
      </c>
      <c r="D183" s="302">
        <v>3.5804737887574739E-2</v>
      </c>
      <c r="E183" s="302">
        <f t="shared" si="91"/>
        <v>0.30029136053789107</v>
      </c>
      <c r="F183" s="303"/>
      <c r="G183" s="302">
        <v>0.19954014760297123</v>
      </c>
      <c r="H183" s="302">
        <v>1.0258269938751029E-2</v>
      </c>
      <c r="I183" s="302">
        <v>5.8889265825899977E-2</v>
      </c>
      <c r="J183" s="302">
        <f>SUM(G183:I183)</f>
        <v>0.26868768336762222</v>
      </c>
      <c r="K183" s="303"/>
      <c r="L183" s="302">
        <v>0.15378680750427648</v>
      </c>
      <c r="M183" s="302">
        <v>1.1213603423009559E-2</v>
      </c>
      <c r="N183" s="302">
        <v>6.3524702648484185E-2</v>
      </c>
      <c r="O183" s="302">
        <f t="shared" si="93"/>
        <v>0.22852511357577021</v>
      </c>
    </row>
    <row r="184" spans="1:15" s="236" customFormat="1" x14ac:dyDescent="0.2">
      <c r="A184" s="237" t="str">
        <f>name!E$9</f>
        <v>Caring, leisure and other service occupations</v>
      </c>
      <c r="B184" s="302">
        <v>4.1869580600885796E-2</v>
      </c>
      <c r="C184" s="302">
        <v>7.851246582951929E-3</v>
      </c>
      <c r="D184" s="302">
        <v>7.5937228997837334E-3</v>
      </c>
      <c r="E184" s="302">
        <f t="shared" si="91"/>
        <v>5.7314550083621456E-2</v>
      </c>
      <c r="F184" s="303"/>
      <c r="G184" s="302">
        <v>3.7776847361265818E-2</v>
      </c>
      <c r="H184" s="302">
        <v>6.9055724147517395E-3</v>
      </c>
      <c r="I184" s="302">
        <v>1.4138342064504775E-2</v>
      </c>
      <c r="J184" s="302">
        <f t="shared" ref="J184:J187" si="94">SUM(G184:I184)</f>
        <v>5.8820761840522331E-2</v>
      </c>
      <c r="K184" s="303"/>
      <c r="L184" s="302">
        <v>3.8273038910526608E-2</v>
      </c>
      <c r="M184" s="302">
        <v>6.9354560192842647E-3</v>
      </c>
      <c r="N184" s="302">
        <v>2.1833462115413534E-2</v>
      </c>
      <c r="O184" s="302">
        <f t="shared" si="93"/>
        <v>6.7041957045224407E-2</v>
      </c>
    </row>
    <row r="185" spans="1:15" s="236" customFormat="1" x14ac:dyDescent="0.2">
      <c r="A185" s="237" t="str">
        <f>name!E$10</f>
        <v>Sales and customer service occupations</v>
      </c>
      <c r="B185" s="302">
        <v>0.19887642208070461</v>
      </c>
      <c r="C185" s="302">
        <v>6.1807366809339979E-2</v>
      </c>
      <c r="D185" s="302">
        <v>1.2395431997325804E-2</v>
      </c>
      <c r="E185" s="302">
        <f t="shared" si="91"/>
        <v>0.27307922088737036</v>
      </c>
      <c r="F185" s="303"/>
      <c r="G185" s="302">
        <v>0.19430846653825803</v>
      </c>
      <c r="H185" s="302">
        <v>5.2648817482966369E-2</v>
      </c>
      <c r="I185" s="302">
        <v>1.7229528840088864E-2</v>
      </c>
      <c r="J185" s="302">
        <f t="shared" si="94"/>
        <v>0.26418681286131329</v>
      </c>
      <c r="K185" s="303"/>
      <c r="L185" s="302">
        <v>0.23668593210461161</v>
      </c>
      <c r="M185" s="302">
        <v>6.1322214308275474E-2</v>
      </c>
      <c r="N185" s="302">
        <v>1.5280327077201609E-2</v>
      </c>
      <c r="O185" s="302">
        <f t="shared" si="93"/>
        <v>0.3132884734900887</v>
      </c>
    </row>
    <row r="186" spans="1:15" s="236" customFormat="1" x14ac:dyDescent="0.2">
      <c r="A186" s="237" t="str">
        <f>name!E$11</f>
        <v>Process, plant and machine operatives</v>
      </c>
      <c r="B186" s="302">
        <v>1.2253456994564065</v>
      </c>
      <c r="C186" s="302">
        <v>8.8972558998339224E-2</v>
      </c>
      <c r="D186" s="302">
        <v>2.3899339823861342E-2</v>
      </c>
      <c r="E186" s="302">
        <f t="shared" si="91"/>
        <v>1.3382175982786071</v>
      </c>
      <c r="F186" s="303"/>
      <c r="G186" s="302">
        <v>0.98002013617873884</v>
      </c>
      <c r="H186" s="302">
        <v>6.1502648151593967E-2</v>
      </c>
      <c r="I186" s="302">
        <v>4.0030879328729618E-2</v>
      </c>
      <c r="J186" s="302">
        <f t="shared" si="94"/>
        <v>1.0815536636590624</v>
      </c>
      <c r="K186" s="303"/>
      <c r="L186" s="302">
        <v>1.0359126716759519</v>
      </c>
      <c r="M186" s="302">
        <v>0.11628969850385212</v>
      </c>
      <c r="N186" s="302">
        <v>4.245253014383768E-2</v>
      </c>
      <c r="O186" s="302">
        <f t="shared" si="93"/>
        <v>1.1946549003236417</v>
      </c>
    </row>
    <row r="187" spans="1:15" s="236" customFormat="1" x14ac:dyDescent="0.2">
      <c r="A187" s="237" t="str">
        <f>name!E$12</f>
        <v>Elementary occupations</v>
      </c>
      <c r="B187" s="302">
        <v>0.48171733142561518</v>
      </c>
      <c r="C187" s="302">
        <v>9.4061976125724076E-2</v>
      </c>
      <c r="D187" s="302">
        <v>7.3469917608338852E-3</v>
      </c>
      <c r="E187" s="302">
        <f t="shared" si="91"/>
        <v>0.58312629931217308</v>
      </c>
      <c r="F187" s="303"/>
      <c r="G187" s="302">
        <v>0.37573865666165945</v>
      </c>
      <c r="H187" s="302">
        <v>8.0201235774441437E-2</v>
      </c>
      <c r="I187" s="302">
        <v>9.4593670421371876E-3</v>
      </c>
      <c r="J187" s="302">
        <f t="shared" si="94"/>
        <v>0.46539925947823807</v>
      </c>
      <c r="K187" s="303"/>
      <c r="L187" s="302">
        <v>0.29947278341650291</v>
      </c>
      <c r="M187" s="302">
        <v>7.5339679741290549E-2</v>
      </c>
      <c r="N187" s="302">
        <v>8.7704406777350356E-3</v>
      </c>
      <c r="O187" s="302">
        <f t="shared" si="93"/>
        <v>0.38358290383552851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32</v>
      </c>
      <c r="B189" s="311">
        <f>SUM(B179:B187)</f>
        <v>5.4369999999667078</v>
      </c>
      <c r="C189" s="311">
        <f t="shared" ref="C189:E189" si="95">SUM(C179:C187)</f>
        <v>0.47000000000747588</v>
      </c>
      <c r="D189" s="311">
        <f t="shared" si="95"/>
        <v>0.23500000000259588</v>
      </c>
      <c r="E189" s="311">
        <f t="shared" si="95"/>
        <v>6.1419999999767798</v>
      </c>
      <c r="F189" s="311"/>
      <c r="G189" s="311">
        <f t="shared" ref="G189:J189" si="96">SUM(G179:G187)</f>
        <v>5.6459999999711954</v>
      </c>
      <c r="H189" s="311">
        <f t="shared" si="96"/>
        <v>0.45100000000832419</v>
      </c>
      <c r="I189" s="311">
        <f t="shared" si="96"/>
        <v>0.4410000000008098</v>
      </c>
      <c r="J189" s="311">
        <f t="shared" si="96"/>
        <v>6.537999999980328</v>
      </c>
      <c r="K189" s="311"/>
      <c r="L189" s="311">
        <f t="shared" ref="L189:O189" si="97">SUM(L179:L187)</f>
        <v>5.9930000000056269</v>
      </c>
      <c r="M189" s="311">
        <f t="shared" si="97"/>
        <v>0.51099999999530088</v>
      </c>
      <c r="N189" s="311">
        <f t="shared" si="97"/>
        <v>0.46900000000451092</v>
      </c>
      <c r="O189" s="311">
        <f t="shared" si="97"/>
        <v>6.9730000000054391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35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name!A14</f>
        <v>Pharmaceuticals</v>
      </c>
      <c r="B193" s="374">
        <f>$B$6</f>
        <v>2015</v>
      </c>
      <c r="C193" s="374"/>
      <c r="D193" s="374"/>
      <c r="E193" s="374"/>
      <c r="F193" s="263"/>
      <c r="G193" s="374">
        <f>$G$6</f>
        <v>2020</v>
      </c>
      <c r="H193" s="374"/>
      <c r="I193" s="374"/>
      <c r="J193" s="374"/>
      <c r="K193" s="263"/>
      <c r="L193" s="374">
        <f>$L$6</f>
        <v>2035</v>
      </c>
      <c r="M193" s="374"/>
      <c r="N193" s="374"/>
      <c r="O193" s="374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0.29387846775757354</v>
      </c>
      <c r="C196" s="302">
        <v>3.1770480490573592E-2</v>
      </c>
      <c r="D196" s="302">
        <v>2.1264219578680986E-2</v>
      </c>
      <c r="E196" s="302">
        <f>SUM(B196:D196)</f>
        <v>0.34691316782682807</v>
      </c>
      <c r="F196" s="303"/>
      <c r="G196" s="302">
        <v>0.37150166893003689</v>
      </c>
      <c r="H196" s="302">
        <v>2.8853952094189027E-2</v>
      </c>
      <c r="I196" s="302">
        <v>4.6875952069116725E-2</v>
      </c>
      <c r="J196" s="302">
        <f>SUM(G196:I196)</f>
        <v>0.4472315730933426</v>
      </c>
      <c r="K196" s="303"/>
      <c r="L196" s="302">
        <v>0.29704647472172679</v>
      </c>
      <c r="M196" s="302">
        <v>3.0872725134284046E-2</v>
      </c>
      <c r="N196" s="302">
        <v>4.0617197876888077E-2</v>
      </c>
      <c r="O196" s="302">
        <f>SUM(L196:N196)</f>
        <v>0.36853639773289887</v>
      </c>
    </row>
    <row r="197" spans="1:15" s="236" customFormat="1" x14ac:dyDescent="0.2">
      <c r="A197" s="237" t="str">
        <f>name!E$5</f>
        <v>Professional occupations</v>
      </c>
      <c r="B197" s="302">
        <v>0.57033077799185072</v>
      </c>
      <c r="C197" s="302">
        <v>5.4591788225146959E-2</v>
      </c>
      <c r="D197" s="302">
        <v>4.7674110002575973E-2</v>
      </c>
      <c r="E197" s="302">
        <f t="shared" ref="E197:E204" si="98">SUM(B197:D197)</f>
        <v>0.67259667621957364</v>
      </c>
      <c r="F197" s="303"/>
      <c r="G197" s="302">
        <v>0.81866797168573935</v>
      </c>
      <c r="H197" s="302">
        <v>4.662509301414286E-2</v>
      </c>
      <c r="I197" s="302">
        <v>8.5707562674565696E-2</v>
      </c>
      <c r="J197" s="302">
        <f t="shared" ref="J197:J199" si="99">SUM(G197:I197)</f>
        <v>0.9510006273744479</v>
      </c>
      <c r="K197" s="303"/>
      <c r="L197" s="302">
        <v>0.73758833997881257</v>
      </c>
      <c r="M197" s="302">
        <v>4.8217019908631753E-2</v>
      </c>
      <c r="N197" s="302">
        <v>8.0819151471427542E-2</v>
      </c>
      <c r="O197" s="302">
        <f t="shared" ref="O197:O204" si="100">SUM(L197:N197)</f>
        <v>0.86662451135887197</v>
      </c>
    </row>
    <row r="198" spans="1:15" s="236" customFormat="1" x14ac:dyDescent="0.2">
      <c r="A198" s="237" t="str">
        <f>name!E$6</f>
        <v>Associate professional occupations</v>
      </c>
      <c r="B198" s="302">
        <v>0.35073804935987846</v>
      </c>
      <c r="C198" s="302">
        <v>6.9348838910240559E-2</v>
      </c>
      <c r="D198" s="302">
        <v>3.3667270579513735E-2</v>
      </c>
      <c r="E198" s="302">
        <f t="shared" si="98"/>
        <v>0.45375415884963277</v>
      </c>
      <c r="F198" s="303"/>
      <c r="G198" s="302">
        <v>0.4578784460023726</v>
      </c>
      <c r="H198" s="302">
        <v>5.1632802723783906E-2</v>
      </c>
      <c r="I198" s="302">
        <v>6.0973163545582104E-2</v>
      </c>
      <c r="J198" s="302">
        <f t="shared" si="99"/>
        <v>0.57048441227173863</v>
      </c>
      <c r="K198" s="303"/>
      <c r="L198" s="302">
        <v>0.35587729239988003</v>
      </c>
      <c r="M198" s="302">
        <v>4.6658683603053072E-2</v>
      </c>
      <c r="N198" s="302">
        <v>6.4658713003829207E-2</v>
      </c>
      <c r="O198" s="302">
        <f t="shared" si="100"/>
        <v>0.46719468900676231</v>
      </c>
    </row>
    <row r="199" spans="1:15" s="236" customFormat="1" x14ac:dyDescent="0.2">
      <c r="A199" s="237" t="str">
        <f>name!E$7</f>
        <v>Administrative and secretarial occupations</v>
      </c>
      <c r="B199" s="302">
        <v>0.15033852569583889</v>
      </c>
      <c r="C199" s="302">
        <v>4.4235323379181068E-2</v>
      </c>
      <c r="D199" s="302">
        <v>1.2448326716427449E-2</v>
      </c>
      <c r="E199" s="302">
        <f t="shared" si="98"/>
        <v>0.20702217579144741</v>
      </c>
      <c r="F199" s="303"/>
      <c r="G199" s="302">
        <v>0.16492263480457722</v>
      </c>
      <c r="H199" s="302">
        <v>2.7892694781065014E-2</v>
      </c>
      <c r="I199" s="302">
        <v>6.8635765275199259E-3</v>
      </c>
      <c r="J199" s="302">
        <f t="shared" si="99"/>
        <v>0.19967890611316216</v>
      </c>
      <c r="K199" s="303"/>
      <c r="L199" s="302">
        <v>0.10835450721049489</v>
      </c>
      <c r="M199" s="302">
        <v>1.9709219449517184E-2</v>
      </c>
      <c r="N199" s="302">
        <v>5.4390310708652568E-3</v>
      </c>
      <c r="O199" s="302">
        <f t="shared" si="100"/>
        <v>0.13350275773087733</v>
      </c>
    </row>
    <row r="200" spans="1:15" s="236" customFormat="1" x14ac:dyDescent="0.2">
      <c r="A200" s="237" t="str">
        <f>name!E$8</f>
        <v>Skilled trades occupations</v>
      </c>
      <c r="B200" s="302">
        <v>9.3063725713604273E-2</v>
      </c>
      <c r="C200" s="302">
        <v>2.9195036994982174E-2</v>
      </c>
      <c r="D200" s="302">
        <v>8.4062589621183605E-3</v>
      </c>
      <c r="E200" s="302">
        <f t="shared" si="98"/>
        <v>0.13066502167070482</v>
      </c>
      <c r="F200" s="303"/>
      <c r="G200" s="302">
        <v>8.4801465113207575E-2</v>
      </c>
      <c r="H200" s="302">
        <v>8.5394155658098797E-3</v>
      </c>
      <c r="I200" s="302">
        <v>1.5147013455043932E-2</v>
      </c>
      <c r="J200" s="302">
        <f>SUM(G200:I200)</f>
        <v>0.10848789413406139</v>
      </c>
      <c r="K200" s="303"/>
      <c r="L200" s="302">
        <v>4.8943702638502382E-2</v>
      </c>
      <c r="M200" s="302">
        <v>1.426537805615268E-2</v>
      </c>
      <c r="N200" s="302">
        <v>1.3368668854190373E-2</v>
      </c>
      <c r="O200" s="302">
        <f t="shared" si="100"/>
        <v>7.6577749548845428E-2</v>
      </c>
    </row>
    <row r="201" spans="1:15" s="236" customFormat="1" x14ac:dyDescent="0.2">
      <c r="A201" s="237" t="str">
        <f>name!E$9</f>
        <v>Caring, leisure and other service occupations</v>
      </c>
      <c r="B201" s="302">
        <v>2.3719180305616122E-2</v>
      </c>
      <c r="C201" s="302">
        <v>1.1677701126037504E-2</v>
      </c>
      <c r="D201" s="302">
        <v>4.7761916373714334E-3</v>
      </c>
      <c r="E201" s="302">
        <f t="shared" si="98"/>
        <v>4.017307306902506E-2</v>
      </c>
      <c r="F201" s="303"/>
      <c r="G201" s="302">
        <v>2.4147264062169386E-2</v>
      </c>
      <c r="H201" s="302">
        <v>6.4923767430901487E-3</v>
      </c>
      <c r="I201" s="302">
        <v>3.1439258789439676E-3</v>
      </c>
      <c r="J201" s="302">
        <f t="shared" ref="J201:J204" si="101">SUM(G201:I201)</f>
        <v>3.37835666842035E-2</v>
      </c>
      <c r="K201" s="303"/>
      <c r="L201" s="302">
        <v>1.5900695025586935E-2</v>
      </c>
      <c r="M201" s="302">
        <v>5.231715422285752E-3</v>
      </c>
      <c r="N201" s="302">
        <v>4.6306874740527021E-3</v>
      </c>
      <c r="O201" s="302">
        <f t="shared" si="100"/>
        <v>2.5763097921925389E-2</v>
      </c>
    </row>
    <row r="202" spans="1:15" s="236" customFormat="1" x14ac:dyDescent="0.2">
      <c r="A202" s="237" t="str">
        <f>name!E$10</f>
        <v>Sales and customer service occupations</v>
      </c>
      <c r="B202" s="302">
        <v>6.1139852829423628E-2</v>
      </c>
      <c r="C202" s="302">
        <v>4.9295331798281647E-2</v>
      </c>
      <c r="D202" s="302">
        <v>9.4429013984100082E-3</v>
      </c>
      <c r="E202" s="302">
        <f t="shared" si="98"/>
        <v>0.11987808602611527</v>
      </c>
      <c r="F202" s="303"/>
      <c r="G202" s="302">
        <v>6.5931925225571827E-2</v>
      </c>
      <c r="H202" s="302">
        <v>2.1343091212902815E-2</v>
      </c>
      <c r="I202" s="302">
        <v>1.2660207568660778E-2</v>
      </c>
      <c r="J202" s="302">
        <f t="shared" si="101"/>
        <v>9.993522400713542E-2</v>
      </c>
      <c r="K202" s="303"/>
      <c r="L202" s="302">
        <v>5.7897436555199536E-2</v>
      </c>
      <c r="M202" s="302">
        <v>2.4736079480259025E-2</v>
      </c>
      <c r="N202" s="302">
        <v>1.0444765228839501E-2</v>
      </c>
      <c r="O202" s="302">
        <f t="shared" si="100"/>
        <v>9.3078281264298054E-2</v>
      </c>
    </row>
    <row r="203" spans="1:15" s="236" customFormat="1" x14ac:dyDescent="0.2">
      <c r="A203" s="237" t="str">
        <f>name!E$11</f>
        <v>Process, plant and machine operatives</v>
      </c>
      <c r="B203" s="302">
        <v>0.27079431325526515</v>
      </c>
      <c r="C203" s="302">
        <v>4.0654387325369926E-2</v>
      </c>
      <c r="D203" s="302">
        <v>1.1729511023061591E-2</v>
      </c>
      <c r="E203" s="302">
        <f t="shared" si="98"/>
        <v>0.32317821160369664</v>
      </c>
      <c r="F203" s="303"/>
      <c r="G203" s="302">
        <v>0.23021221672640932</v>
      </c>
      <c r="H203" s="302">
        <v>2.060529443239522E-2</v>
      </c>
      <c r="I203" s="302">
        <v>2.8266731007493492E-2</v>
      </c>
      <c r="J203" s="302">
        <f t="shared" si="101"/>
        <v>0.27908424216629801</v>
      </c>
      <c r="K203" s="303"/>
      <c r="L203" s="302">
        <v>0.1805904242361252</v>
      </c>
      <c r="M203" s="302">
        <v>3.596789765344123E-2</v>
      </c>
      <c r="N203" s="302">
        <v>2.3373179714236511E-2</v>
      </c>
      <c r="O203" s="302">
        <f t="shared" si="100"/>
        <v>0.23993150160380294</v>
      </c>
    </row>
    <row r="204" spans="1:15" s="236" customFormat="1" x14ac:dyDescent="0.2">
      <c r="A204" s="237" t="str">
        <f>name!E$12</f>
        <v>Elementary occupations</v>
      </c>
      <c r="B204" s="302">
        <v>9.8997107080969676E-2</v>
      </c>
      <c r="C204" s="302">
        <v>6.6231111752360738E-2</v>
      </c>
      <c r="D204" s="302">
        <v>9.5912101034209638E-3</v>
      </c>
      <c r="E204" s="302">
        <f t="shared" si="98"/>
        <v>0.17481942893675137</v>
      </c>
      <c r="F204" s="303"/>
      <c r="G204" s="302">
        <v>8.1936407429453031E-2</v>
      </c>
      <c r="H204" s="302">
        <v>3.601527943417257E-2</v>
      </c>
      <c r="I204" s="302">
        <v>6.3618672789308465E-3</v>
      </c>
      <c r="J204" s="302">
        <f t="shared" si="101"/>
        <v>0.12431355414255645</v>
      </c>
      <c r="K204" s="303"/>
      <c r="L204" s="302">
        <v>4.9801127234597897E-2</v>
      </c>
      <c r="M204" s="302">
        <v>2.9341281291144116E-2</v>
      </c>
      <c r="N204" s="302">
        <v>6.6486053178087395E-3</v>
      </c>
      <c r="O204" s="302">
        <f t="shared" si="100"/>
        <v>8.5791013843550756E-2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32</v>
      </c>
      <c r="B206" s="311">
        <f>SUM(B196:B204)</f>
        <v>1.9129999999900202</v>
      </c>
      <c r="C206" s="311">
        <f t="shared" ref="C206:E206" si="102">SUM(C196:C204)</f>
        <v>0.39700000000217417</v>
      </c>
      <c r="D206" s="311">
        <f t="shared" si="102"/>
        <v>0.15900000000158049</v>
      </c>
      <c r="E206" s="311">
        <f t="shared" si="102"/>
        <v>2.4689999999937751</v>
      </c>
      <c r="F206" s="311"/>
      <c r="G206" s="311">
        <f t="shared" ref="G206:J206" si="103">SUM(G196:G204)</f>
        <v>2.2999999999795371</v>
      </c>
      <c r="H206" s="311">
        <f t="shared" si="103"/>
        <v>0.24800000000155145</v>
      </c>
      <c r="I206" s="311">
        <f t="shared" si="103"/>
        <v>0.26600000000585744</v>
      </c>
      <c r="J206" s="311">
        <f t="shared" si="103"/>
        <v>2.8139999999869465</v>
      </c>
      <c r="K206" s="311"/>
      <c r="L206" s="311">
        <f t="shared" ref="L206:O206" si="104">SUM(L196:L204)</f>
        <v>1.8520000000009262</v>
      </c>
      <c r="M206" s="311">
        <f t="shared" si="104"/>
        <v>0.25499999999876882</v>
      </c>
      <c r="N206" s="311">
        <f t="shared" si="104"/>
        <v>0.25000000001213796</v>
      </c>
      <c r="O206" s="311">
        <f t="shared" si="104"/>
        <v>2.357000000011833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35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name!A15</f>
        <v>Rubber and plastic</v>
      </c>
      <c r="B210" s="374">
        <f>$B$6</f>
        <v>2015</v>
      </c>
      <c r="C210" s="374"/>
      <c r="D210" s="374"/>
      <c r="E210" s="374"/>
      <c r="F210" s="263"/>
      <c r="G210" s="374">
        <f>$G$6</f>
        <v>2020</v>
      </c>
      <c r="H210" s="374"/>
      <c r="I210" s="374"/>
      <c r="J210" s="374"/>
      <c r="K210" s="263"/>
      <c r="L210" s="374">
        <f>$L$6</f>
        <v>2035</v>
      </c>
      <c r="M210" s="374"/>
      <c r="N210" s="374"/>
      <c r="O210" s="374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2.5336170543189227</v>
      </c>
      <c r="C213" s="302">
        <v>7.406353041348486E-2</v>
      </c>
      <c r="D213" s="302">
        <v>0.15040871400805103</v>
      </c>
      <c r="E213" s="302">
        <f>SUM(B213:D213)</f>
        <v>2.7580892987404586</v>
      </c>
      <c r="F213" s="303"/>
      <c r="G213" s="302">
        <v>2.8505726837681333</v>
      </c>
      <c r="H213" s="302">
        <v>0.15993565954985875</v>
      </c>
      <c r="I213" s="302">
        <v>0.14165982143811723</v>
      </c>
      <c r="J213" s="302">
        <f>SUM(G213:I213)</f>
        <v>3.1521681647561093</v>
      </c>
      <c r="K213" s="303"/>
      <c r="L213" s="302">
        <v>2.2706606506821596</v>
      </c>
      <c r="M213" s="302">
        <v>0.14374083413055483</v>
      </c>
      <c r="N213" s="302">
        <v>0.13678544805645004</v>
      </c>
      <c r="O213" s="302">
        <f>SUM(L213:N213)</f>
        <v>2.5511869328691641</v>
      </c>
    </row>
    <row r="214" spans="1:15" s="236" customFormat="1" x14ac:dyDescent="0.2">
      <c r="A214" s="237" t="str">
        <f>name!E$5</f>
        <v>Professional occupations</v>
      </c>
      <c r="B214" s="302">
        <v>1.763127662882394</v>
      </c>
      <c r="C214" s="302">
        <v>4.2156684783987416E-2</v>
      </c>
      <c r="D214" s="302">
        <v>5.3751929559678002E-2</v>
      </c>
      <c r="E214" s="302">
        <f t="shared" ref="E214:E221" si="105">SUM(B214:D214)</f>
        <v>1.8590362772260594</v>
      </c>
      <c r="F214" s="303"/>
      <c r="G214" s="302">
        <v>2.2275316150370013</v>
      </c>
      <c r="H214" s="302">
        <v>8.4011800826204783E-2</v>
      </c>
      <c r="I214" s="302">
        <v>4.1216037281722878E-2</v>
      </c>
      <c r="J214" s="302">
        <f t="shared" ref="J214:J216" si="106">SUM(G214:I214)</f>
        <v>2.352759453144929</v>
      </c>
      <c r="K214" s="303"/>
      <c r="L214" s="302">
        <v>2.121127509733765</v>
      </c>
      <c r="M214" s="302">
        <v>7.1266973171716236E-2</v>
      </c>
      <c r="N214" s="302">
        <v>3.2846321850604335E-2</v>
      </c>
      <c r="O214" s="302">
        <f t="shared" ref="O214:O221" si="107">SUM(L214:N214)</f>
        <v>2.2252408047560857</v>
      </c>
    </row>
    <row r="215" spans="1:15" s="236" customFormat="1" x14ac:dyDescent="0.2">
      <c r="A215" s="237" t="str">
        <f>name!E$6</f>
        <v>Associate professional occupations</v>
      </c>
      <c r="B215" s="302">
        <v>1.6733087774417259</v>
      </c>
      <c r="C215" s="302">
        <v>7.6186687346643564E-2</v>
      </c>
      <c r="D215" s="302">
        <v>5.5049442255664174E-2</v>
      </c>
      <c r="E215" s="302">
        <f t="shared" si="105"/>
        <v>1.8045449070440336</v>
      </c>
      <c r="F215" s="303"/>
      <c r="G215" s="302">
        <v>1.9382561960329672</v>
      </c>
      <c r="H215" s="302">
        <v>0.11120414485502335</v>
      </c>
      <c r="I215" s="302">
        <v>3.7972110396210026E-2</v>
      </c>
      <c r="J215" s="302">
        <f t="shared" si="106"/>
        <v>2.0874324512842004</v>
      </c>
      <c r="K215" s="303"/>
      <c r="L215" s="302">
        <v>1.4098407080995266</v>
      </c>
      <c r="M215" s="302">
        <v>7.6358593491679269E-2</v>
      </c>
      <c r="N215" s="302">
        <v>2.8894928283326668E-2</v>
      </c>
      <c r="O215" s="302">
        <f t="shared" si="107"/>
        <v>1.5150942298745325</v>
      </c>
    </row>
    <row r="216" spans="1:15" s="236" customFormat="1" x14ac:dyDescent="0.2">
      <c r="A216" s="237" t="str">
        <f>name!E$7</f>
        <v>Administrative and secretarial occupations</v>
      </c>
      <c r="B216" s="302">
        <v>1.2046077590012709</v>
      </c>
      <c r="C216" s="302">
        <v>0.40197746601087331</v>
      </c>
      <c r="D216" s="302">
        <v>2.2384698066635133E-2</v>
      </c>
      <c r="E216" s="302">
        <f t="shared" si="105"/>
        <v>1.6289699230787793</v>
      </c>
      <c r="F216" s="303"/>
      <c r="G216" s="302">
        <v>1.2030359759154912</v>
      </c>
      <c r="H216" s="302">
        <v>0.37224736687206367</v>
      </c>
      <c r="I216" s="302">
        <v>1.2889255511656973E-2</v>
      </c>
      <c r="J216" s="302">
        <f t="shared" si="106"/>
        <v>1.5881725982992116</v>
      </c>
      <c r="K216" s="303"/>
      <c r="L216" s="302">
        <v>0.87277871440781774</v>
      </c>
      <c r="M216" s="302">
        <v>0.21854428948917978</v>
      </c>
      <c r="N216" s="302">
        <v>1.2083799217898964E-2</v>
      </c>
      <c r="O216" s="302">
        <f t="shared" si="107"/>
        <v>1.1034068031148965</v>
      </c>
    </row>
    <row r="217" spans="1:15" s="236" customFormat="1" x14ac:dyDescent="0.2">
      <c r="A217" s="237" t="str">
        <f>name!E$8</f>
        <v>Skilled trades occupations</v>
      </c>
      <c r="B217" s="302">
        <v>2.2999314733847069</v>
      </c>
      <c r="C217" s="302">
        <v>7.134771488845934E-2</v>
      </c>
      <c r="D217" s="302">
        <v>0.90960490642627456</v>
      </c>
      <c r="E217" s="302">
        <f t="shared" si="105"/>
        <v>3.2808840946994406</v>
      </c>
      <c r="F217" s="303"/>
      <c r="G217" s="302">
        <v>1.832044362612099</v>
      </c>
      <c r="H217" s="302">
        <v>0.10518287169379152</v>
      </c>
      <c r="I217" s="302">
        <v>0.50702606365264358</v>
      </c>
      <c r="J217" s="302">
        <f>SUM(G217:I217)</f>
        <v>2.4442532979585341</v>
      </c>
      <c r="K217" s="303"/>
      <c r="L217" s="302">
        <v>0.97213166620018188</v>
      </c>
      <c r="M217" s="302">
        <v>0.11249017481072554</v>
      </c>
      <c r="N217" s="302">
        <v>0.34767538824449729</v>
      </c>
      <c r="O217" s="302">
        <f t="shared" si="107"/>
        <v>1.4322972292554046</v>
      </c>
    </row>
    <row r="218" spans="1:15" s="236" customFormat="1" x14ac:dyDescent="0.2">
      <c r="A218" s="237" t="str">
        <f>name!E$9</f>
        <v>Caring, leisure and other service occupations</v>
      </c>
      <c r="B218" s="302">
        <v>9.6842098201255944E-2</v>
      </c>
      <c r="C218" s="302">
        <v>5.7109768235183773E-2</v>
      </c>
      <c r="D218" s="302">
        <v>5.0721049551103225E-3</v>
      </c>
      <c r="E218" s="302">
        <f t="shared" si="105"/>
        <v>0.15902397139155003</v>
      </c>
      <c r="F218" s="303"/>
      <c r="G218" s="302">
        <v>9.1750795489394243E-2</v>
      </c>
      <c r="H218" s="302">
        <v>5.31422091727691E-2</v>
      </c>
      <c r="I218" s="302">
        <v>3.4706484053176061E-3</v>
      </c>
      <c r="J218" s="302">
        <f t="shared" ref="J218:J221" si="108">SUM(G218:I218)</f>
        <v>0.14836365306748095</v>
      </c>
      <c r="K218" s="303"/>
      <c r="L218" s="302">
        <v>7.3775788883380128E-2</v>
      </c>
      <c r="M218" s="302">
        <v>4.1739299014933257E-2</v>
      </c>
      <c r="N218" s="302">
        <v>4.1623261459689011E-3</v>
      </c>
      <c r="O218" s="302">
        <f t="shared" si="107"/>
        <v>0.11967741404428228</v>
      </c>
    </row>
    <row r="219" spans="1:15" s="236" customFormat="1" x14ac:dyDescent="0.2">
      <c r="A219" s="237" t="str">
        <f>name!E$10</f>
        <v>Sales and customer service occupations</v>
      </c>
      <c r="B219" s="302">
        <v>0.95657135422056649</v>
      </c>
      <c r="C219" s="302">
        <v>0.14226032113447182</v>
      </c>
      <c r="D219" s="302">
        <v>3.6669214915483375E-2</v>
      </c>
      <c r="E219" s="302">
        <f t="shared" si="105"/>
        <v>1.1355008902705217</v>
      </c>
      <c r="F219" s="303"/>
      <c r="G219" s="302">
        <v>0.89684298944061791</v>
      </c>
      <c r="H219" s="302">
        <v>0.17315536168788692</v>
      </c>
      <c r="I219" s="302">
        <v>2.1108881383470342E-2</v>
      </c>
      <c r="J219" s="302">
        <f t="shared" si="108"/>
        <v>1.0911072325119753</v>
      </c>
      <c r="K219" s="303"/>
      <c r="L219" s="302">
        <v>0.76600173972324659</v>
      </c>
      <c r="M219" s="302">
        <v>0.1394985481561733</v>
      </c>
      <c r="N219" s="302">
        <v>1.5942471824142032E-2</v>
      </c>
      <c r="O219" s="302">
        <f t="shared" si="107"/>
        <v>0.92144275970356182</v>
      </c>
    </row>
    <row r="220" spans="1:15" s="236" customFormat="1" x14ac:dyDescent="0.2">
      <c r="A220" s="237" t="str">
        <f>name!E$11</f>
        <v>Process, plant and machine operatives</v>
      </c>
      <c r="B220" s="302">
        <v>7.0691411732467841</v>
      </c>
      <c r="C220" s="302">
        <v>0.25269911216513052</v>
      </c>
      <c r="D220" s="302">
        <v>0.15735204540103759</v>
      </c>
      <c r="E220" s="302">
        <f t="shared" si="105"/>
        <v>7.4791923308129524</v>
      </c>
      <c r="F220" s="303"/>
      <c r="G220" s="302">
        <v>5.5857443738640402</v>
      </c>
      <c r="H220" s="302">
        <v>0.33326941993948345</v>
      </c>
      <c r="I220" s="302">
        <v>0.11968698997016909</v>
      </c>
      <c r="J220" s="302">
        <f t="shared" si="108"/>
        <v>6.0387007837736926</v>
      </c>
      <c r="K220" s="303"/>
      <c r="L220" s="302">
        <v>4.8381152200106952</v>
      </c>
      <c r="M220" s="302">
        <v>0.40207561601011649</v>
      </c>
      <c r="N220" s="302">
        <v>0.11569050189724145</v>
      </c>
      <c r="O220" s="302">
        <f t="shared" si="107"/>
        <v>5.3558813379180537</v>
      </c>
    </row>
    <row r="221" spans="1:15" s="236" customFormat="1" x14ac:dyDescent="0.2">
      <c r="A221" s="237" t="str">
        <f>name!E$12</f>
        <v>Elementary occupations</v>
      </c>
      <c r="B221" s="302">
        <v>2.2418526471143587</v>
      </c>
      <c r="C221" s="302">
        <v>0.15019871505065457</v>
      </c>
      <c r="D221" s="302">
        <v>2.9706944408020072E-2</v>
      </c>
      <c r="E221" s="302">
        <f t="shared" si="105"/>
        <v>2.4217583065730337</v>
      </c>
      <c r="F221" s="303"/>
      <c r="G221" s="302">
        <v>1.7682210078747926</v>
      </c>
      <c r="H221" s="302">
        <v>0.16185116542572164</v>
      </c>
      <c r="I221" s="302">
        <v>9.9701919560985317E-3</v>
      </c>
      <c r="J221" s="302">
        <f t="shared" si="108"/>
        <v>1.940042365256613</v>
      </c>
      <c r="K221" s="303"/>
      <c r="L221" s="302">
        <v>0.991568002338995</v>
      </c>
      <c r="M221" s="302">
        <v>8.828567171566272E-2</v>
      </c>
      <c r="N221" s="302">
        <v>8.9188144801608405E-3</v>
      </c>
      <c r="O221" s="302">
        <f t="shared" si="107"/>
        <v>1.0887724885348187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32</v>
      </c>
      <c r="B223" s="311">
        <f>SUM(B213:B221)</f>
        <v>19.838999999811985</v>
      </c>
      <c r="C223" s="311">
        <f t="shared" ref="C223:E223" si="109">SUM(C213:C221)</f>
        <v>1.2680000000288894</v>
      </c>
      <c r="D223" s="311">
        <f t="shared" si="109"/>
        <v>1.4199999999959543</v>
      </c>
      <c r="E223" s="311">
        <f t="shared" si="109"/>
        <v>22.526999999836828</v>
      </c>
      <c r="F223" s="311"/>
      <c r="G223" s="311">
        <f t="shared" ref="G223:J223" si="110">SUM(G213:G221)</f>
        <v>18.394000000034538</v>
      </c>
      <c r="H223" s="311">
        <f t="shared" si="110"/>
        <v>1.5540000000228034</v>
      </c>
      <c r="I223" s="311">
        <f t="shared" si="110"/>
        <v>0.89499999999540636</v>
      </c>
      <c r="J223" s="311">
        <f t="shared" si="110"/>
        <v>20.843000000052744</v>
      </c>
      <c r="K223" s="311"/>
      <c r="L223" s="311">
        <f t="shared" ref="L223:O223" si="111">SUM(L213:L221)</f>
        <v>14.31600000007977</v>
      </c>
      <c r="M223" s="311">
        <f t="shared" si="111"/>
        <v>1.2939999999907414</v>
      </c>
      <c r="N223" s="311">
        <f t="shared" si="111"/>
        <v>0.7030000000002905</v>
      </c>
      <c r="O223" s="311">
        <f t="shared" si="111"/>
        <v>16.313000000070797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35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name!A16</f>
        <v>Other non-metallic</v>
      </c>
      <c r="B227" s="374">
        <f>$B$6</f>
        <v>2015</v>
      </c>
      <c r="C227" s="374"/>
      <c r="D227" s="374"/>
      <c r="E227" s="374"/>
      <c r="F227" s="263"/>
      <c r="G227" s="374">
        <f>$G$6</f>
        <v>2020</v>
      </c>
      <c r="H227" s="374"/>
      <c r="I227" s="374"/>
      <c r="J227" s="374"/>
      <c r="K227" s="263"/>
      <c r="L227" s="374">
        <f>$L$6</f>
        <v>2035</v>
      </c>
      <c r="M227" s="374"/>
      <c r="N227" s="374"/>
      <c r="O227" s="374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1.1237916992892112</v>
      </c>
      <c r="C230" s="302">
        <v>3.1776745964454955E-2</v>
      </c>
      <c r="D230" s="302">
        <v>0.12008053018705681</v>
      </c>
      <c r="E230" s="302">
        <f>SUM(B230:D230)</f>
        <v>1.275648975440723</v>
      </c>
      <c r="F230" s="303"/>
      <c r="G230" s="302">
        <v>1.7464024476456159</v>
      </c>
      <c r="H230" s="302">
        <v>4.5330441125963496E-2</v>
      </c>
      <c r="I230" s="302">
        <v>5.9754162644616193E-2</v>
      </c>
      <c r="J230" s="302">
        <f>SUM(G230:I230)</f>
        <v>1.8514870514161954</v>
      </c>
      <c r="K230" s="303"/>
      <c r="L230" s="302">
        <v>1.3588441132909617</v>
      </c>
      <c r="M230" s="302">
        <v>4.1518891961636988E-2</v>
      </c>
      <c r="N230" s="302">
        <v>6.5511364332719965E-2</v>
      </c>
      <c r="O230" s="302">
        <f>SUM(L230:N230)</f>
        <v>1.4658743695853185</v>
      </c>
    </row>
    <row r="231" spans="1:15" s="236" customFormat="1" x14ac:dyDescent="0.2">
      <c r="A231" s="237" t="str">
        <f>name!E$5</f>
        <v>Professional occupations</v>
      </c>
      <c r="B231" s="302">
        <v>0.60753927004832198</v>
      </c>
      <c r="C231" s="302">
        <v>6.1271539459573574E-2</v>
      </c>
      <c r="D231" s="302">
        <v>3.0966661886179424E-2</v>
      </c>
      <c r="E231" s="302">
        <f t="shared" ref="E231:E238" si="112">SUM(B231:D231)</f>
        <v>0.69977747139407498</v>
      </c>
      <c r="F231" s="303"/>
      <c r="G231" s="302">
        <v>1.078777901020193</v>
      </c>
      <c r="H231" s="302">
        <v>0.1099965142555957</v>
      </c>
      <c r="I231" s="302">
        <v>1.3254385779451799E-2</v>
      </c>
      <c r="J231" s="302">
        <f t="shared" ref="J231:J233" si="113">SUM(G231:I231)</f>
        <v>1.2020288010552405</v>
      </c>
      <c r="K231" s="303"/>
      <c r="L231" s="302">
        <v>0.98345345096908199</v>
      </c>
      <c r="M231" s="302">
        <v>0.12477503724926144</v>
      </c>
      <c r="N231" s="302">
        <v>1.200767319835537E-2</v>
      </c>
      <c r="O231" s="302">
        <f t="shared" ref="O231:O238" si="114">SUM(L231:N231)</f>
        <v>1.1202361614166989</v>
      </c>
    </row>
    <row r="232" spans="1:15" s="236" customFormat="1" x14ac:dyDescent="0.2">
      <c r="A232" s="237" t="str">
        <f>name!E$6</f>
        <v>Associate professional occupations</v>
      </c>
      <c r="B232" s="302">
        <v>0.92961067207315506</v>
      </c>
      <c r="C232" s="302">
        <v>6.6320153448043831E-2</v>
      </c>
      <c r="D232" s="302">
        <v>2.3910349170496253E-2</v>
      </c>
      <c r="E232" s="302">
        <f t="shared" si="112"/>
        <v>1.0198411746916951</v>
      </c>
      <c r="F232" s="303"/>
      <c r="G232" s="302">
        <v>1.4350562480129418</v>
      </c>
      <c r="H232" s="302">
        <v>9.5419890395613799E-2</v>
      </c>
      <c r="I232" s="302">
        <v>9.7099967918602859E-3</v>
      </c>
      <c r="J232" s="302">
        <f t="shared" si="113"/>
        <v>1.540186135200416</v>
      </c>
      <c r="K232" s="303"/>
      <c r="L232" s="302">
        <v>1.091422009315784</v>
      </c>
      <c r="M232" s="302">
        <v>5.7203812814222627E-2</v>
      </c>
      <c r="N232" s="302">
        <v>8.8166761262816907E-3</v>
      </c>
      <c r="O232" s="302">
        <f t="shared" si="114"/>
        <v>1.1574424982562885</v>
      </c>
    </row>
    <row r="233" spans="1:15" s="236" customFormat="1" x14ac:dyDescent="0.2">
      <c r="A233" s="237" t="str">
        <f>name!E$7</f>
        <v>Administrative and secretarial occupations</v>
      </c>
      <c r="B233" s="302">
        <v>0.90347545496647719</v>
      </c>
      <c r="C233" s="302">
        <v>0.31754973838480238</v>
      </c>
      <c r="D233" s="302">
        <v>3.2512033001804753E-2</v>
      </c>
      <c r="E233" s="302">
        <f t="shared" si="112"/>
        <v>1.2535372263530842</v>
      </c>
      <c r="F233" s="303"/>
      <c r="G233" s="302">
        <v>1.1755747095002034</v>
      </c>
      <c r="H233" s="302">
        <v>0.22711159659774327</v>
      </c>
      <c r="I233" s="302">
        <v>1.235562727708552E-2</v>
      </c>
      <c r="J233" s="302">
        <f t="shared" si="113"/>
        <v>1.4150419333750321</v>
      </c>
      <c r="K233" s="303"/>
      <c r="L233" s="302">
        <v>0.69749764811112269</v>
      </c>
      <c r="M233" s="302">
        <v>0.1370680036489399</v>
      </c>
      <c r="N233" s="302">
        <v>8.8579424664452788E-3</v>
      </c>
      <c r="O233" s="302">
        <f t="shared" si="114"/>
        <v>0.84342359422650781</v>
      </c>
    </row>
    <row r="234" spans="1:15" s="236" customFormat="1" x14ac:dyDescent="0.2">
      <c r="A234" s="237" t="str">
        <f>name!E$8</f>
        <v>Skilled trades occupations</v>
      </c>
      <c r="B234" s="302">
        <v>1.6505636400707977</v>
      </c>
      <c r="C234" s="302">
        <v>4.7872508529822839E-2</v>
      </c>
      <c r="D234" s="302">
        <v>0.32436834063139253</v>
      </c>
      <c r="E234" s="302">
        <f t="shared" si="112"/>
        <v>2.0228044892320129</v>
      </c>
      <c r="F234" s="303"/>
      <c r="G234" s="302">
        <v>1.9776172324476102</v>
      </c>
      <c r="H234" s="302">
        <v>3.2683556101281756E-2</v>
      </c>
      <c r="I234" s="302">
        <v>0.10935509356061575</v>
      </c>
      <c r="J234" s="302">
        <f>SUM(G234:I234)</f>
        <v>2.1196558821095075</v>
      </c>
      <c r="K234" s="303"/>
      <c r="L234" s="302">
        <v>1.2534269111071663</v>
      </c>
      <c r="M234" s="302">
        <v>3.3346000627817028E-2</v>
      </c>
      <c r="N234" s="302">
        <v>0.12056186242491418</v>
      </c>
      <c r="O234" s="302">
        <f t="shared" si="114"/>
        <v>1.4073347741598976</v>
      </c>
    </row>
    <row r="235" spans="1:15" s="236" customFormat="1" x14ac:dyDescent="0.2">
      <c r="A235" s="237" t="str">
        <f>name!E$9</f>
        <v>Caring, leisure and other service occupations</v>
      </c>
      <c r="B235" s="302">
        <v>9.6955304300996692E-2</v>
      </c>
      <c r="C235" s="302">
        <v>1.7087734018181949E-2</v>
      </c>
      <c r="D235" s="302">
        <v>8.0159410469196595E-3</v>
      </c>
      <c r="E235" s="302">
        <f t="shared" si="112"/>
        <v>0.1220589793660983</v>
      </c>
      <c r="F235" s="303"/>
      <c r="G235" s="302">
        <v>0.14953135018028452</v>
      </c>
      <c r="H235" s="302">
        <v>1.2237286458390065E-2</v>
      </c>
      <c r="I235" s="302">
        <v>3.7919573835825462E-3</v>
      </c>
      <c r="J235" s="302">
        <f t="shared" ref="J235:J238" si="115">SUM(G235:I235)</f>
        <v>0.16556059402225712</v>
      </c>
      <c r="K235" s="303"/>
      <c r="L235" s="302">
        <v>0.17241318984559426</v>
      </c>
      <c r="M235" s="302">
        <v>7.4404959011411705E-3</v>
      </c>
      <c r="N235" s="302">
        <v>4.5495887862423883E-3</v>
      </c>
      <c r="O235" s="302">
        <f t="shared" si="114"/>
        <v>0.18440327453297783</v>
      </c>
    </row>
    <row r="236" spans="1:15" s="236" customFormat="1" x14ac:dyDescent="0.2">
      <c r="A236" s="237" t="str">
        <f>name!E$10</f>
        <v>Sales and customer service occupations</v>
      </c>
      <c r="B236" s="302">
        <v>0.41667249604833034</v>
      </c>
      <c r="C236" s="302">
        <v>5.9239940663028297E-2</v>
      </c>
      <c r="D236" s="302">
        <v>3.3765599666474896E-2</v>
      </c>
      <c r="E236" s="302">
        <f t="shared" si="112"/>
        <v>0.50967803637783349</v>
      </c>
      <c r="F236" s="303"/>
      <c r="G236" s="302">
        <v>0.53917328109913587</v>
      </c>
      <c r="H236" s="302">
        <v>4.7897561089805779E-2</v>
      </c>
      <c r="I236" s="302">
        <v>1.1222717386593119E-2</v>
      </c>
      <c r="J236" s="302">
        <f t="shared" si="115"/>
        <v>0.59829355957553476</v>
      </c>
      <c r="K236" s="303"/>
      <c r="L236" s="302">
        <v>0.45607764270927126</v>
      </c>
      <c r="M236" s="302">
        <v>3.9248881409894111E-2</v>
      </c>
      <c r="N236" s="302">
        <v>9.6577102710837907E-3</v>
      </c>
      <c r="O236" s="302">
        <f t="shared" si="114"/>
        <v>0.5049842343902492</v>
      </c>
    </row>
    <row r="237" spans="1:15" s="236" customFormat="1" x14ac:dyDescent="0.2">
      <c r="A237" s="237" t="str">
        <f>name!E$11</f>
        <v>Process, plant and machine operatives</v>
      </c>
      <c r="B237" s="302">
        <v>3.7688450975210119</v>
      </c>
      <c r="C237" s="302">
        <v>0.12920800209313277</v>
      </c>
      <c r="D237" s="302">
        <v>9.3421795297345497E-2</v>
      </c>
      <c r="E237" s="302">
        <f t="shared" si="112"/>
        <v>3.99147489491149</v>
      </c>
      <c r="F237" s="303"/>
      <c r="G237" s="302">
        <v>4.2876059396360207</v>
      </c>
      <c r="H237" s="302">
        <v>0.11250849763480826</v>
      </c>
      <c r="I237" s="302">
        <v>4.1616590226128666E-2</v>
      </c>
      <c r="J237" s="302">
        <f t="shared" si="115"/>
        <v>4.4417310274969575</v>
      </c>
      <c r="K237" s="303"/>
      <c r="L237" s="302">
        <v>3.8914826792830048</v>
      </c>
      <c r="M237" s="302">
        <v>0.16089348702694106</v>
      </c>
      <c r="N237" s="302">
        <v>4.6120454056666878E-2</v>
      </c>
      <c r="O237" s="302">
        <f t="shared" si="114"/>
        <v>4.0984966203666131</v>
      </c>
    </row>
    <row r="238" spans="1:15" s="236" customFormat="1" x14ac:dyDescent="0.2">
      <c r="A238" s="237" t="str">
        <f>name!E$12</f>
        <v>Elementary occupations</v>
      </c>
      <c r="B238" s="302">
        <v>1.5835463655467257</v>
      </c>
      <c r="C238" s="302">
        <v>0.15667363746075641</v>
      </c>
      <c r="D238" s="302">
        <v>6.0958749105183299E-2</v>
      </c>
      <c r="E238" s="302">
        <f t="shared" si="112"/>
        <v>1.8011787521126654</v>
      </c>
      <c r="F238" s="303"/>
      <c r="G238" s="302">
        <v>1.747260890504142</v>
      </c>
      <c r="H238" s="302">
        <v>9.9814656352133616E-2</v>
      </c>
      <c r="I238" s="302">
        <v>1.6939468948323395E-2</v>
      </c>
      <c r="J238" s="302">
        <f t="shared" si="115"/>
        <v>1.8640150158045989</v>
      </c>
      <c r="K238" s="303"/>
      <c r="L238" s="302">
        <v>1.0143823554608602</v>
      </c>
      <c r="M238" s="302">
        <v>5.0505389352095378E-2</v>
      </c>
      <c r="N238" s="302">
        <v>1.6916728333761354E-2</v>
      </c>
      <c r="O238" s="302">
        <f t="shared" si="114"/>
        <v>1.0818044731467171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32</v>
      </c>
      <c r="B240" s="311">
        <f>SUM(B230:B238)</f>
        <v>11.080999999865027</v>
      </c>
      <c r="C240" s="311">
        <f t="shared" ref="C240:E240" si="116">SUM(C230:C238)</f>
        <v>0.88700000002179702</v>
      </c>
      <c r="D240" s="311">
        <f t="shared" si="116"/>
        <v>0.72799999999285303</v>
      </c>
      <c r="E240" s="311">
        <f t="shared" si="116"/>
        <v>12.695999999879678</v>
      </c>
      <c r="F240" s="311"/>
      <c r="G240" s="311">
        <f t="shared" ref="G240:J240" si="117">SUM(G230:G238)</f>
        <v>14.137000000046148</v>
      </c>
      <c r="H240" s="311">
        <f t="shared" si="117"/>
        <v>0.78300000001133574</v>
      </c>
      <c r="I240" s="311">
        <f t="shared" si="117"/>
        <v>0.27799999999825725</v>
      </c>
      <c r="J240" s="311">
        <f t="shared" si="117"/>
        <v>15.198000000055737</v>
      </c>
      <c r="K240" s="311"/>
      <c r="L240" s="311">
        <f t="shared" ref="L240:O240" si="118">SUM(L230:L238)</f>
        <v>10.919000000092847</v>
      </c>
      <c r="M240" s="311">
        <f t="shared" si="118"/>
        <v>0.65199999999194969</v>
      </c>
      <c r="N240" s="311">
        <f t="shared" si="118"/>
        <v>0.29299999999647092</v>
      </c>
      <c r="O240" s="311">
        <f t="shared" si="118"/>
        <v>11.864000000081267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35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name!A17</f>
        <v>Basic metals</v>
      </c>
      <c r="B244" s="374">
        <f>$B$6</f>
        <v>2015</v>
      </c>
      <c r="C244" s="374"/>
      <c r="D244" s="374"/>
      <c r="E244" s="374"/>
      <c r="F244" s="263"/>
      <c r="G244" s="374">
        <f>$G$6</f>
        <v>2020</v>
      </c>
      <c r="H244" s="374"/>
      <c r="I244" s="374"/>
      <c r="J244" s="374"/>
      <c r="K244" s="263"/>
      <c r="L244" s="374">
        <f>$L$6</f>
        <v>2035</v>
      </c>
      <c r="M244" s="374"/>
      <c r="N244" s="374"/>
      <c r="O244" s="374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0.36408979818693565</v>
      </c>
      <c r="C247" s="302">
        <v>1.0356999214350099E-2</v>
      </c>
      <c r="D247" s="302">
        <v>1.9979584366936771E-2</v>
      </c>
      <c r="E247" s="302">
        <f>SUM(B247:D247)</f>
        <v>0.39442638176822248</v>
      </c>
      <c r="F247" s="303"/>
      <c r="G247" s="302">
        <v>0.40426136539099278</v>
      </c>
      <c r="H247" s="302">
        <v>3.8705346981336403E-2</v>
      </c>
      <c r="I247" s="302">
        <v>1.1100251412965501E-2</v>
      </c>
      <c r="J247" s="302">
        <f>SUM(G247:I247)</f>
        <v>0.45406696378529471</v>
      </c>
      <c r="K247" s="303"/>
      <c r="L247" s="302">
        <v>0.35574159937353633</v>
      </c>
      <c r="M247" s="302">
        <v>3.6514578825216068E-2</v>
      </c>
      <c r="N247" s="302">
        <v>1.3318490162622267E-2</v>
      </c>
      <c r="O247" s="302">
        <f>SUM(L247:N247)</f>
        <v>0.40557466836137468</v>
      </c>
    </row>
    <row r="248" spans="1:15" s="236" customFormat="1" x14ac:dyDescent="0.2">
      <c r="A248" s="237" t="str">
        <f>name!E$5</f>
        <v>Professional occupations</v>
      </c>
      <c r="B248" s="302">
        <v>0.3318087899473785</v>
      </c>
      <c r="C248" s="302">
        <v>7.3815134524292244E-3</v>
      </c>
      <c r="D248" s="302">
        <v>4.1131065287888596E-2</v>
      </c>
      <c r="E248" s="302">
        <f t="shared" ref="E248:E255" si="119">SUM(B248:D248)</f>
        <v>0.38032136868769628</v>
      </c>
      <c r="F248" s="303"/>
      <c r="G248" s="302">
        <v>0.39676445355845791</v>
      </c>
      <c r="H248" s="302">
        <v>2.3596377256854564E-2</v>
      </c>
      <c r="I248" s="302">
        <v>1.8802740362756219E-2</v>
      </c>
      <c r="J248" s="302">
        <f t="shared" ref="J248:J250" si="120">SUM(G248:I248)</f>
        <v>0.43916357117806865</v>
      </c>
      <c r="K248" s="303"/>
      <c r="L248" s="302">
        <v>0.40742099516239089</v>
      </c>
      <c r="M248" s="302">
        <v>2.0301110288436681E-2</v>
      </c>
      <c r="N248" s="302">
        <v>2.1515461467549592E-2</v>
      </c>
      <c r="O248" s="302">
        <f t="shared" ref="O248:O255" si="121">SUM(L248:N248)</f>
        <v>0.44923756691837713</v>
      </c>
    </row>
    <row r="249" spans="1:15" s="236" customFormat="1" x14ac:dyDescent="0.2">
      <c r="A249" s="237" t="str">
        <f>name!E$6</f>
        <v>Associate professional occupations</v>
      </c>
      <c r="B249" s="302">
        <v>0.35665030527403258</v>
      </c>
      <c r="C249" s="302">
        <v>1.2244081247530207E-2</v>
      </c>
      <c r="D249" s="302">
        <v>9.4798858138037453E-3</v>
      </c>
      <c r="E249" s="302">
        <f t="shared" si="119"/>
        <v>0.37837427233536652</v>
      </c>
      <c r="F249" s="303"/>
      <c r="G249" s="302">
        <v>0.3992747195735149</v>
      </c>
      <c r="H249" s="302">
        <v>3.0630440834277881E-2</v>
      </c>
      <c r="I249" s="302">
        <v>6.1869290243608734E-3</v>
      </c>
      <c r="J249" s="302">
        <f t="shared" si="120"/>
        <v>0.43609208943215366</v>
      </c>
      <c r="K249" s="303"/>
      <c r="L249" s="302">
        <v>0.32787212836227858</v>
      </c>
      <c r="M249" s="302">
        <v>2.2690850403153089E-2</v>
      </c>
      <c r="N249" s="302">
        <v>7.3575160551536609E-3</v>
      </c>
      <c r="O249" s="302">
        <f t="shared" si="121"/>
        <v>0.35792049482058536</v>
      </c>
    </row>
    <row r="250" spans="1:15" s="236" customFormat="1" x14ac:dyDescent="0.2">
      <c r="A250" s="237" t="str">
        <f>name!E$7</f>
        <v>Administrative and secretarial occupations</v>
      </c>
      <c r="B250" s="302">
        <v>0.3389563084503146</v>
      </c>
      <c r="C250" s="302">
        <v>3.0997617115224203E-2</v>
      </c>
      <c r="D250" s="302">
        <v>1.862762101997036E-3</v>
      </c>
      <c r="E250" s="302">
        <f t="shared" si="119"/>
        <v>0.37181668766753584</v>
      </c>
      <c r="F250" s="303"/>
      <c r="G250" s="302">
        <v>0.37238181318846619</v>
      </c>
      <c r="H250" s="302">
        <v>6.4001950991053283E-2</v>
      </c>
      <c r="I250" s="302">
        <v>9.8099361205795889E-4</v>
      </c>
      <c r="J250" s="302">
        <f t="shared" si="120"/>
        <v>0.43736475779157741</v>
      </c>
      <c r="K250" s="303"/>
      <c r="L250" s="302">
        <v>0.35191476132187888</v>
      </c>
      <c r="M250" s="302">
        <v>3.631204269124165E-2</v>
      </c>
      <c r="N250" s="302">
        <v>9.9282650995346643E-4</v>
      </c>
      <c r="O250" s="302">
        <f t="shared" si="121"/>
        <v>0.38921963052307401</v>
      </c>
    </row>
    <row r="251" spans="1:15" s="236" customFormat="1" x14ac:dyDescent="0.2">
      <c r="A251" s="237" t="str">
        <f>name!E$8</f>
        <v>Skilled trades occupations</v>
      </c>
      <c r="B251" s="302">
        <v>1.417417497839405</v>
      </c>
      <c r="C251" s="302">
        <v>2.0443148361311531E-2</v>
      </c>
      <c r="D251" s="302">
        <v>1.8660813429657541E-2</v>
      </c>
      <c r="E251" s="302">
        <f t="shared" si="119"/>
        <v>1.4565214596303739</v>
      </c>
      <c r="F251" s="303"/>
      <c r="G251" s="302">
        <v>1.1817294664808908</v>
      </c>
      <c r="H251" s="302">
        <v>4.4268550706563874E-2</v>
      </c>
      <c r="I251" s="302">
        <v>6.349692019192458E-3</v>
      </c>
      <c r="J251" s="302">
        <f>SUM(G251:I251)</f>
        <v>1.2323477092066473</v>
      </c>
      <c r="K251" s="303"/>
      <c r="L251" s="302">
        <v>0.8510674487385097</v>
      </c>
      <c r="M251" s="302">
        <v>4.5762624734145524E-2</v>
      </c>
      <c r="N251" s="302">
        <v>4.9357082023028321E-3</v>
      </c>
      <c r="O251" s="302">
        <f t="shared" si="121"/>
        <v>0.90176578167495802</v>
      </c>
    </row>
    <row r="252" spans="1:15" s="236" customFormat="1" x14ac:dyDescent="0.2">
      <c r="A252" s="237" t="str">
        <f>name!E$9</f>
        <v>Caring, leisure and other service occupations</v>
      </c>
      <c r="B252" s="302">
        <v>3.8365879575918763E-2</v>
      </c>
      <c r="C252" s="302">
        <v>1.8256819175255848E-3</v>
      </c>
      <c r="D252" s="302">
        <v>1.1177853719689774E-3</v>
      </c>
      <c r="E252" s="302">
        <f t="shared" si="119"/>
        <v>4.1309346865413328E-2</v>
      </c>
      <c r="F252" s="303"/>
      <c r="G252" s="302">
        <v>3.8483755479137252E-2</v>
      </c>
      <c r="H252" s="302">
        <v>4.2258655095479157E-3</v>
      </c>
      <c r="I252" s="302">
        <v>9.3594232978452417E-4</v>
      </c>
      <c r="J252" s="302">
        <f t="shared" ref="J252:J255" si="122">SUM(G252:I252)</f>
        <v>4.3645563318469686E-2</v>
      </c>
      <c r="K252" s="303"/>
      <c r="L252" s="302">
        <v>3.5019783740693387E-2</v>
      </c>
      <c r="M252" s="302">
        <v>3.051902178887973E-3</v>
      </c>
      <c r="N252" s="302">
        <v>8.8051780243525533E-4</v>
      </c>
      <c r="O252" s="302">
        <f t="shared" si="121"/>
        <v>3.8952203722016618E-2</v>
      </c>
    </row>
    <row r="253" spans="1:15" s="236" customFormat="1" x14ac:dyDescent="0.2">
      <c r="A253" s="237" t="str">
        <f>name!E$10</f>
        <v>Sales and customer service occupations</v>
      </c>
      <c r="B253" s="302">
        <v>6.8459016812338735E-2</v>
      </c>
      <c r="C253" s="302">
        <v>7.9942252966397846E-3</v>
      </c>
      <c r="D253" s="302">
        <v>1.7543823872387804E-3</v>
      </c>
      <c r="E253" s="302">
        <f t="shared" si="119"/>
        <v>7.8207624496217307E-2</v>
      </c>
      <c r="F253" s="303"/>
      <c r="G253" s="302">
        <v>6.6236233550703044E-2</v>
      </c>
      <c r="H253" s="302">
        <v>1.7377145988129294E-2</v>
      </c>
      <c r="I253" s="302">
        <v>6.8979026798868172E-4</v>
      </c>
      <c r="J253" s="302">
        <f t="shared" si="122"/>
        <v>8.4303169806821024E-2</v>
      </c>
      <c r="K253" s="303"/>
      <c r="L253" s="302">
        <v>7.4704211324112618E-2</v>
      </c>
      <c r="M253" s="302">
        <v>1.5780352718280804E-2</v>
      </c>
      <c r="N253" s="302">
        <v>6.2695786484093068E-4</v>
      </c>
      <c r="O253" s="302">
        <f t="shared" si="121"/>
        <v>9.1111521907234358E-2</v>
      </c>
    </row>
    <row r="254" spans="1:15" s="236" customFormat="1" x14ac:dyDescent="0.2">
      <c r="A254" s="237" t="str">
        <f>name!E$11</f>
        <v>Process, plant and machine operatives</v>
      </c>
      <c r="B254" s="302">
        <v>1.0236429581516049</v>
      </c>
      <c r="C254" s="302">
        <v>2.4747614176791041E-2</v>
      </c>
      <c r="D254" s="302">
        <v>1.0684495807735995E-2</v>
      </c>
      <c r="E254" s="302">
        <f t="shared" si="119"/>
        <v>1.0590750681361318</v>
      </c>
      <c r="F254" s="303"/>
      <c r="G254" s="302">
        <v>0.7954001730620589</v>
      </c>
      <c r="H254" s="302">
        <v>4.7165162527532618E-2</v>
      </c>
      <c r="I254" s="302">
        <v>5.1672831342269021E-3</v>
      </c>
      <c r="J254" s="302">
        <f t="shared" si="122"/>
        <v>0.84773261872381844</v>
      </c>
      <c r="K254" s="303"/>
      <c r="L254" s="302">
        <v>0.77465562834798352</v>
      </c>
      <c r="M254" s="302">
        <v>5.8575358368548297E-2</v>
      </c>
      <c r="N254" s="302">
        <v>4.5415240853329715E-3</v>
      </c>
      <c r="O254" s="302">
        <f t="shared" si="121"/>
        <v>0.83777251080186477</v>
      </c>
    </row>
    <row r="255" spans="1:15" s="236" customFormat="1" x14ac:dyDescent="0.2">
      <c r="A255" s="237" t="str">
        <f>name!E$12</f>
        <v>Elementary occupations</v>
      </c>
      <c r="B255" s="302">
        <v>0.28860944571572544</v>
      </c>
      <c r="C255" s="302">
        <v>1.4009119220168353E-2</v>
      </c>
      <c r="D255" s="302">
        <v>7.3292254341485955E-3</v>
      </c>
      <c r="E255" s="302">
        <f t="shared" si="119"/>
        <v>0.30994779037004239</v>
      </c>
      <c r="F255" s="303"/>
      <c r="G255" s="302">
        <v>0.22546801972538191</v>
      </c>
      <c r="H255" s="302">
        <v>2.6029159207382885E-2</v>
      </c>
      <c r="I255" s="302">
        <v>2.7863778367341087E-3</v>
      </c>
      <c r="J255" s="302">
        <f t="shared" si="122"/>
        <v>0.25428355676949893</v>
      </c>
      <c r="K255" s="303"/>
      <c r="L255" s="302">
        <v>0.14560344365847572</v>
      </c>
      <c r="M255" s="302">
        <v>1.4011179790654702E-2</v>
      </c>
      <c r="N255" s="302">
        <v>2.8309978507966818E-3</v>
      </c>
      <c r="O255" s="302">
        <f t="shared" si="121"/>
        <v>0.1624456212999271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32</v>
      </c>
      <c r="B257" s="311">
        <f>SUM(B247:B255)</f>
        <v>4.2279999999536546</v>
      </c>
      <c r="C257" s="311">
        <f t="shared" ref="C257:E257" si="123">SUM(C247:C255)</f>
        <v>0.13000000000197004</v>
      </c>
      <c r="D257" s="311">
        <f t="shared" si="123"/>
        <v>0.11200000000137604</v>
      </c>
      <c r="E257" s="311">
        <f t="shared" si="123"/>
        <v>4.4699999999570004</v>
      </c>
      <c r="F257" s="311"/>
      <c r="G257" s="311">
        <f t="shared" ref="G257:J257" si="124">SUM(G247:G255)</f>
        <v>3.8800000000096042</v>
      </c>
      <c r="H257" s="311">
        <f t="shared" si="124"/>
        <v>0.29600000000267879</v>
      </c>
      <c r="I257" s="311">
        <f t="shared" si="124"/>
        <v>5.3000000000067229E-2</v>
      </c>
      <c r="J257" s="311">
        <f t="shared" si="124"/>
        <v>4.2290000000123493</v>
      </c>
      <c r="K257" s="311"/>
      <c r="L257" s="311">
        <f t="shared" ref="L257:O257" si="125">SUM(L247:L255)</f>
        <v>3.3240000000298595</v>
      </c>
      <c r="M257" s="311">
        <f t="shared" si="125"/>
        <v>0.25299999999856482</v>
      </c>
      <c r="N257" s="311">
        <f t="shared" si="125"/>
        <v>5.7000000000987663E-2</v>
      </c>
      <c r="O257" s="311">
        <f t="shared" si="125"/>
        <v>3.6340000000294124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35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name!A18</f>
        <v>Metal products</v>
      </c>
      <c r="B261" s="374">
        <f>$B$6</f>
        <v>2015</v>
      </c>
      <c r="C261" s="374"/>
      <c r="D261" s="374"/>
      <c r="E261" s="374"/>
      <c r="F261" s="263"/>
      <c r="G261" s="374">
        <f>$G$6</f>
        <v>2020</v>
      </c>
      <c r="H261" s="374"/>
      <c r="I261" s="374"/>
      <c r="J261" s="374"/>
      <c r="K261" s="263"/>
      <c r="L261" s="374">
        <f>$L$6</f>
        <v>2035</v>
      </c>
      <c r="M261" s="374"/>
      <c r="N261" s="374"/>
      <c r="O261" s="374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2.7584511381908436</v>
      </c>
      <c r="C264" s="302">
        <v>0.21556933720556368</v>
      </c>
      <c r="D264" s="302">
        <v>0.1900507181334482</v>
      </c>
      <c r="E264" s="302">
        <f>SUM(B264:D264)</f>
        <v>3.1640711935298556</v>
      </c>
      <c r="F264" s="303"/>
      <c r="G264" s="302">
        <v>2.8411573430730912</v>
      </c>
      <c r="H264" s="302">
        <v>0.30690727789238015</v>
      </c>
      <c r="I264" s="302">
        <v>0.26298530769261858</v>
      </c>
      <c r="J264" s="302">
        <f>SUM(G264:I264)</f>
        <v>3.4110499286580898</v>
      </c>
      <c r="K264" s="303"/>
      <c r="L264" s="302">
        <v>2.5552404709239096</v>
      </c>
      <c r="M264" s="302">
        <v>0.29859501806638766</v>
      </c>
      <c r="N264" s="302">
        <v>0.2144632612161288</v>
      </c>
      <c r="O264" s="302">
        <f>SUM(L264:N264)</f>
        <v>3.0682987502064263</v>
      </c>
    </row>
    <row r="265" spans="1:15" s="236" customFormat="1" x14ac:dyDescent="0.2">
      <c r="A265" s="237" t="str">
        <f>name!E$5</f>
        <v>Professional occupations</v>
      </c>
      <c r="B265" s="302">
        <v>3.4858245750778298</v>
      </c>
      <c r="C265" s="302">
        <v>0.16348099673862146</v>
      </c>
      <c r="D265" s="302">
        <v>0.11218489079685391</v>
      </c>
      <c r="E265" s="302">
        <f t="shared" ref="E265:E272" si="126">SUM(B265:D265)</f>
        <v>3.7614904626133052</v>
      </c>
      <c r="F265" s="303"/>
      <c r="G265" s="302">
        <v>3.999225700793994</v>
      </c>
      <c r="H265" s="302">
        <v>0.26220542677201958</v>
      </c>
      <c r="I265" s="302">
        <v>0.1313705731532136</v>
      </c>
      <c r="J265" s="302">
        <f t="shared" ref="J265:J267" si="127">SUM(G265:I265)</f>
        <v>4.392801700719227</v>
      </c>
      <c r="K265" s="303"/>
      <c r="L265" s="302">
        <v>4.2000206436638914</v>
      </c>
      <c r="M265" s="302">
        <v>0.23601388345153451</v>
      </c>
      <c r="N265" s="302">
        <v>7.4789414145325236E-2</v>
      </c>
      <c r="O265" s="302">
        <f t="shared" ref="O265:O272" si="128">SUM(L265:N265)</f>
        <v>4.5108239412607514</v>
      </c>
    </row>
    <row r="266" spans="1:15" s="236" customFormat="1" x14ac:dyDescent="0.2">
      <c r="A266" s="237" t="str">
        <f>name!E$6</f>
        <v>Associate professional occupations</v>
      </c>
      <c r="B266" s="302">
        <v>3.1502794560390832</v>
      </c>
      <c r="C266" s="302">
        <v>0.19021857209670923</v>
      </c>
      <c r="D266" s="302">
        <v>4.1062365843989167E-2</v>
      </c>
      <c r="E266" s="302">
        <f t="shared" si="126"/>
        <v>3.3815603939797816</v>
      </c>
      <c r="F266" s="303"/>
      <c r="G266" s="302">
        <v>3.4034137505315094</v>
      </c>
      <c r="H266" s="302">
        <v>0.28295311705313025</v>
      </c>
      <c r="I266" s="302">
        <v>4.5186373770318089E-2</v>
      </c>
      <c r="J266" s="302">
        <f t="shared" si="127"/>
        <v>3.7315532413549577</v>
      </c>
      <c r="K266" s="303"/>
      <c r="L266" s="302">
        <v>2.8131955024119679</v>
      </c>
      <c r="M266" s="302">
        <v>0.17344641446550974</v>
      </c>
      <c r="N266" s="302">
        <v>3.3869212983227627E-2</v>
      </c>
      <c r="O266" s="302">
        <f t="shared" si="128"/>
        <v>3.0205111298607052</v>
      </c>
    </row>
    <row r="267" spans="1:15" s="236" customFormat="1" x14ac:dyDescent="0.2">
      <c r="A267" s="237" t="str">
        <f>name!E$7</f>
        <v>Administrative and secretarial occupations</v>
      </c>
      <c r="B267" s="302">
        <v>1.6236394775246148</v>
      </c>
      <c r="C267" s="302">
        <v>1.0695421132007443</v>
      </c>
      <c r="D267" s="302">
        <v>2.9338105672084554E-2</v>
      </c>
      <c r="E267" s="302">
        <f t="shared" si="126"/>
        <v>2.7225196963974438</v>
      </c>
      <c r="F267" s="303"/>
      <c r="G267" s="302">
        <v>1.4785652395427191</v>
      </c>
      <c r="H267" s="302">
        <v>0.79175237693050304</v>
      </c>
      <c r="I267" s="302">
        <v>3.0041731304503303E-2</v>
      </c>
      <c r="J267" s="302">
        <f t="shared" si="127"/>
        <v>2.3003593477777255</v>
      </c>
      <c r="K267" s="303"/>
      <c r="L267" s="302">
        <v>1.1631200340650665</v>
      </c>
      <c r="M267" s="302">
        <v>0.53172573155615277</v>
      </c>
      <c r="N267" s="302">
        <v>2.0907487609832843E-2</v>
      </c>
      <c r="O267" s="302">
        <f t="shared" si="128"/>
        <v>1.715753253231052</v>
      </c>
    </row>
    <row r="268" spans="1:15" s="236" customFormat="1" x14ac:dyDescent="0.2">
      <c r="A268" s="237" t="str">
        <f>name!E$8</f>
        <v>Skilled trades occupations</v>
      </c>
      <c r="B268" s="302">
        <v>11.300588442630456</v>
      </c>
      <c r="C268" s="302">
        <v>0.627770950977113</v>
      </c>
      <c r="D268" s="302">
        <v>0.35852184843999835</v>
      </c>
      <c r="E268" s="302">
        <f t="shared" si="126"/>
        <v>12.286881242047567</v>
      </c>
      <c r="F268" s="303"/>
      <c r="G268" s="302">
        <v>8.667038883752463</v>
      </c>
      <c r="H268" s="302">
        <v>0.61831795584469329</v>
      </c>
      <c r="I268" s="302">
        <v>0.33658980005432881</v>
      </c>
      <c r="J268" s="302">
        <f>SUM(G268:I268)</f>
        <v>9.621946639651485</v>
      </c>
      <c r="K268" s="303"/>
      <c r="L268" s="302">
        <v>6.4265539790694923</v>
      </c>
      <c r="M268" s="302">
        <v>0.56289041322077205</v>
      </c>
      <c r="N268" s="302">
        <v>0.25310984792314339</v>
      </c>
      <c r="O268" s="302">
        <f t="shared" si="128"/>
        <v>7.2425542402134075</v>
      </c>
    </row>
    <row r="269" spans="1:15" s="236" customFormat="1" x14ac:dyDescent="0.2">
      <c r="A269" s="237" t="str">
        <f>name!E$9</f>
        <v>Caring, leisure and other service occupations</v>
      </c>
      <c r="B269" s="302">
        <v>0.17144736739964284</v>
      </c>
      <c r="C269" s="302">
        <v>2.5073604578096993E-2</v>
      </c>
      <c r="D269" s="302">
        <v>5.0191949660692309E-3</v>
      </c>
      <c r="E269" s="302">
        <f t="shared" si="126"/>
        <v>0.20154016694380905</v>
      </c>
      <c r="F269" s="303"/>
      <c r="G269" s="302">
        <v>0.16547566915971412</v>
      </c>
      <c r="H269" s="302">
        <v>3.0696693629740125E-2</v>
      </c>
      <c r="I269" s="302">
        <v>6.6295137681281332E-3</v>
      </c>
      <c r="J269" s="302">
        <f t="shared" ref="J269:J272" si="129">SUM(G269:I269)</f>
        <v>0.20280187655758236</v>
      </c>
      <c r="K269" s="303"/>
      <c r="L269" s="302">
        <v>0.2108938451798662</v>
      </c>
      <c r="M269" s="302">
        <v>2.2286211363146867E-2</v>
      </c>
      <c r="N269" s="302">
        <v>9.8930850433413577E-3</v>
      </c>
      <c r="O269" s="302">
        <f t="shared" si="128"/>
        <v>0.24307314158635443</v>
      </c>
    </row>
    <row r="270" spans="1:15" s="236" customFormat="1" x14ac:dyDescent="0.2">
      <c r="A270" s="237" t="str">
        <f>name!E$10</f>
        <v>Sales and customer service occupations</v>
      </c>
      <c r="B270" s="302">
        <v>0.39073370618671255</v>
      </c>
      <c r="C270" s="302">
        <v>0.10602499301924849</v>
      </c>
      <c r="D270" s="302">
        <v>1.9647712390401122E-2</v>
      </c>
      <c r="E270" s="302">
        <f t="shared" si="126"/>
        <v>0.51640641159636214</v>
      </c>
      <c r="F270" s="303"/>
      <c r="G270" s="302">
        <v>0.33134848003422251</v>
      </c>
      <c r="H270" s="302">
        <v>9.7270086444372197E-2</v>
      </c>
      <c r="I270" s="302">
        <v>1.8190718052068029E-2</v>
      </c>
      <c r="J270" s="302">
        <f t="shared" si="129"/>
        <v>0.44680928453066271</v>
      </c>
      <c r="K270" s="303"/>
      <c r="L270" s="302">
        <v>0.33334003171152149</v>
      </c>
      <c r="M270" s="302">
        <v>9.517617166201077E-2</v>
      </c>
      <c r="N270" s="302">
        <v>1.379455976841459E-2</v>
      </c>
      <c r="O270" s="302">
        <f t="shared" si="128"/>
        <v>0.44231076314194684</v>
      </c>
    </row>
    <row r="271" spans="1:15" s="236" customFormat="1" x14ac:dyDescent="0.2">
      <c r="A271" s="237" t="str">
        <f>name!E$11</f>
        <v>Process, plant and machine operatives</v>
      </c>
      <c r="B271" s="302">
        <v>4.4150509133126068</v>
      </c>
      <c r="C271" s="302">
        <v>0.4752797186439236</v>
      </c>
      <c r="D271" s="302">
        <v>4.628240526076819E-2</v>
      </c>
      <c r="E271" s="302">
        <f t="shared" si="126"/>
        <v>4.9366130372172981</v>
      </c>
      <c r="F271" s="303"/>
      <c r="G271" s="302">
        <v>3.0932953204573206</v>
      </c>
      <c r="H271" s="302">
        <v>0.45937587387488532</v>
      </c>
      <c r="I271" s="302">
        <v>4.4841497484755487E-2</v>
      </c>
      <c r="J271" s="302">
        <f t="shared" si="129"/>
        <v>3.5975126918169615</v>
      </c>
      <c r="K271" s="303"/>
      <c r="L271" s="302">
        <v>3.0989629777055159</v>
      </c>
      <c r="M271" s="302">
        <v>0.56433461297376564</v>
      </c>
      <c r="N271" s="302">
        <v>4.3057840195651745E-2</v>
      </c>
      <c r="O271" s="302">
        <f t="shared" si="128"/>
        <v>3.7063554308749334</v>
      </c>
    </row>
    <row r="272" spans="1:15" s="236" customFormat="1" x14ac:dyDescent="0.2">
      <c r="A272" s="237" t="str">
        <f>name!E$12</f>
        <v>Elementary occupations</v>
      </c>
      <c r="B272" s="302">
        <v>1.1849849234332648</v>
      </c>
      <c r="C272" s="302">
        <v>0.21903971357795451</v>
      </c>
      <c r="D272" s="302">
        <v>1.5892758489832758E-2</v>
      </c>
      <c r="E272" s="302">
        <f t="shared" si="126"/>
        <v>1.419917395501052</v>
      </c>
      <c r="F272" s="303"/>
      <c r="G272" s="302">
        <v>0.83047961264437986</v>
      </c>
      <c r="H272" s="302">
        <v>0.15752119159422848</v>
      </c>
      <c r="I272" s="302">
        <v>1.3164484716692021E-2</v>
      </c>
      <c r="J272" s="302">
        <f t="shared" si="129"/>
        <v>1.0011652889553004</v>
      </c>
      <c r="K272" s="303"/>
      <c r="L272" s="302">
        <v>0.48167251535766331</v>
      </c>
      <c r="M272" s="302">
        <v>8.5531543231549143E-2</v>
      </c>
      <c r="N272" s="302">
        <v>1.2115291107169716E-2</v>
      </c>
      <c r="O272" s="302">
        <f t="shared" si="128"/>
        <v>0.5793193496963821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32</v>
      </c>
      <c r="B274" s="311">
        <f>SUM(B264:B272)</f>
        <v>28.480999999795056</v>
      </c>
      <c r="C274" s="311">
        <f t="shared" ref="C274:E274" si="130">SUM(C264:C272)</f>
        <v>3.092000000037975</v>
      </c>
      <c r="D274" s="311">
        <f t="shared" si="130"/>
        <v>0.81799999999344541</v>
      </c>
      <c r="E274" s="311">
        <f t="shared" si="130"/>
        <v>32.390999999826469</v>
      </c>
      <c r="F274" s="311"/>
      <c r="G274" s="311">
        <f t="shared" ref="G274:J274" si="131">SUM(G264:G272)</f>
        <v>24.809999999989412</v>
      </c>
      <c r="H274" s="311">
        <f t="shared" si="131"/>
        <v>3.0070000000359527</v>
      </c>
      <c r="I274" s="311">
        <f t="shared" si="131"/>
        <v>0.88899999999662627</v>
      </c>
      <c r="J274" s="311">
        <f t="shared" si="131"/>
        <v>28.706000000021991</v>
      </c>
      <c r="K274" s="311"/>
      <c r="L274" s="311">
        <f t="shared" ref="L274:O274" si="132">SUM(L264:L272)</f>
        <v>21.283000000088897</v>
      </c>
      <c r="M274" s="311">
        <f t="shared" si="132"/>
        <v>2.569999999990829</v>
      </c>
      <c r="N274" s="311">
        <f t="shared" si="132"/>
        <v>0.67599999999223537</v>
      </c>
      <c r="O274" s="311">
        <f t="shared" si="132"/>
        <v>24.52900000007196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35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name!A19</f>
        <v>Computer, etc</v>
      </c>
      <c r="B278" s="374">
        <f>$B$6</f>
        <v>2015</v>
      </c>
      <c r="C278" s="374"/>
      <c r="D278" s="374"/>
      <c r="E278" s="374"/>
      <c r="F278" s="263"/>
      <c r="G278" s="374">
        <f>$G$6</f>
        <v>2020</v>
      </c>
      <c r="H278" s="374"/>
      <c r="I278" s="374"/>
      <c r="J278" s="374"/>
      <c r="K278" s="263"/>
      <c r="L278" s="374">
        <f>$L$6</f>
        <v>2035</v>
      </c>
      <c r="M278" s="374"/>
      <c r="N278" s="374"/>
      <c r="O278" s="374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1.3783281546262955</v>
      </c>
      <c r="C281" s="302">
        <v>0.10138655863876986</v>
      </c>
      <c r="D281" s="302">
        <v>7.3648414997967343E-2</v>
      </c>
      <c r="E281" s="302">
        <f>SUM(B281:D281)</f>
        <v>1.5533631282630327</v>
      </c>
      <c r="F281" s="303"/>
      <c r="G281" s="302">
        <v>0.84825449338784042</v>
      </c>
      <c r="H281" s="302">
        <v>0.10581368347373109</v>
      </c>
      <c r="I281" s="302">
        <v>4.3376348095303316E-2</v>
      </c>
      <c r="J281" s="302">
        <f>SUM(G281:I281)</f>
        <v>0.99744452495687486</v>
      </c>
      <c r="K281" s="303"/>
      <c r="L281" s="302">
        <v>0.5790436013628496</v>
      </c>
      <c r="M281" s="302">
        <v>7.9928366460890909E-2</v>
      </c>
      <c r="N281" s="302">
        <v>3.3303703601691957E-2</v>
      </c>
      <c r="O281" s="302">
        <f>SUM(L281:N281)</f>
        <v>0.69227567142543245</v>
      </c>
    </row>
    <row r="282" spans="1:15" s="236" customFormat="1" x14ac:dyDescent="0.2">
      <c r="A282" s="237" t="str">
        <f>name!E$5</f>
        <v>Professional occupations</v>
      </c>
      <c r="B282" s="302">
        <v>2.9111693702100578</v>
      </c>
      <c r="C282" s="302">
        <v>0.10101686083560608</v>
      </c>
      <c r="D282" s="302">
        <v>5.7895327343372688E-2</v>
      </c>
      <c r="E282" s="302">
        <f t="shared" ref="E282:E289" si="133">SUM(B282:D282)</f>
        <v>3.0700815583890364</v>
      </c>
      <c r="F282" s="303"/>
      <c r="G282" s="302">
        <v>1.9589206033674604</v>
      </c>
      <c r="H282" s="302">
        <v>9.5944327684751099E-2</v>
      </c>
      <c r="I282" s="302">
        <v>2.8893460262976962E-2</v>
      </c>
      <c r="J282" s="302">
        <f t="shared" ref="J282:J284" si="134">SUM(G282:I282)</f>
        <v>2.0837583913151887</v>
      </c>
      <c r="K282" s="303"/>
      <c r="L282" s="302">
        <v>1.447529756227796</v>
      </c>
      <c r="M282" s="302">
        <v>3.8791657537656843E-2</v>
      </c>
      <c r="N282" s="302">
        <v>1.284292464883445E-2</v>
      </c>
      <c r="O282" s="302">
        <f t="shared" ref="O282:O289" si="135">SUM(L282:N282)</f>
        <v>1.4991643384142872</v>
      </c>
    </row>
    <row r="283" spans="1:15" s="236" customFormat="1" x14ac:dyDescent="0.2">
      <c r="A283" s="237" t="str">
        <f>name!E$6</f>
        <v>Associate professional occupations</v>
      </c>
      <c r="B283" s="302">
        <v>1.3623499849585787</v>
      </c>
      <c r="C283" s="302">
        <v>0.10074013270627982</v>
      </c>
      <c r="D283" s="302">
        <v>6.3868517144011358E-2</v>
      </c>
      <c r="E283" s="302">
        <f t="shared" si="133"/>
        <v>1.52695863480887</v>
      </c>
      <c r="F283" s="303"/>
      <c r="G283" s="302">
        <v>0.88062639594170466</v>
      </c>
      <c r="H283" s="302">
        <v>8.9931650801329338E-2</v>
      </c>
      <c r="I283" s="302">
        <v>3.0934172015483461E-2</v>
      </c>
      <c r="J283" s="302">
        <f t="shared" si="134"/>
        <v>1.0014922187585176</v>
      </c>
      <c r="K283" s="303"/>
      <c r="L283" s="302">
        <v>0.51315336961588232</v>
      </c>
      <c r="M283" s="302">
        <v>4.5228669779114085E-2</v>
      </c>
      <c r="N283" s="302">
        <v>1.9037034656196373E-2</v>
      </c>
      <c r="O283" s="302">
        <f t="shared" si="135"/>
        <v>0.57741907405119275</v>
      </c>
    </row>
    <row r="284" spans="1:15" s="236" customFormat="1" x14ac:dyDescent="0.2">
      <c r="A284" s="237" t="str">
        <f>name!E$7</f>
        <v>Administrative and secretarial occupations</v>
      </c>
      <c r="B284" s="302">
        <v>0.59223090569100645</v>
      </c>
      <c r="C284" s="302">
        <v>0.25630631179978047</v>
      </c>
      <c r="D284" s="302">
        <v>1.1281629960894889E-2</v>
      </c>
      <c r="E284" s="302">
        <f t="shared" si="133"/>
        <v>0.8598188474516818</v>
      </c>
      <c r="F284" s="303"/>
      <c r="G284" s="302">
        <v>0.33144843340235142</v>
      </c>
      <c r="H284" s="302">
        <v>0.15246495739785262</v>
      </c>
      <c r="I284" s="302">
        <v>4.7415175030190741E-3</v>
      </c>
      <c r="J284" s="302">
        <f t="shared" si="134"/>
        <v>0.48865490830322311</v>
      </c>
      <c r="K284" s="303"/>
      <c r="L284" s="302">
        <v>0.17690748142276463</v>
      </c>
      <c r="M284" s="302">
        <v>7.094065474503973E-2</v>
      </c>
      <c r="N284" s="302">
        <v>3.9633902846585196E-3</v>
      </c>
      <c r="O284" s="302">
        <f t="shared" si="135"/>
        <v>0.25181152645246291</v>
      </c>
    </row>
    <row r="285" spans="1:15" s="236" customFormat="1" x14ac:dyDescent="0.2">
      <c r="A285" s="237" t="str">
        <f>name!E$8</f>
        <v>Skilled trades occupations</v>
      </c>
      <c r="B285" s="302">
        <v>1.7649214600970846</v>
      </c>
      <c r="C285" s="302">
        <v>0.16035810920903826</v>
      </c>
      <c r="D285" s="302">
        <v>8.5439606653788969E-2</v>
      </c>
      <c r="E285" s="302">
        <f t="shared" si="133"/>
        <v>2.0107191759599119</v>
      </c>
      <c r="F285" s="303"/>
      <c r="G285" s="302">
        <v>0.80668980452248917</v>
      </c>
      <c r="H285" s="302">
        <v>0.11619487002186402</v>
      </c>
      <c r="I285" s="302">
        <v>3.5395167335228551E-2</v>
      </c>
      <c r="J285" s="302">
        <f>SUM(G285:I285)</f>
        <v>0.95827984187958171</v>
      </c>
      <c r="K285" s="303"/>
      <c r="L285" s="302">
        <v>0.48332445555773978</v>
      </c>
      <c r="M285" s="302">
        <v>0.1072781614513704</v>
      </c>
      <c r="N285" s="302">
        <v>2.928285285473169E-2</v>
      </c>
      <c r="O285" s="302">
        <f t="shared" si="135"/>
        <v>0.61988546986384185</v>
      </c>
    </row>
    <row r="286" spans="1:15" s="236" customFormat="1" x14ac:dyDescent="0.2">
      <c r="A286" s="237" t="str">
        <f>name!E$9</f>
        <v>Caring, leisure and other service occupations</v>
      </c>
      <c r="B286" s="302">
        <v>5.0790391898482848E-2</v>
      </c>
      <c r="C286" s="302">
        <v>1.4494785993660017E-2</v>
      </c>
      <c r="D286" s="302">
        <v>1.6699776690836737E-3</v>
      </c>
      <c r="E286" s="302">
        <f t="shared" si="133"/>
        <v>6.695515556122654E-2</v>
      </c>
      <c r="F286" s="303"/>
      <c r="G286" s="302">
        <v>2.7176012427714124E-2</v>
      </c>
      <c r="H286" s="302">
        <v>8.8359577368973576E-3</v>
      </c>
      <c r="I286" s="302">
        <v>8.9105202628188241E-4</v>
      </c>
      <c r="J286" s="302">
        <f t="shared" ref="J286:J289" si="136">SUM(G286:I286)</f>
        <v>3.6903022190893364E-2</v>
      </c>
      <c r="K286" s="303"/>
      <c r="L286" s="302">
        <v>1.8114091916589057E-2</v>
      </c>
      <c r="M286" s="302">
        <v>4.1386012180220574E-3</v>
      </c>
      <c r="N286" s="302">
        <v>9.3094801453219177E-4</v>
      </c>
      <c r="O286" s="302">
        <f t="shared" si="135"/>
        <v>2.3183641149143307E-2</v>
      </c>
    </row>
    <row r="287" spans="1:15" s="236" customFormat="1" x14ac:dyDescent="0.2">
      <c r="A287" s="237" t="str">
        <f>name!E$10</f>
        <v>Sales and customer service occupations</v>
      </c>
      <c r="B287" s="302">
        <v>0.23185748047974863</v>
      </c>
      <c r="C287" s="302">
        <v>9.5207363215163834E-2</v>
      </c>
      <c r="D287" s="302">
        <v>1.0904737037483502E-2</v>
      </c>
      <c r="E287" s="302">
        <f t="shared" si="133"/>
        <v>0.33796958073239597</v>
      </c>
      <c r="F287" s="303"/>
      <c r="G287" s="302">
        <v>0.12686777369948363</v>
      </c>
      <c r="H287" s="302">
        <v>9.4088899027380449E-2</v>
      </c>
      <c r="I287" s="302">
        <v>4.1343176485674994E-3</v>
      </c>
      <c r="J287" s="302">
        <f t="shared" si="136"/>
        <v>0.22509099037543159</v>
      </c>
      <c r="K287" s="303"/>
      <c r="L287" s="302">
        <v>9.4327339297879606E-2</v>
      </c>
      <c r="M287" s="302">
        <v>0.10722732436920657</v>
      </c>
      <c r="N287" s="302">
        <v>2.7345670293990928E-3</v>
      </c>
      <c r="O287" s="302">
        <f t="shared" si="135"/>
        <v>0.20428923069648527</v>
      </c>
    </row>
    <row r="288" spans="1:15" s="236" customFormat="1" x14ac:dyDescent="0.2">
      <c r="A288" s="237" t="str">
        <f>name!E$11</f>
        <v>Process, plant and machine operatives</v>
      </c>
      <c r="B288" s="302">
        <v>1.2286904029619674</v>
      </c>
      <c r="C288" s="302">
        <v>0.34417365139794753</v>
      </c>
      <c r="D288" s="302">
        <v>2.4852541109684715E-2</v>
      </c>
      <c r="E288" s="302">
        <f t="shared" si="133"/>
        <v>1.5977165954695995</v>
      </c>
      <c r="F288" s="303"/>
      <c r="G288" s="302">
        <v>0.5000139987329153</v>
      </c>
      <c r="H288" s="302">
        <v>0.22587363516288628</v>
      </c>
      <c r="I288" s="302">
        <v>1.3235073938990552E-2</v>
      </c>
      <c r="J288" s="302">
        <f t="shared" si="136"/>
        <v>0.73912270783479217</v>
      </c>
      <c r="K288" s="303"/>
      <c r="L288" s="302">
        <v>0.348659280038224</v>
      </c>
      <c r="M288" s="302">
        <v>0.17386465245781921</v>
      </c>
      <c r="N288" s="302">
        <v>1.2224066298953317E-2</v>
      </c>
      <c r="O288" s="302">
        <f t="shared" si="135"/>
        <v>0.53474799879499657</v>
      </c>
    </row>
    <row r="289" spans="1:15" s="236" customFormat="1" x14ac:dyDescent="0.2">
      <c r="A289" s="237" t="str">
        <f>name!E$12</f>
        <v>Elementary occupations</v>
      </c>
      <c r="B289" s="302">
        <v>0.34666184906697095</v>
      </c>
      <c r="C289" s="302">
        <v>9.231622622463935E-2</v>
      </c>
      <c r="D289" s="302">
        <v>1.6439248086818764E-2</v>
      </c>
      <c r="E289" s="302">
        <f t="shared" si="133"/>
        <v>0.45541732337842911</v>
      </c>
      <c r="F289" s="303"/>
      <c r="G289" s="302">
        <v>0.13900248448849598</v>
      </c>
      <c r="H289" s="302">
        <v>4.5852018701132237E-2</v>
      </c>
      <c r="I289" s="302">
        <v>6.3988911743647313E-3</v>
      </c>
      <c r="J289" s="302">
        <f t="shared" si="136"/>
        <v>0.19125339436399294</v>
      </c>
      <c r="K289" s="303"/>
      <c r="L289" s="302">
        <v>6.7940624565616281E-2</v>
      </c>
      <c r="M289" s="302">
        <v>1.2601911976177171E-2</v>
      </c>
      <c r="N289" s="302">
        <v>4.6805126118334818E-3</v>
      </c>
      <c r="O289" s="302">
        <f t="shared" si="135"/>
        <v>8.522304915362694E-2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32</v>
      </c>
      <c r="B291" s="311">
        <f>SUM(B281:B289)</f>
        <v>9.8669999999901918</v>
      </c>
      <c r="C291" s="311">
        <f t="shared" ref="C291:E291" si="137">SUM(C281:C289)</f>
        <v>1.2660000000208853</v>
      </c>
      <c r="D291" s="311">
        <f t="shared" si="137"/>
        <v>0.34600000000310593</v>
      </c>
      <c r="E291" s="311">
        <f t="shared" si="137"/>
        <v>11.479000000014183</v>
      </c>
      <c r="F291" s="311"/>
      <c r="G291" s="311">
        <f t="shared" ref="G291:J291" si="138">SUM(G281:G289)</f>
        <v>5.6189999999704545</v>
      </c>
      <c r="H291" s="311">
        <f t="shared" si="138"/>
        <v>0.93500000000782446</v>
      </c>
      <c r="I291" s="311">
        <f t="shared" si="138"/>
        <v>0.168000000000216</v>
      </c>
      <c r="J291" s="311">
        <f t="shared" si="138"/>
        <v>6.7219999999784958</v>
      </c>
      <c r="K291" s="311"/>
      <c r="L291" s="311">
        <f t="shared" ref="L291:O291" si="139">SUM(L281:L289)</f>
        <v>3.7290000000053407</v>
      </c>
      <c r="M291" s="311">
        <f t="shared" si="139"/>
        <v>0.639999999995297</v>
      </c>
      <c r="N291" s="311">
        <f t="shared" si="139"/>
        <v>0.11900000000083107</v>
      </c>
      <c r="O291" s="311">
        <f t="shared" si="139"/>
        <v>4.4880000000014695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35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name!A20</f>
        <v>Electrical equipment</v>
      </c>
      <c r="B295" s="374">
        <f>$B$6</f>
        <v>2015</v>
      </c>
      <c r="C295" s="374"/>
      <c r="D295" s="374"/>
      <c r="E295" s="374"/>
      <c r="F295" s="263"/>
      <c r="G295" s="374">
        <f>$G$6</f>
        <v>2020</v>
      </c>
      <c r="H295" s="374"/>
      <c r="I295" s="374"/>
      <c r="J295" s="374"/>
      <c r="K295" s="263"/>
      <c r="L295" s="374">
        <f>$L$6</f>
        <v>2035</v>
      </c>
      <c r="M295" s="374"/>
      <c r="N295" s="374"/>
      <c r="O295" s="374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0.82704768514956883</v>
      </c>
      <c r="C298" s="302">
        <v>6.2154852020697704E-2</v>
      </c>
      <c r="D298" s="302">
        <v>2.8844814444598861E-2</v>
      </c>
      <c r="E298" s="302">
        <f>SUM(B298:D298)</f>
        <v>0.91804735161486539</v>
      </c>
      <c r="F298" s="303"/>
      <c r="G298" s="302">
        <v>0.51162632319771051</v>
      </c>
      <c r="H298" s="302">
        <v>0.11712640855022258</v>
      </c>
      <c r="I298" s="302">
        <v>2.368720424364153E-2</v>
      </c>
      <c r="J298" s="302">
        <f>SUM(G298:I298)</f>
        <v>0.65243993599157468</v>
      </c>
      <c r="K298" s="303"/>
      <c r="L298" s="302">
        <v>0.40421053956339759</v>
      </c>
      <c r="M298" s="302">
        <v>0.12414652229063433</v>
      </c>
      <c r="N298" s="302">
        <v>2.5715767274013378E-2</v>
      </c>
      <c r="O298" s="302">
        <f>SUM(L298:N298)</f>
        <v>0.55407282912804523</v>
      </c>
    </row>
    <row r="299" spans="1:15" s="236" customFormat="1" x14ac:dyDescent="0.2">
      <c r="A299" s="237" t="str">
        <f>name!E$5</f>
        <v>Professional occupations</v>
      </c>
      <c r="B299" s="302">
        <v>1.0187042499094385</v>
      </c>
      <c r="C299" s="302">
        <v>5.9218237924624662E-2</v>
      </c>
      <c r="D299" s="302">
        <v>1.7856738286493964E-2</v>
      </c>
      <c r="E299" s="302">
        <f t="shared" ref="E299:E306" si="140">SUM(B299:D299)</f>
        <v>1.0957792261205572</v>
      </c>
      <c r="F299" s="303"/>
      <c r="G299" s="302">
        <v>0.69699488298537748</v>
      </c>
      <c r="H299" s="302">
        <v>0.11645562753244315</v>
      </c>
      <c r="I299" s="302">
        <v>1.1573237642251847E-2</v>
      </c>
      <c r="J299" s="302">
        <f t="shared" ref="J299:J301" si="141">SUM(G299:I299)</f>
        <v>0.82502374816007251</v>
      </c>
      <c r="K299" s="303"/>
      <c r="L299" s="302">
        <v>0.61507380086023555</v>
      </c>
      <c r="M299" s="302">
        <v>0.12156591590615523</v>
      </c>
      <c r="N299" s="302">
        <v>8.2378088331184589E-3</v>
      </c>
      <c r="O299" s="302">
        <f t="shared" ref="O299:O306" si="142">SUM(L299:N299)</f>
        <v>0.74487752559950915</v>
      </c>
    </row>
    <row r="300" spans="1:15" s="236" customFormat="1" x14ac:dyDescent="0.2">
      <c r="A300" s="237" t="str">
        <f>name!E$6</f>
        <v>Associate professional occupations</v>
      </c>
      <c r="B300" s="302">
        <v>0.74702266258697547</v>
      </c>
      <c r="C300" s="302">
        <v>7.4997918728831117E-2</v>
      </c>
      <c r="D300" s="302">
        <v>1.0942950506466109E-2</v>
      </c>
      <c r="E300" s="302">
        <f t="shared" si="140"/>
        <v>0.83296353182227267</v>
      </c>
      <c r="F300" s="303"/>
      <c r="G300" s="302">
        <v>0.47596801353531371</v>
      </c>
      <c r="H300" s="302">
        <v>0.1098278017671155</v>
      </c>
      <c r="I300" s="302">
        <v>7.7354898919148197E-3</v>
      </c>
      <c r="J300" s="302">
        <f t="shared" si="141"/>
        <v>0.59353130519434405</v>
      </c>
      <c r="K300" s="303"/>
      <c r="L300" s="302">
        <v>0.33700817304059638</v>
      </c>
      <c r="M300" s="302">
        <v>9.2631237014888346E-2</v>
      </c>
      <c r="N300" s="302">
        <v>5.1765401516182807E-3</v>
      </c>
      <c r="O300" s="302">
        <f t="shared" si="142"/>
        <v>0.43481595020710301</v>
      </c>
    </row>
    <row r="301" spans="1:15" s="236" customFormat="1" x14ac:dyDescent="0.2">
      <c r="A301" s="237" t="str">
        <f>name!E$7</f>
        <v>Administrative and secretarial occupations</v>
      </c>
      <c r="B301" s="302">
        <v>0.44484846612197404</v>
      </c>
      <c r="C301" s="302">
        <v>0.24779719615568052</v>
      </c>
      <c r="D301" s="302">
        <v>9.4396866951291878E-3</v>
      </c>
      <c r="E301" s="302">
        <f t="shared" si="140"/>
        <v>0.70208534897278374</v>
      </c>
      <c r="F301" s="303"/>
      <c r="G301" s="302">
        <v>0.24043243392174185</v>
      </c>
      <c r="H301" s="302">
        <v>0.22355510004950224</v>
      </c>
      <c r="I301" s="302">
        <v>9.438370373611794E-3</v>
      </c>
      <c r="J301" s="302">
        <f t="shared" si="141"/>
        <v>0.47342590434485587</v>
      </c>
      <c r="K301" s="303"/>
      <c r="L301" s="302">
        <v>0.16912587933806211</v>
      </c>
      <c r="M301" s="302">
        <v>0.15572718289365534</v>
      </c>
      <c r="N301" s="302">
        <v>7.6862719671790501E-3</v>
      </c>
      <c r="O301" s="302">
        <f t="shared" si="142"/>
        <v>0.33253933419889647</v>
      </c>
    </row>
    <row r="302" spans="1:15" s="236" customFormat="1" x14ac:dyDescent="0.2">
      <c r="A302" s="237" t="str">
        <f>name!E$8</f>
        <v>Skilled trades occupations</v>
      </c>
      <c r="B302" s="302">
        <v>1.3649454507052536</v>
      </c>
      <c r="C302" s="302">
        <v>9.7927436981133889E-2</v>
      </c>
      <c r="D302" s="302">
        <v>4.7374768495497196E-2</v>
      </c>
      <c r="E302" s="302">
        <f t="shared" si="140"/>
        <v>1.5102476561818847</v>
      </c>
      <c r="F302" s="303"/>
      <c r="G302" s="302">
        <v>0.60499665889357623</v>
      </c>
      <c r="H302" s="302">
        <v>0.13059186083429558</v>
      </c>
      <c r="I302" s="302">
        <v>1.8473321141973826E-2</v>
      </c>
      <c r="J302" s="302">
        <f>SUM(G302:I302)</f>
        <v>0.75406184086984562</v>
      </c>
      <c r="K302" s="303"/>
      <c r="L302" s="302">
        <v>0.38853490221540993</v>
      </c>
      <c r="M302" s="302">
        <v>0.12715978764979324</v>
      </c>
      <c r="N302" s="302">
        <v>2.5524407236371515E-2</v>
      </c>
      <c r="O302" s="302">
        <f t="shared" si="142"/>
        <v>0.54121909710157468</v>
      </c>
    </row>
    <row r="303" spans="1:15" s="236" customFormat="1" x14ac:dyDescent="0.2">
      <c r="A303" s="237" t="str">
        <f>name!E$9</f>
        <v>Caring, leisure and other service occupations</v>
      </c>
      <c r="B303" s="302">
        <v>5.3892914961370393E-2</v>
      </c>
      <c r="C303" s="302">
        <v>1.6806288609020305E-2</v>
      </c>
      <c r="D303" s="302">
        <v>2.2688305478546695E-3</v>
      </c>
      <c r="E303" s="302">
        <f t="shared" si="140"/>
        <v>7.2968034118245359E-2</v>
      </c>
      <c r="F303" s="303"/>
      <c r="G303" s="302">
        <v>2.7709594526301215E-2</v>
      </c>
      <c r="H303" s="302">
        <v>1.5916196122594518E-2</v>
      </c>
      <c r="I303" s="302">
        <v>3.0778599574281286E-3</v>
      </c>
      <c r="J303" s="302">
        <f t="shared" ref="J303:J306" si="143">SUM(G303:I303)</f>
        <v>4.6703650606323865E-2</v>
      </c>
      <c r="K303" s="303"/>
      <c r="L303" s="302">
        <v>2.3336352721631867E-2</v>
      </c>
      <c r="M303" s="302">
        <v>1.0775319724096715E-2</v>
      </c>
      <c r="N303" s="302">
        <v>4.9568354581383256E-3</v>
      </c>
      <c r="O303" s="302">
        <f t="shared" si="142"/>
        <v>3.9068507903866907E-2</v>
      </c>
    </row>
    <row r="304" spans="1:15" s="236" customFormat="1" x14ac:dyDescent="0.2">
      <c r="A304" s="237" t="str">
        <f>name!E$10</f>
        <v>Sales and customer service occupations</v>
      </c>
      <c r="B304" s="302">
        <v>0.17108072801794511</v>
      </c>
      <c r="C304" s="302">
        <v>5.7559892963378045E-2</v>
      </c>
      <c r="D304" s="302">
        <v>4.110265965789112E-3</v>
      </c>
      <c r="E304" s="302">
        <f t="shared" si="140"/>
        <v>0.23275088694711227</v>
      </c>
      <c r="F304" s="303"/>
      <c r="G304" s="302">
        <v>9.0864071278142597E-2</v>
      </c>
      <c r="H304" s="302">
        <v>8.4605905076153912E-2</v>
      </c>
      <c r="I304" s="302">
        <v>2.9827753889889465E-3</v>
      </c>
      <c r="J304" s="302">
        <f t="shared" si="143"/>
        <v>0.17845275174328545</v>
      </c>
      <c r="K304" s="303"/>
      <c r="L304" s="302">
        <v>7.769597922489288E-2</v>
      </c>
      <c r="M304" s="302">
        <v>9.2710870400987841E-2</v>
      </c>
      <c r="N304" s="302">
        <v>3.975465893183947E-3</v>
      </c>
      <c r="O304" s="302">
        <f t="shared" si="142"/>
        <v>0.17438231551906466</v>
      </c>
    </row>
    <row r="305" spans="1:15" s="236" customFormat="1" x14ac:dyDescent="0.2">
      <c r="A305" s="237" t="str">
        <f>name!E$11</f>
        <v>Process, plant and machine operatives</v>
      </c>
      <c r="B305" s="302">
        <v>1.1166101260236572</v>
      </c>
      <c r="C305" s="302">
        <v>0.1084751678169381</v>
      </c>
      <c r="D305" s="302">
        <v>9.9281601677464835E-3</v>
      </c>
      <c r="E305" s="302">
        <f t="shared" si="140"/>
        <v>1.2350134540083417</v>
      </c>
      <c r="F305" s="303"/>
      <c r="G305" s="302">
        <v>0.45262938956939619</v>
      </c>
      <c r="H305" s="302">
        <v>0.1346413474672325</v>
      </c>
      <c r="I305" s="302">
        <v>7.1228120046736591E-3</v>
      </c>
      <c r="J305" s="302">
        <f t="shared" si="143"/>
        <v>0.59439354904130237</v>
      </c>
      <c r="K305" s="303"/>
      <c r="L305" s="302">
        <v>0.40431062504181114</v>
      </c>
      <c r="M305" s="302">
        <v>0.15730756499008722</v>
      </c>
      <c r="N305" s="302">
        <v>6.3415688091153603E-3</v>
      </c>
      <c r="O305" s="302">
        <f t="shared" si="142"/>
        <v>0.5679597588410138</v>
      </c>
    </row>
    <row r="306" spans="1:15" s="236" customFormat="1" x14ac:dyDescent="0.2">
      <c r="A306" s="237" t="str">
        <f>name!E$12</f>
        <v>Elementary occupations</v>
      </c>
      <c r="B306" s="302">
        <v>0.34584771649650681</v>
      </c>
      <c r="C306" s="302">
        <v>4.9063008809836176E-2</v>
      </c>
      <c r="D306" s="302">
        <v>5.2337848901407701E-3</v>
      </c>
      <c r="E306" s="302">
        <f t="shared" si="140"/>
        <v>0.40014451019648373</v>
      </c>
      <c r="F306" s="303"/>
      <c r="G306" s="302">
        <v>0.14177863208350278</v>
      </c>
      <c r="H306" s="302">
        <v>5.5279752607790146E-2</v>
      </c>
      <c r="I306" s="302">
        <v>2.9089293547975162E-3</v>
      </c>
      <c r="J306" s="302">
        <f t="shared" si="143"/>
        <v>0.19996731404609044</v>
      </c>
      <c r="K306" s="303"/>
      <c r="L306" s="302">
        <v>7.9703748001864597E-2</v>
      </c>
      <c r="M306" s="302">
        <v>3.1975599123997521E-2</v>
      </c>
      <c r="N306" s="302">
        <v>4.3853343765981731E-3</v>
      </c>
      <c r="O306" s="302">
        <f t="shared" si="142"/>
        <v>0.11606468150246028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32</v>
      </c>
      <c r="B308" s="311">
        <f>SUM(B298:B306)</f>
        <v>6.0899999999726901</v>
      </c>
      <c r="C308" s="311">
        <f t="shared" ref="C308:E308" si="144">SUM(C298:C306)</f>
        <v>0.77400000001014058</v>
      </c>
      <c r="D308" s="311">
        <f t="shared" si="144"/>
        <v>0.13599999999971635</v>
      </c>
      <c r="E308" s="311">
        <f t="shared" si="144"/>
        <v>6.9999999999825464</v>
      </c>
      <c r="F308" s="311"/>
      <c r="G308" s="311">
        <f t="shared" ref="G308:J308" si="145">SUM(G298:G306)</f>
        <v>3.242999999991063</v>
      </c>
      <c r="H308" s="311">
        <f t="shared" si="145"/>
        <v>0.98800000000735033</v>
      </c>
      <c r="I308" s="311">
        <f t="shared" si="145"/>
        <v>8.6999999999282054E-2</v>
      </c>
      <c r="J308" s="311">
        <f t="shared" si="145"/>
        <v>4.3179999999976948</v>
      </c>
      <c r="K308" s="311"/>
      <c r="L308" s="311">
        <f t="shared" ref="L308:O308" si="146">SUM(L298:L306)</f>
        <v>2.4990000000079022</v>
      </c>
      <c r="M308" s="311">
        <f t="shared" si="146"/>
        <v>0.91399999999429571</v>
      </c>
      <c r="N308" s="311">
        <f t="shared" si="146"/>
        <v>9.1999999999336488E-2</v>
      </c>
      <c r="O308" s="311">
        <f t="shared" si="146"/>
        <v>3.5050000000015342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35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name!A21</f>
        <v>Machinery n.e.c.</v>
      </c>
      <c r="B312" s="374">
        <f>$B$6</f>
        <v>2015</v>
      </c>
      <c r="C312" s="374"/>
      <c r="D312" s="374"/>
      <c r="E312" s="374"/>
      <c r="F312" s="263"/>
      <c r="G312" s="374">
        <f>$G$6</f>
        <v>2020</v>
      </c>
      <c r="H312" s="374"/>
      <c r="I312" s="374"/>
      <c r="J312" s="374"/>
      <c r="K312" s="263"/>
      <c r="L312" s="374">
        <f>$L$6</f>
        <v>2035</v>
      </c>
      <c r="M312" s="374"/>
      <c r="N312" s="374"/>
      <c r="O312" s="374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2.1705387739886484</v>
      </c>
      <c r="C315" s="302">
        <v>8.8143535198875189E-2</v>
      </c>
      <c r="D315" s="302">
        <v>0.16109354556691075</v>
      </c>
      <c r="E315" s="302">
        <f>SUM(B315:D315)</f>
        <v>2.4197758547544344</v>
      </c>
      <c r="F315" s="303"/>
      <c r="G315" s="302">
        <v>2.3029218989542342</v>
      </c>
      <c r="H315" s="302">
        <v>0.16637944128675416</v>
      </c>
      <c r="I315" s="302">
        <v>0.17775698000985504</v>
      </c>
      <c r="J315" s="302">
        <f>SUM(G315:I315)</f>
        <v>2.6470583202508435</v>
      </c>
      <c r="K315" s="303"/>
      <c r="L315" s="302">
        <v>2.0845310925837346</v>
      </c>
      <c r="M315" s="302">
        <v>0.17789293479312973</v>
      </c>
      <c r="N315" s="302">
        <v>0.17293614213715081</v>
      </c>
      <c r="O315" s="302">
        <f>SUM(L315:N315)</f>
        <v>2.4353601695140155</v>
      </c>
    </row>
    <row r="316" spans="1:15" s="236" customFormat="1" x14ac:dyDescent="0.2">
      <c r="A316" s="237" t="str">
        <f>name!E$5</f>
        <v>Professional occupations</v>
      </c>
      <c r="B316" s="302">
        <v>3.0872546826183904</v>
      </c>
      <c r="C316" s="302">
        <v>5.9925973843463126E-2</v>
      </c>
      <c r="D316" s="302">
        <v>0.10149000928348645</v>
      </c>
      <c r="E316" s="302">
        <f t="shared" ref="E316:E323" si="147">SUM(B316:D316)</f>
        <v>3.2486706657453399</v>
      </c>
      <c r="F316" s="303"/>
      <c r="G316" s="302">
        <v>3.6243455820546977</v>
      </c>
      <c r="H316" s="302">
        <v>0.12445521119706018</v>
      </c>
      <c r="I316" s="302">
        <v>0.10453842231734084</v>
      </c>
      <c r="J316" s="302">
        <f t="shared" ref="J316:J318" si="148">SUM(G316:I316)</f>
        <v>3.8533392155690986</v>
      </c>
      <c r="K316" s="303"/>
      <c r="L316" s="302">
        <v>3.699492001912454</v>
      </c>
      <c r="M316" s="302">
        <v>0.12979159232117746</v>
      </c>
      <c r="N316" s="302">
        <v>6.3408860697072883E-2</v>
      </c>
      <c r="O316" s="302">
        <f t="shared" ref="O316:O323" si="149">SUM(L316:N316)</f>
        <v>3.8926924549307045</v>
      </c>
    </row>
    <row r="317" spans="1:15" s="236" customFormat="1" x14ac:dyDescent="0.2">
      <c r="A317" s="237" t="str">
        <f>name!E$6</f>
        <v>Associate professional occupations</v>
      </c>
      <c r="B317" s="302">
        <v>1.9108846311876004</v>
      </c>
      <c r="C317" s="302">
        <v>5.7301324052312093E-2</v>
      </c>
      <c r="D317" s="302">
        <v>4.3954757989366766E-2</v>
      </c>
      <c r="E317" s="302">
        <f t="shared" si="147"/>
        <v>2.0121407132292792</v>
      </c>
      <c r="F317" s="303"/>
      <c r="G317" s="302">
        <v>2.1232082780253494</v>
      </c>
      <c r="H317" s="302">
        <v>8.8170410581484865E-2</v>
      </c>
      <c r="I317" s="302">
        <v>3.9784869705642295E-2</v>
      </c>
      <c r="J317" s="302">
        <f t="shared" si="148"/>
        <v>2.2511635583124763</v>
      </c>
      <c r="K317" s="303"/>
      <c r="L317" s="302">
        <v>1.6868514111946307</v>
      </c>
      <c r="M317" s="302">
        <v>7.6166801494928341E-2</v>
      </c>
      <c r="N317" s="302">
        <v>3.1392475336340368E-2</v>
      </c>
      <c r="O317" s="302">
        <f t="shared" si="149"/>
        <v>1.7944106880258994</v>
      </c>
    </row>
    <row r="318" spans="1:15" s="236" customFormat="1" x14ac:dyDescent="0.2">
      <c r="A318" s="237" t="str">
        <f>name!E$7</f>
        <v>Administrative and secretarial occupations</v>
      </c>
      <c r="B318" s="302">
        <v>1.2254817752833564</v>
      </c>
      <c r="C318" s="302">
        <v>0.29307682916728728</v>
      </c>
      <c r="D318" s="302">
        <v>4.4414692854078092E-2</v>
      </c>
      <c r="E318" s="302">
        <f t="shared" si="147"/>
        <v>1.5629732973047219</v>
      </c>
      <c r="F318" s="303"/>
      <c r="G318" s="302">
        <v>1.2202245865654513</v>
      </c>
      <c r="H318" s="302">
        <v>0.33625544621186032</v>
      </c>
      <c r="I318" s="302">
        <v>3.0126403264077069E-2</v>
      </c>
      <c r="J318" s="302">
        <f t="shared" si="148"/>
        <v>1.5866064360413887</v>
      </c>
      <c r="K318" s="303"/>
      <c r="L318" s="302">
        <v>0.95468494157622108</v>
      </c>
      <c r="M318" s="302">
        <v>0.2351427509414849</v>
      </c>
      <c r="N318" s="302">
        <v>2.5425881216001932E-2</v>
      </c>
      <c r="O318" s="302">
        <f t="shared" si="149"/>
        <v>1.215253573733708</v>
      </c>
    </row>
    <row r="319" spans="1:15" s="236" customFormat="1" x14ac:dyDescent="0.2">
      <c r="A319" s="237" t="str">
        <f>name!E$8</f>
        <v>Skilled trades occupations</v>
      </c>
      <c r="B319" s="302">
        <v>4.6669100694193766</v>
      </c>
      <c r="C319" s="302">
        <v>8.4000254614630968E-2</v>
      </c>
      <c r="D319" s="302">
        <v>0.299726680349018</v>
      </c>
      <c r="E319" s="302">
        <f t="shared" si="147"/>
        <v>5.0506370043830255</v>
      </c>
      <c r="F319" s="303"/>
      <c r="G319" s="302">
        <v>3.5332666324188904</v>
      </c>
      <c r="H319" s="302">
        <v>8.801859674918526E-2</v>
      </c>
      <c r="I319" s="302">
        <v>0.2437688373346443</v>
      </c>
      <c r="J319" s="302">
        <f>SUM(G319:I319)</f>
        <v>3.86505406650272</v>
      </c>
      <c r="K319" s="303"/>
      <c r="L319" s="302">
        <v>2.6071391396368946</v>
      </c>
      <c r="M319" s="302">
        <v>8.6776704736131388E-2</v>
      </c>
      <c r="N319" s="302">
        <v>0.23933611277565256</v>
      </c>
      <c r="O319" s="302">
        <f t="shared" si="149"/>
        <v>2.9332519571486784</v>
      </c>
    </row>
    <row r="320" spans="1:15" s="236" customFormat="1" x14ac:dyDescent="0.2">
      <c r="A320" s="237" t="str">
        <f>name!E$9</f>
        <v>Caring, leisure and other service occupations</v>
      </c>
      <c r="B320" s="302">
        <v>9.410881872711481E-2</v>
      </c>
      <c r="C320" s="302">
        <v>1.8483567797364677E-2</v>
      </c>
      <c r="D320" s="302">
        <v>1.0091193029979743E-2</v>
      </c>
      <c r="E320" s="302">
        <f t="shared" si="147"/>
        <v>0.12268357955445923</v>
      </c>
      <c r="F320" s="303"/>
      <c r="G320" s="302">
        <v>8.2425908854282748E-2</v>
      </c>
      <c r="H320" s="302">
        <v>1.934451682543499E-2</v>
      </c>
      <c r="I320" s="302">
        <v>8.8100386406911885E-3</v>
      </c>
      <c r="J320" s="302">
        <f t="shared" ref="J320:J323" si="150">SUM(G320:I320)</f>
        <v>0.11058046432040892</v>
      </c>
      <c r="K320" s="303"/>
      <c r="L320" s="302">
        <v>6.1655929984794147E-2</v>
      </c>
      <c r="M320" s="302">
        <v>1.2537292733714686E-2</v>
      </c>
      <c r="N320" s="302">
        <v>1.2059047287140526E-2</v>
      </c>
      <c r="O320" s="302">
        <f t="shared" si="149"/>
        <v>8.6252270005649362E-2</v>
      </c>
    </row>
    <row r="321" spans="1:15" s="236" customFormat="1" x14ac:dyDescent="0.2">
      <c r="A321" s="237" t="str">
        <f>name!E$10</f>
        <v>Sales and customer service occupations</v>
      </c>
      <c r="B321" s="302">
        <v>0.56487873566861935</v>
      </c>
      <c r="C321" s="302">
        <v>4.8447620792802015E-2</v>
      </c>
      <c r="D321" s="302">
        <v>2.0976032643450781E-2</v>
      </c>
      <c r="E321" s="302">
        <f t="shared" si="147"/>
        <v>0.63430238910487213</v>
      </c>
      <c r="F321" s="303"/>
      <c r="G321" s="302">
        <v>0.52586577840843962</v>
      </c>
      <c r="H321" s="302">
        <v>6.5164024071142454E-2</v>
      </c>
      <c r="I321" s="302">
        <v>1.4215368138647495E-2</v>
      </c>
      <c r="J321" s="302">
        <f t="shared" si="150"/>
        <v>0.60524517061822958</v>
      </c>
      <c r="K321" s="303"/>
      <c r="L321" s="302">
        <v>0.48889401214979777</v>
      </c>
      <c r="M321" s="302">
        <v>7.7670620405761531E-2</v>
      </c>
      <c r="N321" s="302">
        <v>1.4008136338748036E-2</v>
      </c>
      <c r="O321" s="302">
        <f t="shared" si="149"/>
        <v>0.58057276889430742</v>
      </c>
    </row>
    <row r="322" spans="1:15" s="236" customFormat="1" x14ac:dyDescent="0.2">
      <c r="A322" s="237" t="str">
        <f>name!E$11</f>
        <v>Process, plant and machine operatives</v>
      </c>
      <c r="B322" s="302">
        <v>2.7367758344920303</v>
      </c>
      <c r="C322" s="302">
        <v>7.6891087988021301E-2</v>
      </c>
      <c r="D322" s="302">
        <v>4.4767413232093718E-2</v>
      </c>
      <c r="E322" s="302">
        <f t="shared" si="147"/>
        <v>2.8584343357121451</v>
      </c>
      <c r="F322" s="303"/>
      <c r="G322" s="302">
        <v>1.9580803070708062</v>
      </c>
      <c r="H322" s="302">
        <v>0.10056106755106116</v>
      </c>
      <c r="I322" s="302">
        <v>4.0551869045738924E-2</v>
      </c>
      <c r="J322" s="302">
        <f t="shared" si="150"/>
        <v>2.0991932436676062</v>
      </c>
      <c r="K322" s="303"/>
      <c r="L322" s="302">
        <v>2.0042325247520596</v>
      </c>
      <c r="M322" s="302">
        <v>0.11276698966982036</v>
      </c>
      <c r="N322" s="302">
        <v>4.3469879870059076E-2</v>
      </c>
      <c r="O322" s="302">
        <f t="shared" si="149"/>
        <v>2.1604693942919391</v>
      </c>
    </row>
    <row r="323" spans="1:15" s="236" customFormat="1" x14ac:dyDescent="0.2">
      <c r="A323" s="237" t="str">
        <f>name!E$12</f>
        <v>Elementary occupations</v>
      </c>
      <c r="B323" s="302">
        <v>0.94316667853152214</v>
      </c>
      <c r="C323" s="302">
        <v>4.9729806554912E-2</v>
      </c>
      <c r="D323" s="302">
        <v>2.9485675048747197E-2</v>
      </c>
      <c r="E323" s="302">
        <f t="shared" si="147"/>
        <v>1.0223821601351812</v>
      </c>
      <c r="F323" s="303"/>
      <c r="G323" s="302">
        <v>0.66866102761012969</v>
      </c>
      <c r="H323" s="302">
        <v>5.9651285536010665E-2</v>
      </c>
      <c r="I323" s="302">
        <v>1.9447211540381537E-2</v>
      </c>
      <c r="J323" s="302">
        <f t="shared" si="150"/>
        <v>0.74775952468652185</v>
      </c>
      <c r="K323" s="303"/>
      <c r="L323" s="302">
        <v>0.43551894626086951</v>
      </c>
      <c r="M323" s="302">
        <v>3.5254312895688623E-2</v>
      </c>
      <c r="N323" s="302">
        <v>2.0963464336328837E-2</v>
      </c>
      <c r="O323" s="302">
        <f t="shared" si="149"/>
        <v>0.491736723492887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32</v>
      </c>
      <c r="B325" s="311">
        <f>SUM(B315:B323)</f>
        <v>17.399999999916659</v>
      </c>
      <c r="C325" s="311">
        <f t="shared" ref="C325:E325" si="151">SUM(C315:C323)</f>
        <v>0.77600000000966884</v>
      </c>
      <c r="D325" s="311">
        <f t="shared" si="151"/>
        <v>0.75599999999713163</v>
      </c>
      <c r="E325" s="311">
        <f t="shared" si="151"/>
        <v>18.931999999923459</v>
      </c>
      <c r="F325" s="311"/>
      <c r="G325" s="311">
        <f t="shared" ref="G325:J325" si="152">SUM(G315:G323)</f>
        <v>16.038999999962282</v>
      </c>
      <c r="H325" s="311">
        <f t="shared" si="152"/>
        <v>1.048000000009994</v>
      </c>
      <c r="I325" s="311">
        <f t="shared" si="152"/>
        <v>0.67899999999701877</v>
      </c>
      <c r="J325" s="311">
        <f t="shared" si="152"/>
        <v>17.765999999969296</v>
      </c>
      <c r="K325" s="311"/>
      <c r="L325" s="311">
        <f t="shared" ref="L325:O325" si="153">SUM(L315:L323)</f>
        <v>14.023000000051455</v>
      </c>
      <c r="M325" s="311">
        <f t="shared" si="153"/>
        <v>0.94399999999183704</v>
      </c>
      <c r="N325" s="311">
        <f t="shared" si="153"/>
        <v>0.62299999999449507</v>
      </c>
      <c r="O325" s="311">
        <f t="shared" si="153"/>
        <v>15.590000000037787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35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name!A22</f>
        <v>Motor vehicles, etc</v>
      </c>
      <c r="B329" s="374">
        <f>$B$6</f>
        <v>2015</v>
      </c>
      <c r="C329" s="374"/>
      <c r="D329" s="374"/>
      <c r="E329" s="374"/>
      <c r="F329" s="263"/>
      <c r="G329" s="374">
        <f>$G$6</f>
        <v>2020</v>
      </c>
      <c r="H329" s="374"/>
      <c r="I329" s="374"/>
      <c r="J329" s="374"/>
      <c r="K329" s="263"/>
      <c r="L329" s="374">
        <f>$L$6</f>
        <v>2035</v>
      </c>
      <c r="M329" s="374"/>
      <c r="N329" s="374"/>
      <c r="O329" s="374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0.53970452128612467</v>
      </c>
      <c r="C332" s="302">
        <v>1.4966646251131803E-2</v>
      </c>
      <c r="D332" s="302">
        <v>2.9834479217015944E-2</v>
      </c>
      <c r="E332" s="302">
        <f>SUM(B332:D332)</f>
        <v>0.58450564675427241</v>
      </c>
      <c r="F332" s="303"/>
      <c r="G332" s="302">
        <v>0.59326209605588176</v>
      </c>
      <c r="H332" s="302">
        <v>1.8968348859247169E-2</v>
      </c>
      <c r="I332" s="302">
        <v>3.3673474441078349E-2</v>
      </c>
      <c r="J332" s="302">
        <f>SUM(G332:I332)</f>
        <v>0.64590391935620728</v>
      </c>
      <c r="K332" s="303"/>
      <c r="L332" s="302">
        <v>0.61889545747021057</v>
      </c>
      <c r="M332" s="302">
        <v>2.4666613974636615E-2</v>
      </c>
      <c r="N332" s="302">
        <v>4.0572633552313962E-2</v>
      </c>
      <c r="O332" s="302">
        <f>SUM(L332:N332)</f>
        <v>0.68413470499716122</v>
      </c>
    </row>
    <row r="333" spans="1:15" s="236" customFormat="1" x14ac:dyDescent="0.2">
      <c r="A333" s="237" t="str">
        <f>name!E$5</f>
        <v>Professional occupations</v>
      </c>
      <c r="B333" s="302">
        <v>1.3110741982395058</v>
      </c>
      <c r="C333" s="302">
        <v>2.6469769951451019E-2</v>
      </c>
      <c r="D333" s="302">
        <v>1.9950616592489884E-2</v>
      </c>
      <c r="E333" s="302">
        <f t="shared" ref="E333:E340" si="154">SUM(B333:D333)</f>
        <v>1.3574945847834468</v>
      </c>
      <c r="F333" s="303"/>
      <c r="G333" s="302">
        <v>1.5956815298760065</v>
      </c>
      <c r="H333" s="302">
        <v>2.3838691881090574E-2</v>
      </c>
      <c r="I333" s="302">
        <v>1.9494296432819001E-2</v>
      </c>
      <c r="J333" s="302">
        <f t="shared" ref="J333:J335" si="155">SUM(G333:I333)</f>
        <v>1.6390145181899163</v>
      </c>
      <c r="K333" s="303"/>
      <c r="L333" s="302">
        <v>1.9667996410633972</v>
      </c>
      <c r="M333" s="302">
        <v>2.5008502777541984E-2</v>
      </c>
      <c r="N333" s="302">
        <v>1.6752132044960167E-2</v>
      </c>
      <c r="O333" s="302">
        <f t="shared" ref="O333:O340" si="156">SUM(L333:N333)</f>
        <v>2.0085602758858991</v>
      </c>
    </row>
    <row r="334" spans="1:15" s="236" customFormat="1" x14ac:dyDescent="0.2">
      <c r="A334" s="237" t="str">
        <f>name!E$6</f>
        <v>Associate professional occupations</v>
      </c>
      <c r="B334" s="302">
        <v>0.56987935405522461</v>
      </c>
      <c r="C334" s="302">
        <v>3.875493870316294E-2</v>
      </c>
      <c r="D334" s="302">
        <v>1.3184748776096015E-2</v>
      </c>
      <c r="E334" s="302">
        <f t="shared" si="154"/>
        <v>0.62181904153448353</v>
      </c>
      <c r="F334" s="303"/>
      <c r="G334" s="302">
        <v>0.68195329159515861</v>
      </c>
      <c r="H334" s="302">
        <v>2.4603072742337018E-2</v>
      </c>
      <c r="I334" s="302">
        <v>1.2681995387359982E-2</v>
      </c>
      <c r="J334" s="302">
        <f t="shared" si="155"/>
        <v>0.71923835972485561</v>
      </c>
      <c r="K334" s="303"/>
      <c r="L334" s="302">
        <v>0.64226764933804792</v>
      </c>
      <c r="M334" s="302">
        <v>2.0622876370371305E-2</v>
      </c>
      <c r="N334" s="302">
        <v>1.5463632503635864E-2</v>
      </c>
      <c r="O334" s="302">
        <f t="shared" si="156"/>
        <v>0.67835415821205514</v>
      </c>
    </row>
    <row r="335" spans="1:15" s="236" customFormat="1" x14ac:dyDescent="0.2">
      <c r="A335" s="237" t="str">
        <f>name!E$7</f>
        <v>Administrative and secretarial occupations</v>
      </c>
      <c r="B335" s="302">
        <v>0.71400362218598701</v>
      </c>
      <c r="C335" s="302">
        <v>9.9181492391270928E-2</v>
      </c>
      <c r="D335" s="302">
        <v>3.7635229175284638E-3</v>
      </c>
      <c r="E335" s="302">
        <f t="shared" si="154"/>
        <v>0.81694863749478641</v>
      </c>
      <c r="F335" s="303"/>
      <c r="G335" s="302">
        <v>0.76340923649517878</v>
      </c>
      <c r="H335" s="302">
        <v>4.7573389305817143E-2</v>
      </c>
      <c r="I335" s="302">
        <v>2.5459601577731217E-3</v>
      </c>
      <c r="J335" s="302">
        <f t="shared" si="155"/>
        <v>0.81352858595876898</v>
      </c>
      <c r="K335" s="303"/>
      <c r="L335" s="302">
        <v>0.80344255396675912</v>
      </c>
      <c r="M335" s="302">
        <v>3.6764715797159037E-2</v>
      </c>
      <c r="N335" s="302">
        <v>2.9051217271231669E-3</v>
      </c>
      <c r="O335" s="302">
        <f t="shared" si="156"/>
        <v>0.84311239149104134</v>
      </c>
    </row>
    <row r="336" spans="1:15" s="236" customFormat="1" x14ac:dyDescent="0.2">
      <c r="A336" s="237" t="str">
        <f>name!E$8</f>
        <v>Skilled trades occupations</v>
      </c>
      <c r="B336" s="302">
        <v>1.9915584177750529</v>
      </c>
      <c r="C336" s="302">
        <v>2.4475861786449966E-2</v>
      </c>
      <c r="D336" s="302">
        <v>3.4128036738479438E-2</v>
      </c>
      <c r="E336" s="302">
        <f t="shared" si="154"/>
        <v>2.050162316299982</v>
      </c>
      <c r="F336" s="303"/>
      <c r="G336" s="302">
        <v>1.6380394546756669</v>
      </c>
      <c r="H336" s="302">
        <v>3.8275395938038539E-2</v>
      </c>
      <c r="I336" s="302">
        <v>2.809143776588301E-2</v>
      </c>
      <c r="J336" s="302">
        <f>SUM(G336:I336)</f>
        <v>1.7044062883795885</v>
      </c>
      <c r="K336" s="303"/>
      <c r="L336" s="302">
        <v>1.4746508829574683</v>
      </c>
      <c r="M336" s="302">
        <v>5.1802538849080489E-2</v>
      </c>
      <c r="N336" s="302">
        <v>3.3764098514809583E-2</v>
      </c>
      <c r="O336" s="302">
        <f t="shared" si="156"/>
        <v>1.5602175203213584</v>
      </c>
    </row>
    <row r="337" spans="1:15" s="236" customFormat="1" x14ac:dyDescent="0.2">
      <c r="A337" s="237" t="str">
        <f>name!E$9</f>
        <v>Caring, leisure and other service occupations</v>
      </c>
      <c r="B337" s="302">
        <v>7.0019134438634764E-2</v>
      </c>
      <c r="C337" s="302">
        <v>4.3471884042373928E-3</v>
      </c>
      <c r="D337" s="302">
        <v>2.0007027030944455E-3</v>
      </c>
      <c r="E337" s="302">
        <f t="shared" si="154"/>
        <v>7.636702554596661E-2</v>
      </c>
      <c r="F337" s="303"/>
      <c r="G337" s="302">
        <v>7.523706740526423E-2</v>
      </c>
      <c r="H337" s="302">
        <v>4.1519215486758368E-3</v>
      </c>
      <c r="I337" s="302">
        <v>1.3521051353783361E-3</v>
      </c>
      <c r="J337" s="302">
        <f t="shared" ref="J337:J340" si="157">SUM(G337:I337)</f>
        <v>8.0741094089318399E-2</v>
      </c>
      <c r="K337" s="303"/>
      <c r="L337" s="302">
        <v>0.11815802044753584</v>
      </c>
      <c r="M337" s="302">
        <v>4.904297848625728E-3</v>
      </c>
      <c r="N337" s="302">
        <v>3.1446630137686817E-3</v>
      </c>
      <c r="O337" s="302">
        <f t="shared" si="156"/>
        <v>0.12620698130993024</v>
      </c>
    </row>
    <row r="338" spans="1:15" s="236" customFormat="1" x14ac:dyDescent="0.2">
      <c r="A338" s="237" t="str">
        <f>name!E$10</f>
        <v>Sales and customer service occupations</v>
      </c>
      <c r="B338" s="302">
        <v>0.20215991911183109</v>
      </c>
      <c r="C338" s="302">
        <v>2.6575747604334631E-2</v>
      </c>
      <c r="D338" s="302">
        <v>3.0076843508806896E-3</v>
      </c>
      <c r="E338" s="302">
        <f t="shared" si="154"/>
        <v>0.23174335106704641</v>
      </c>
      <c r="F338" s="303"/>
      <c r="G338" s="302">
        <v>0.19111010449773785</v>
      </c>
      <c r="H338" s="302">
        <v>2.3197784254874905E-2</v>
      </c>
      <c r="I338" s="302">
        <v>2.1918516567612316E-3</v>
      </c>
      <c r="J338" s="302">
        <f t="shared" si="157"/>
        <v>0.21649974040937398</v>
      </c>
      <c r="K338" s="303"/>
      <c r="L338" s="302">
        <v>0.2325705107678048</v>
      </c>
      <c r="M338" s="302">
        <v>2.7479448038833853E-2</v>
      </c>
      <c r="N338" s="302">
        <v>2.342128525397781E-3</v>
      </c>
      <c r="O338" s="302">
        <f t="shared" si="156"/>
        <v>0.26239208733203645</v>
      </c>
    </row>
    <row r="339" spans="1:15" s="236" customFormat="1" x14ac:dyDescent="0.2">
      <c r="A339" s="237" t="str">
        <f>name!E$11</f>
        <v>Process, plant and machine operatives</v>
      </c>
      <c r="B339" s="302">
        <v>1.9143857377051028</v>
      </c>
      <c r="C339" s="302">
        <v>4.6141244803887538E-2</v>
      </c>
      <c r="D339" s="302">
        <v>5.5266495250353232E-3</v>
      </c>
      <c r="E339" s="302">
        <f t="shared" si="154"/>
        <v>1.9660536320340256</v>
      </c>
      <c r="F339" s="303"/>
      <c r="G339" s="302">
        <v>1.4765378279987029</v>
      </c>
      <c r="H339" s="302">
        <v>6.2546613708085494E-2</v>
      </c>
      <c r="I339" s="302">
        <v>4.1238080618700738E-3</v>
      </c>
      <c r="J339" s="302">
        <f t="shared" si="157"/>
        <v>1.5432082497686586</v>
      </c>
      <c r="K339" s="303"/>
      <c r="L339" s="302">
        <v>1.7374902557525587</v>
      </c>
      <c r="M339" s="302">
        <v>8.6248184969434621E-2</v>
      </c>
      <c r="N339" s="302">
        <v>4.6541986207198401E-3</v>
      </c>
      <c r="O339" s="302">
        <f t="shared" si="156"/>
        <v>1.828392639342713</v>
      </c>
    </row>
    <row r="340" spans="1:15" s="236" customFormat="1" x14ac:dyDescent="0.2">
      <c r="A340" s="237" t="str">
        <f>name!E$12</f>
        <v>Elementary occupations</v>
      </c>
      <c r="B340" s="302">
        <v>0.44321509515067437</v>
      </c>
      <c r="C340" s="302">
        <v>2.4087110109187272E-2</v>
      </c>
      <c r="D340" s="302">
        <v>3.6035591802381574E-3</v>
      </c>
      <c r="E340" s="302">
        <f t="shared" si="154"/>
        <v>0.47090576444009979</v>
      </c>
      <c r="F340" s="303"/>
      <c r="G340" s="302">
        <v>0.34576939140037871</v>
      </c>
      <c r="H340" s="302">
        <v>1.4844781764754391E-2</v>
      </c>
      <c r="I340" s="302">
        <v>1.8450709614033394E-3</v>
      </c>
      <c r="J340" s="302">
        <f t="shared" si="157"/>
        <v>0.36245924412653646</v>
      </c>
      <c r="K340" s="303"/>
      <c r="L340" s="302">
        <v>0.25472502826352494</v>
      </c>
      <c r="M340" s="302">
        <v>9.5028213739235985E-3</v>
      </c>
      <c r="N340" s="302">
        <v>2.4013914977710142E-3</v>
      </c>
      <c r="O340" s="302">
        <f t="shared" si="156"/>
        <v>0.26662924113521957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32</v>
      </c>
      <c r="B342" s="311">
        <f>SUM(B332:B340)</f>
        <v>7.7559999999481377</v>
      </c>
      <c r="C342" s="311">
        <f t="shared" ref="C342:E342" si="158">SUM(C332:C340)</f>
        <v>0.30500000000511351</v>
      </c>
      <c r="D342" s="311">
        <f t="shared" si="158"/>
        <v>0.11500000000085839</v>
      </c>
      <c r="E342" s="311">
        <f t="shared" si="158"/>
        <v>8.1759999999541098</v>
      </c>
      <c r="F342" s="311"/>
      <c r="G342" s="311">
        <f t="shared" ref="G342:J342" si="159">SUM(G332:G340)</f>
        <v>7.3609999999999758</v>
      </c>
      <c r="H342" s="311">
        <f t="shared" si="159"/>
        <v>0.25800000000292106</v>
      </c>
      <c r="I342" s="311">
        <f t="shared" si="159"/>
        <v>0.10600000000032644</v>
      </c>
      <c r="J342" s="311">
        <f t="shared" si="159"/>
        <v>7.7250000000032228</v>
      </c>
      <c r="K342" s="311"/>
      <c r="L342" s="311">
        <f t="shared" ref="L342:O342" si="160">SUM(L332:L340)</f>
        <v>7.8490000000273081</v>
      </c>
      <c r="M342" s="311">
        <f t="shared" si="160"/>
        <v>0.28699999999960724</v>
      </c>
      <c r="N342" s="311">
        <f t="shared" si="160"/>
        <v>0.12200000000050004</v>
      </c>
      <c r="O342" s="311">
        <f t="shared" si="160"/>
        <v>8.2580000000274154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35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name!A23</f>
        <v>Other transport equipment</v>
      </c>
      <c r="B346" s="374">
        <f>$B$6</f>
        <v>2015</v>
      </c>
      <c r="C346" s="374"/>
      <c r="D346" s="374"/>
      <c r="E346" s="374"/>
      <c r="F346" s="263"/>
      <c r="G346" s="374">
        <f>$G$6</f>
        <v>2020</v>
      </c>
      <c r="H346" s="374"/>
      <c r="I346" s="374"/>
      <c r="J346" s="374"/>
      <c r="K346" s="263"/>
      <c r="L346" s="374">
        <f>$L$6</f>
        <v>2035</v>
      </c>
      <c r="M346" s="374"/>
      <c r="N346" s="374"/>
      <c r="O346" s="374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1.4988549267004072</v>
      </c>
      <c r="C349" s="302">
        <v>1.4139905305665831E-2</v>
      </c>
      <c r="D349" s="302">
        <v>2.5539025299928176E-2</v>
      </c>
      <c r="E349" s="302">
        <f>SUM(B349:D349)</f>
        <v>1.5385338573060012</v>
      </c>
      <c r="F349" s="303"/>
      <c r="G349" s="302">
        <v>1.919081807835975</v>
      </c>
      <c r="H349" s="302">
        <v>9.1892761099987855E-2</v>
      </c>
      <c r="I349" s="302">
        <v>0.10621848933965486</v>
      </c>
      <c r="J349" s="302">
        <f>SUM(G349:I349)</f>
        <v>2.1171930582756175</v>
      </c>
      <c r="K349" s="303"/>
      <c r="L349" s="302">
        <v>1.7743854954023979</v>
      </c>
      <c r="M349" s="302">
        <v>0.10061040558759667</v>
      </c>
      <c r="N349" s="302">
        <v>0.10740046755881671</v>
      </c>
      <c r="O349" s="302">
        <f>SUM(L349:N349)</f>
        <v>1.9823963685488113</v>
      </c>
    </row>
    <row r="350" spans="1:15" s="236" customFormat="1" x14ac:dyDescent="0.2">
      <c r="A350" s="237" t="str">
        <f>name!E$5</f>
        <v>Professional occupations</v>
      </c>
      <c r="B350" s="302">
        <v>4.6566247670618015</v>
      </c>
      <c r="C350" s="302">
        <v>2.7707393124206635E-2</v>
      </c>
      <c r="D350" s="302">
        <v>3.7037285377957772E-2</v>
      </c>
      <c r="E350" s="302">
        <f t="shared" ref="E350:E357" si="161">SUM(B350:D350)</f>
        <v>4.7213694455639654</v>
      </c>
      <c r="F350" s="303"/>
      <c r="G350" s="302">
        <v>6.7021130134210729</v>
      </c>
      <c r="H350" s="302">
        <v>0.13100413451675103</v>
      </c>
      <c r="I350" s="302">
        <v>0.14300202044718896</v>
      </c>
      <c r="J350" s="302">
        <f t="shared" ref="J350:J352" si="162">SUM(G350:I350)</f>
        <v>6.9761191683850132</v>
      </c>
      <c r="K350" s="303"/>
      <c r="L350" s="302">
        <v>7.3993240931436493</v>
      </c>
      <c r="M350" s="302">
        <v>0.12651068476725499</v>
      </c>
      <c r="N350" s="302">
        <v>9.2448681112861558E-2</v>
      </c>
      <c r="O350" s="302">
        <f t="shared" ref="O350:O357" si="163">SUM(L350:N350)</f>
        <v>7.6182834590237656</v>
      </c>
    </row>
    <row r="351" spans="1:15" s="236" customFormat="1" x14ac:dyDescent="0.2">
      <c r="A351" s="237" t="str">
        <f>name!E$6</f>
        <v>Associate professional occupations</v>
      </c>
      <c r="B351" s="302">
        <v>1.8451817612165502</v>
      </c>
      <c r="C351" s="302">
        <v>1.7599978126237762E-2</v>
      </c>
      <c r="D351" s="302">
        <v>1.8985230453544246E-2</v>
      </c>
      <c r="E351" s="302">
        <f t="shared" si="161"/>
        <v>1.8817669697963322</v>
      </c>
      <c r="F351" s="303"/>
      <c r="G351" s="302">
        <v>2.5924289030106591</v>
      </c>
      <c r="H351" s="302">
        <v>6.9385024299967624E-2</v>
      </c>
      <c r="I351" s="302">
        <v>5.9225600875377621E-2</v>
      </c>
      <c r="J351" s="302">
        <f t="shared" si="162"/>
        <v>2.7210395281860045</v>
      </c>
      <c r="K351" s="303"/>
      <c r="L351" s="302">
        <v>2.2706732389285285</v>
      </c>
      <c r="M351" s="302">
        <v>6.062402486287842E-2</v>
      </c>
      <c r="N351" s="302">
        <v>5.5876001643812762E-2</v>
      </c>
      <c r="O351" s="302">
        <f t="shared" si="163"/>
        <v>2.3871732654352193</v>
      </c>
    </row>
    <row r="352" spans="1:15" s="236" customFormat="1" x14ac:dyDescent="0.2">
      <c r="A352" s="237" t="str">
        <f>name!E$7</f>
        <v>Administrative and secretarial occupations</v>
      </c>
      <c r="B352" s="302">
        <v>1.6662761862051134</v>
      </c>
      <c r="C352" s="302">
        <v>6.5974914087188558E-2</v>
      </c>
      <c r="D352" s="302">
        <v>4.6354512101660682E-3</v>
      </c>
      <c r="E352" s="302">
        <f t="shared" si="161"/>
        <v>1.7368865515024681</v>
      </c>
      <c r="F352" s="303"/>
      <c r="G352" s="302">
        <v>1.9933886835780434</v>
      </c>
      <c r="H352" s="302">
        <v>0.21470544346466341</v>
      </c>
      <c r="I352" s="302">
        <v>1.0564386768796509E-2</v>
      </c>
      <c r="J352" s="302">
        <f t="shared" si="162"/>
        <v>2.2186585138115036</v>
      </c>
      <c r="K352" s="303"/>
      <c r="L352" s="302">
        <v>1.7733334077096905</v>
      </c>
      <c r="M352" s="302">
        <v>0.20032641712247806</v>
      </c>
      <c r="N352" s="302">
        <v>1.1424314138639714E-2</v>
      </c>
      <c r="O352" s="302">
        <f t="shared" si="163"/>
        <v>1.9850841389708083</v>
      </c>
    </row>
    <row r="353" spans="1:15" s="236" customFormat="1" x14ac:dyDescent="0.2">
      <c r="A353" s="237" t="str">
        <f>name!E$8</f>
        <v>Skilled trades occupations</v>
      </c>
      <c r="B353" s="302">
        <v>6.0793354633535603</v>
      </c>
      <c r="C353" s="302">
        <v>5.5964219163914348E-3</v>
      </c>
      <c r="D353" s="302">
        <v>0.15134354617309648</v>
      </c>
      <c r="E353" s="302">
        <f t="shared" si="161"/>
        <v>6.2362754314430484</v>
      </c>
      <c r="F353" s="303"/>
      <c r="G353" s="302">
        <v>5.6752863761196375</v>
      </c>
      <c r="H353" s="302">
        <v>2.4625480152603636E-2</v>
      </c>
      <c r="I353" s="302">
        <v>0.49793998691865871</v>
      </c>
      <c r="J353" s="302">
        <f>SUM(G353:I353)</f>
        <v>6.1978518431908993</v>
      </c>
      <c r="K353" s="303"/>
      <c r="L353" s="302">
        <v>4.2351580167153662</v>
      </c>
      <c r="M353" s="302">
        <v>2.5119693662307197E-2</v>
      </c>
      <c r="N353" s="302">
        <v>0.45517395023539886</v>
      </c>
      <c r="O353" s="302">
        <f t="shared" si="163"/>
        <v>4.7154516606130725</v>
      </c>
    </row>
    <row r="354" spans="1:15" s="236" customFormat="1" x14ac:dyDescent="0.2">
      <c r="A354" s="237" t="str">
        <f>name!E$9</f>
        <v>Caring, leisure and other service occupations</v>
      </c>
      <c r="B354" s="302">
        <v>5.4558827558348566E-2</v>
      </c>
      <c r="C354" s="302">
        <v>1.9456384083579121E-3</v>
      </c>
      <c r="D354" s="302">
        <v>6.4644836224466845E-3</v>
      </c>
      <c r="E354" s="302">
        <f t="shared" si="161"/>
        <v>6.2968949589153167E-2</v>
      </c>
      <c r="F354" s="303"/>
      <c r="G354" s="302">
        <v>6.4389402383930372E-2</v>
      </c>
      <c r="H354" s="302">
        <v>7.2166505728909237E-3</v>
      </c>
      <c r="I354" s="302">
        <v>6.1479870544789844E-3</v>
      </c>
      <c r="J354" s="302">
        <f t="shared" ref="J354:J357" si="164">SUM(G354:I354)</f>
        <v>7.7754040011300277E-2</v>
      </c>
      <c r="K354" s="303"/>
      <c r="L354" s="302">
        <v>6.7003904710238413E-2</v>
      </c>
      <c r="M354" s="302">
        <v>5.9318912302016823E-3</v>
      </c>
      <c r="N354" s="302">
        <v>6.961021335414457E-3</v>
      </c>
      <c r="O354" s="302">
        <f t="shared" si="163"/>
        <v>7.9896817275854556E-2</v>
      </c>
    </row>
    <row r="355" spans="1:15" s="236" customFormat="1" x14ac:dyDescent="0.2">
      <c r="A355" s="237" t="str">
        <f>name!E$10</f>
        <v>Sales and customer service occupations</v>
      </c>
      <c r="B355" s="302">
        <v>0.28682403191766909</v>
      </c>
      <c r="C355" s="302">
        <v>1.8066650348137869E-2</v>
      </c>
      <c r="D355" s="302">
        <v>9.3961464474720639E-3</v>
      </c>
      <c r="E355" s="302">
        <f t="shared" si="161"/>
        <v>0.31428682871327901</v>
      </c>
      <c r="F355" s="303"/>
      <c r="G355" s="302">
        <v>0.33048611108014986</v>
      </c>
      <c r="H355" s="302">
        <v>9.053720711436504E-2</v>
      </c>
      <c r="I355" s="302">
        <v>2.4045051699603154E-2</v>
      </c>
      <c r="J355" s="302">
        <f t="shared" si="164"/>
        <v>0.44506836989411802</v>
      </c>
      <c r="K355" s="303"/>
      <c r="L355" s="302">
        <v>0.37885029410220794</v>
      </c>
      <c r="M355" s="302">
        <v>0.10424437005073044</v>
      </c>
      <c r="N355" s="302">
        <v>2.1775542746099365E-2</v>
      </c>
      <c r="O355" s="302">
        <f t="shared" si="163"/>
        <v>0.50487020689903772</v>
      </c>
    </row>
    <row r="356" spans="1:15" s="236" customFormat="1" x14ac:dyDescent="0.2">
      <c r="A356" s="237" t="str">
        <f>name!E$11</f>
        <v>Process, plant and machine operatives</v>
      </c>
      <c r="B356" s="302">
        <v>2.2614176446262593</v>
      </c>
      <c r="C356" s="302">
        <v>6.9779513998496955E-3</v>
      </c>
      <c r="D356" s="302">
        <v>2.5677890855737139E-2</v>
      </c>
      <c r="E356" s="302">
        <f t="shared" si="161"/>
        <v>2.294073486881846</v>
      </c>
      <c r="F356" s="303"/>
      <c r="G356" s="302">
        <v>1.9872607477811699</v>
      </c>
      <c r="H356" s="302">
        <v>3.6715595780955922E-2</v>
      </c>
      <c r="I356" s="302">
        <v>0.10132125803138255</v>
      </c>
      <c r="J356" s="302">
        <f t="shared" si="164"/>
        <v>2.1252976015935081</v>
      </c>
      <c r="K356" s="303"/>
      <c r="L356" s="302">
        <v>2.0973754019882764</v>
      </c>
      <c r="M356" s="302">
        <v>4.9425989566396218E-2</v>
      </c>
      <c r="N356" s="302">
        <v>0.11462161319078915</v>
      </c>
      <c r="O356" s="302">
        <f t="shared" si="163"/>
        <v>2.261423004745462</v>
      </c>
    </row>
    <row r="357" spans="1:15" s="236" customFormat="1" x14ac:dyDescent="0.2">
      <c r="A357" s="237" t="str">
        <f>name!E$12</f>
        <v>Elementary occupations</v>
      </c>
      <c r="B357" s="302">
        <v>0.4329263912677031</v>
      </c>
      <c r="C357" s="302">
        <v>8.9911472855219599E-3</v>
      </c>
      <c r="D357" s="302">
        <v>9.9209405543294223E-3</v>
      </c>
      <c r="E357" s="302">
        <f t="shared" si="161"/>
        <v>0.45183847910755448</v>
      </c>
      <c r="F357" s="303"/>
      <c r="G357" s="302">
        <v>0.36956495468936634</v>
      </c>
      <c r="H357" s="302">
        <v>2.7917703001145825E-2</v>
      </c>
      <c r="I357" s="302">
        <v>1.8535218855987971E-2</v>
      </c>
      <c r="J357" s="302">
        <f t="shared" si="164"/>
        <v>0.41601787654650013</v>
      </c>
      <c r="K357" s="303"/>
      <c r="L357" s="302">
        <v>0.21789614730324319</v>
      </c>
      <c r="M357" s="302">
        <v>1.4206523144163111E-2</v>
      </c>
      <c r="N357" s="302">
        <v>2.1318408019102123E-2</v>
      </c>
      <c r="O357" s="302">
        <f t="shared" si="163"/>
        <v>0.25342107846650841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32</v>
      </c>
      <c r="B359" s="311">
        <f>SUM(B349:B357)</f>
        <v>18.781999999907413</v>
      </c>
      <c r="C359" s="311">
        <f t="shared" ref="C359:E359" si="165">SUM(C349:C357)</f>
        <v>0.16700000000155765</v>
      </c>
      <c r="D359" s="311">
        <f t="shared" si="165"/>
        <v>0.28899999999467801</v>
      </c>
      <c r="E359" s="311">
        <f t="shared" si="165"/>
        <v>19.237999999903646</v>
      </c>
      <c r="F359" s="311"/>
      <c r="G359" s="311">
        <f t="shared" ref="G359:J359" si="166">SUM(G349:G357)</f>
        <v>21.633999999900002</v>
      </c>
      <c r="H359" s="311">
        <f t="shared" si="166"/>
        <v>0.6940000000033314</v>
      </c>
      <c r="I359" s="311">
        <f t="shared" si="166"/>
        <v>0.96699999999112929</v>
      </c>
      <c r="J359" s="311">
        <f t="shared" si="166"/>
        <v>23.294999999894468</v>
      </c>
      <c r="K359" s="311"/>
      <c r="L359" s="311">
        <f t="shared" ref="L359:O359" si="167">SUM(L349:L357)</f>
        <v>20.214000000003598</v>
      </c>
      <c r="M359" s="311">
        <f t="shared" si="167"/>
        <v>0.68699999999400674</v>
      </c>
      <c r="N359" s="311">
        <f t="shared" si="167"/>
        <v>0.88699999998093471</v>
      </c>
      <c r="O359" s="311">
        <f t="shared" si="167"/>
        <v>21.787999999978545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35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name!A24</f>
        <v>Furniture</v>
      </c>
      <c r="B363" s="374">
        <f>$B$6</f>
        <v>2015</v>
      </c>
      <c r="C363" s="374"/>
      <c r="D363" s="374"/>
      <c r="E363" s="374"/>
      <c r="F363" s="263"/>
      <c r="G363" s="374">
        <f>$G$6</f>
        <v>2020</v>
      </c>
      <c r="H363" s="374"/>
      <c r="I363" s="374"/>
      <c r="J363" s="374"/>
      <c r="K363" s="263"/>
      <c r="L363" s="374">
        <f>$L$6</f>
        <v>2035</v>
      </c>
      <c r="M363" s="374"/>
      <c r="N363" s="374"/>
      <c r="O363" s="374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0.89385018604128252</v>
      </c>
      <c r="C366" s="302">
        <v>4.0489125697413399E-2</v>
      </c>
      <c r="D366" s="302">
        <v>0.16474708148293604</v>
      </c>
      <c r="E366" s="302">
        <f>SUM(B366:D366)</f>
        <v>1.0990863932216319</v>
      </c>
      <c r="F366" s="303"/>
      <c r="G366" s="302">
        <v>0.80807006443314555</v>
      </c>
      <c r="H366" s="302">
        <v>4.7679753715723541E-2</v>
      </c>
      <c r="I366" s="302">
        <v>5.3740933585435025E-2</v>
      </c>
      <c r="J366" s="302">
        <f>SUM(G366:I366)</f>
        <v>0.90949075173430405</v>
      </c>
      <c r="K366" s="303"/>
      <c r="L366" s="302">
        <v>0.79134237503886906</v>
      </c>
      <c r="M366" s="302">
        <v>2.8863721708511422E-2</v>
      </c>
      <c r="N366" s="302">
        <v>5.2156176770564687E-2</v>
      </c>
      <c r="O366" s="302">
        <f>SUM(L366:N366)</f>
        <v>0.87236227351794515</v>
      </c>
    </row>
    <row r="367" spans="1:15" s="236" customFormat="1" x14ac:dyDescent="0.2">
      <c r="A367" s="237" t="str">
        <f>name!E$5</f>
        <v>Professional occupations</v>
      </c>
      <c r="B367" s="302">
        <v>0.79159896434580579</v>
      </c>
      <c r="C367" s="302">
        <v>2.9052879267416131E-2</v>
      </c>
      <c r="D367" s="302">
        <v>5.86623459664102E-2</v>
      </c>
      <c r="E367" s="302">
        <f t="shared" ref="E367:E374" si="168">SUM(B367:D367)</f>
        <v>0.87931418957963214</v>
      </c>
      <c r="F367" s="303"/>
      <c r="G367" s="302">
        <v>0.80302536761757415</v>
      </c>
      <c r="H367" s="302">
        <v>7.8604582998092656E-2</v>
      </c>
      <c r="I367" s="302">
        <v>1.6395527229023925E-2</v>
      </c>
      <c r="J367" s="302">
        <f t="shared" ref="J367:J369" si="169">SUM(G367:I367)</f>
        <v>0.89802547784469078</v>
      </c>
      <c r="K367" s="303"/>
      <c r="L367" s="302">
        <v>0.92882429494591912</v>
      </c>
      <c r="M367" s="302">
        <v>9.9813179723370574E-2</v>
      </c>
      <c r="N367" s="302">
        <v>1.2985385472743137E-2</v>
      </c>
      <c r="O367" s="302">
        <f t="shared" ref="O367:O374" si="170">SUM(L367:N367)</f>
        <v>1.0416228601420328</v>
      </c>
    </row>
    <row r="368" spans="1:15" s="236" customFormat="1" x14ac:dyDescent="0.2">
      <c r="A368" s="237" t="str">
        <f>name!E$6</f>
        <v>Associate professional occupations</v>
      </c>
      <c r="B368" s="302">
        <v>0.72572235386434814</v>
      </c>
      <c r="C368" s="302">
        <v>4.9048366505923001E-2</v>
      </c>
      <c r="D368" s="302">
        <v>5.555598078648781E-2</v>
      </c>
      <c r="E368" s="302">
        <f t="shared" si="168"/>
        <v>0.830326701156759</v>
      </c>
      <c r="F368" s="303"/>
      <c r="G368" s="302">
        <v>0.67181699604870448</v>
      </c>
      <c r="H368" s="302">
        <v>6.442607047611458E-2</v>
      </c>
      <c r="I368" s="302">
        <v>1.5150571641559496E-2</v>
      </c>
      <c r="J368" s="302">
        <f t="shared" si="169"/>
        <v>0.75139363816637861</v>
      </c>
      <c r="K368" s="303"/>
      <c r="L368" s="302">
        <v>0.62128619076543778</v>
      </c>
      <c r="M368" s="302">
        <v>4.0765033433400814E-2</v>
      </c>
      <c r="N368" s="302">
        <v>1.1858674516311759E-2</v>
      </c>
      <c r="O368" s="302">
        <f t="shared" si="170"/>
        <v>0.67390989871515028</v>
      </c>
    </row>
    <row r="369" spans="1:15" s="236" customFormat="1" x14ac:dyDescent="0.2">
      <c r="A369" s="237" t="str">
        <f>name!E$7</f>
        <v>Administrative and secretarial occupations</v>
      </c>
      <c r="B369" s="302">
        <v>1.407186614338543</v>
      </c>
      <c r="C369" s="302">
        <v>0.27156697943267583</v>
      </c>
      <c r="D369" s="302">
        <v>2.4878243883785303E-2</v>
      </c>
      <c r="E369" s="302">
        <f t="shared" si="168"/>
        <v>1.7036318376550041</v>
      </c>
      <c r="F369" s="303"/>
      <c r="G369" s="302">
        <v>1.1697666969066309</v>
      </c>
      <c r="H369" s="302">
        <v>0.15822813587424808</v>
      </c>
      <c r="I369" s="302">
        <v>5.801465421770337E-3</v>
      </c>
      <c r="J369" s="302">
        <f t="shared" si="169"/>
        <v>1.3337962982026494</v>
      </c>
      <c r="K369" s="303"/>
      <c r="L369" s="302">
        <v>1.1038519789538022</v>
      </c>
      <c r="M369" s="302">
        <v>8.354520364513017E-2</v>
      </c>
      <c r="N369" s="302">
        <v>6.1410662998879952E-3</v>
      </c>
      <c r="O369" s="302">
        <f t="shared" si="170"/>
        <v>1.1935382488988202</v>
      </c>
    </row>
    <row r="370" spans="1:15" s="236" customFormat="1" x14ac:dyDescent="0.2">
      <c r="A370" s="237" t="str">
        <f>name!E$8</f>
        <v>Skilled trades occupations</v>
      </c>
      <c r="B370" s="302">
        <v>2.2611211149207477</v>
      </c>
      <c r="C370" s="302">
        <v>6.9280903118050158E-2</v>
      </c>
      <c r="D370" s="302">
        <v>1.2176864774673952</v>
      </c>
      <c r="E370" s="302">
        <f t="shared" si="168"/>
        <v>3.5480884955061933</v>
      </c>
      <c r="F370" s="303"/>
      <c r="G370" s="302">
        <v>1.4229825469743196</v>
      </c>
      <c r="H370" s="302">
        <v>3.5660532029211794E-2</v>
      </c>
      <c r="I370" s="302">
        <v>0.30980725177703788</v>
      </c>
      <c r="J370" s="302">
        <f>SUM(G370:I370)</f>
        <v>1.7684503307805692</v>
      </c>
      <c r="K370" s="303"/>
      <c r="L370" s="302">
        <v>0.91037873544078296</v>
      </c>
      <c r="M370" s="302">
        <v>1.826053839922245E-2</v>
      </c>
      <c r="N370" s="302">
        <v>0.26111773406839961</v>
      </c>
      <c r="O370" s="302">
        <f t="shared" si="170"/>
        <v>1.189757007908405</v>
      </c>
    </row>
    <row r="371" spans="1:15" s="236" customFormat="1" x14ac:dyDescent="0.2">
      <c r="A371" s="237" t="str">
        <f>name!E$9</f>
        <v>Caring, leisure and other service occupations</v>
      </c>
      <c r="B371" s="302">
        <v>3.4228715118813528E-2</v>
      </c>
      <c r="C371" s="302">
        <v>2.0743273046134096E-2</v>
      </c>
      <c r="D371" s="302">
        <v>5.7480586872569843E-3</v>
      </c>
      <c r="E371" s="302">
        <f t="shared" si="168"/>
        <v>6.0720046852204612E-2</v>
      </c>
      <c r="F371" s="303"/>
      <c r="G371" s="302">
        <v>2.4854881059495397E-2</v>
      </c>
      <c r="H371" s="302">
        <v>4.4704702157895293E-2</v>
      </c>
      <c r="I371" s="302">
        <v>1.7768834073510909E-3</v>
      </c>
      <c r="J371" s="302">
        <f t="shared" ref="J371:J374" si="171">SUM(G371:I371)</f>
        <v>7.1336466624741787E-2</v>
      </c>
      <c r="K371" s="303"/>
      <c r="L371" s="302">
        <v>2.3050274413626125E-2</v>
      </c>
      <c r="M371" s="302">
        <v>5.3652334146714761E-2</v>
      </c>
      <c r="N371" s="302">
        <v>2.2315572724385061E-3</v>
      </c>
      <c r="O371" s="302">
        <f t="shared" si="170"/>
        <v>7.8934165832779402E-2</v>
      </c>
    </row>
    <row r="372" spans="1:15" s="236" customFormat="1" x14ac:dyDescent="0.2">
      <c r="A372" s="237" t="str">
        <f>name!E$10</f>
        <v>Sales and customer service occupations</v>
      </c>
      <c r="B372" s="302">
        <v>0.64832016977255869</v>
      </c>
      <c r="C372" s="302">
        <v>9.9004949304276807E-2</v>
      </c>
      <c r="D372" s="302">
        <v>4.1278693939284454E-2</v>
      </c>
      <c r="E372" s="302">
        <f t="shared" si="168"/>
        <v>0.78860381301611993</v>
      </c>
      <c r="F372" s="303"/>
      <c r="G372" s="302">
        <v>0.48310082724241321</v>
      </c>
      <c r="H372" s="302">
        <v>0.11849727372828402</v>
      </c>
      <c r="I372" s="302">
        <v>9.0141946194405125E-3</v>
      </c>
      <c r="J372" s="302">
        <f t="shared" si="171"/>
        <v>0.61061229559013774</v>
      </c>
      <c r="K372" s="303"/>
      <c r="L372" s="302">
        <v>0.49977969239625442</v>
      </c>
      <c r="M372" s="302">
        <v>0.13488932631388675</v>
      </c>
      <c r="N372" s="302">
        <v>7.006834434621181E-3</v>
      </c>
      <c r="O372" s="302">
        <f t="shared" si="170"/>
        <v>0.64167585314476228</v>
      </c>
    </row>
    <row r="373" spans="1:15" s="236" customFormat="1" x14ac:dyDescent="0.2">
      <c r="A373" s="237" t="str">
        <f>name!E$11</f>
        <v>Process, plant and machine operatives</v>
      </c>
      <c r="B373" s="302">
        <v>2.0994516293612002</v>
      </c>
      <c r="C373" s="302">
        <v>0.14203055400244879</v>
      </c>
      <c r="D373" s="302">
        <v>0.18702553086166479</v>
      </c>
      <c r="E373" s="302">
        <f t="shared" si="168"/>
        <v>2.4285077142253138</v>
      </c>
      <c r="F373" s="303"/>
      <c r="G373" s="302">
        <v>1.33265173479138</v>
      </c>
      <c r="H373" s="302">
        <v>8.1133352600485209E-2</v>
      </c>
      <c r="I373" s="302">
        <v>5.8010210279066741E-2</v>
      </c>
      <c r="J373" s="302">
        <f t="shared" si="171"/>
        <v>1.4717952976709319</v>
      </c>
      <c r="K373" s="303"/>
      <c r="L373" s="302">
        <v>1.4977749038975181</v>
      </c>
      <c r="M373" s="302">
        <v>0.12764144191208962</v>
      </c>
      <c r="N373" s="302">
        <v>5.9156391769998935E-2</v>
      </c>
      <c r="O373" s="302">
        <f t="shared" si="170"/>
        <v>1.6845727375796067</v>
      </c>
    </row>
    <row r="374" spans="1:15" s="236" customFormat="1" x14ac:dyDescent="0.2">
      <c r="A374" s="237" t="str">
        <f>name!E$12</f>
        <v>Elementary occupations</v>
      </c>
      <c r="B374" s="302">
        <v>1.2675202521369329</v>
      </c>
      <c r="C374" s="302">
        <v>0.11178296964215197</v>
      </c>
      <c r="D374" s="302">
        <v>2.8417586917957326E-2</v>
      </c>
      <c r="E374" s="302">
        <f t="shared" si="168"/>
        <v>1.4077208086970421</v>
      </c>
      <c r="F374" s="303"/>
      <c r="G374" s="302">
        <v>0.80973088494334666</v>
      </c>
      <c r="H374" s="302">
        <v>0.14206559643194755</v>
      </c>
      <c r="I374" s="302">
        <v>5.3029620346429504E-3</v>
      </c>
      <c r="J374" s="302">
        <f t="shared" si="171"/>
        <v>0.95709944340993713</v>
      </c>
      <c r="K374" s="303"/>
      <c r="L374" s="302">
        <v>0.60271155419450295</v>
      </c>
      <c r="M374" s="302">
        <v>0.11356922071635006</v>
      </c>
      <c r="N374" s="302">
        <v>5.3461793954139337E-3</v>
      </c>
      <c r="O374" s="302">
        <f t="shared" si="170"/>
        <v>0.721626954306267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32</v>
      </c>
      <c r="B376" s="311">
        <f>SUM(B366:B374)</f>
        <v>10.128999999900232</v>
      </c>
      <c r="C376" s="311">
        <f t="shared" ref="C376:E376" si="172">SUM(C366:C374)</f>
        <v>0.83300000001649022</v>
      </c>
      <c r="D376" s="311">
        <f t="shared" si="172"/>
        <v>1.7839999999931779</v>
      </c>
      <c r="E376" s="311">
        <f t="shared" si="172"/>
        <v>12.745999999909898</v>
      </c>
      <c r="F376" s="311"/>
      <c r="G376" s="311">
        <f t="shared" ref="G376:J376" si="173">SUM(G366:G374)</f>
        <v>7.5260000000170102</v>
      </c>
      <c r="H376" s="311">
        <f t="shared" si="173"/>
        <v>0.77100000001200275</v>
      </c>
      <c r="I376" s="311">
        <f t="shared" si="173"/>
        <v>0.47499999999532799</v>
      </c>
      <c r="J376" s="311">
        <f t="shared" si="173"/>
        <v>8.7720000000243417</v>
      </c>
      <c r="K376" s="311"/>
      <c r="L376" s="311">
        <f t="shared" ref="L376:O376" si="174">SUM(L366:L374)</f>
        <v>6.9790000000467129</v>
      </c>
      <c r="M376" s="311">
        <f t="shared" si="174"/>
        <v>0.70099999999867668</v>
      </c>
      <c r="N376" s="311">
        <f t="shared" si="174"/>
        <v>0.41800000000037973</v>
      </c>
      <c r="O376" s="311">
        <f t="shared" si="174"/>
        <v>8.0980000000457686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35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name!A25</f>
        <v>Other manufacturing</v>
      </c>
      <c r="B380" s="374">
        <f>$B$6</f>
        <v>2015</v>
      </c>
      <c r="C380" s="374"/>
      <c r="D380" s="374"/>
      <c r="E380" s="374"/>
      <c r="F380" s="263"/>
      <c r="G380" s="374">
        <f>$G$6</f>
        <v>2020</v>
      </c>
      <c r="H380" s="374"/>
      <c r="I380" s="374"/>
      <c r="J380" s="374"/>
      <c r="K380" s="263"/>
      <c r="L380" s="374">
        <f>$L$6</f>
        <v>2035</v>
      </c>
      <c r="M380" s="374"/>
      <c r="N380" s="374"/>
      <c r="O380" s="374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0.45661560186669237</v>
      </c>
      <c r="C383" s="302">
        <v>2.7598947815763403E-2</v>
      </c>
      <c r="D383" s="302">
        <v>6.1096508839417238E-2</v>
      </c>
      <c r="E383" s="302">
        <f>SUM(B383:D383)</f>
        <v>0.545311058521873</v>
      </c>
      <c r="F383" s="303"/>
      <c r="G383" s="302">
        <v>0.59537249084179678</v>
      </c>
      <c r="H383" s="302">
        <v>7.588591990855198E-2</v>
      </c>
      <c r="I383" s="302">
        <v>6.9993826447834639E-2</v>
      </c>
      <c r="J383" s="302">
        <f>SUM(G383:I383)</f>
        <v>0.74125223719818334</v>
      </c>
      <c r="K383" s="303"/>
      <c r="L383" s="302">
        <v>0.63210518359660794</v>
      </c>
      <c r="M383" s="302">
        <v>7.4298195657019478E-2</v>
      </c>
      <c r="N383" s="302">
        <v>5.7525892226805528E-2</v>
      </c>
      <c r="O383" s="302">
        <f>SUM(L383:N383)</f>
        <v>0.76392927148043288</v>
      </c>
    </row>
    <row r="384" spans="1:15" s="236" customFormat="1" x14ac:dyDescent="0.2">
      <c r="A384" s="237" t="str">
        <f>name!E$5</f>
        <v>Professional occupations</v>
      </c>
      <c r="B384" s="302">
        <v>0.47825939739797818</v>
      </c>
      <c r="C384" s="302">
        <v>2.464324173646747E-2</v>
      </c>
      <c r="D384" s="302">
        <v>2.1714361862029134E-2</v>
      </c>
      <c r="E384" s="302">
        <f t="shared" ref="E384:E391" si="175">SUM(B384:D384)</f>
        <v>0.52461700099647479</v>
      </c>
      <c r="F384" s="303"/>
      <c r="G384" s="302">
        <v>0.76740718673605257</v>
      </c>
      <c r="H384" s="302">
        <v>7.9326914494401712E-2</v>
      </c>
      <c r="I384" s="302">
        <v>2.1433353475396131E-2</v>
      </c>
      <c r="J384" s="302">
        <f t="shared" ref="J384:J386" si="176">SUM(G384:I384)</f>
        <v>0.86816745470585044</v>
      </c>
      <c r="K384" s="303"/>
      <c r="L384" s="302">
        <v>1.0666132456663517</v>
      </c>
      <c r="M384" s="302">
        <v>9.8264123435107334E-2</v>
      </c>
      <c r="N384" s="302">
        <v>1.4384289409057806E-2</v>
      </c>
      <c r="O384" s="302">
        <f t="shared" ref="O384:O391" si="177">SUM(L384:N384)</f>
        <v>1.1792616585105169</v>
      </c>
    </row>
    <row r="385" spans="1:15" s="236" customFormat="1" x14ac:dyDescent="0.2">
      <c r="A385" s="237" t="str">
        <f>name!E$6</f>
        <v>Associate professional occupations</v>
      </c>
      <c r="B385" s="302">
        <v>0.38946719685857317</v>
      </c>
      <c r="C385" s="302">
        <v>3.3383412341761384E-2</v>
      </c>
      <c r="D385" s="302">
        <v>2.0647402774016776E-2</v>
      </c>
      <c r="E385" s="302">
        <f t="shared" si="175"/>
        <v>0.44349801197435135</v>
      </c>
      <c r="F385" s="303"/>
      <c r="G385" s="302">
        <v>0.5288581180489641</v>
      </c>
      <c r="H385" s="302">
        <v>6.2994425218617339E-2</v>
      </c>
      <c r="I385" s="302">
        <v>1.9640539800858895E-2</v>
      </c>
      <c r="J385" s="302">
        <f t="shared" si="176"/>
        <v>0.6114930830684403</v>
      </c>
      <c r="K385" s="303"/>
      <c r="L385" s="302">
        <v>0.53283151596099887</v>
      </c>
      <c r="M385" s="302">
        <v>4.3732544628833823E-2</v>
      </c>
      <c r="N385" s="302">
        <v>1.3104394771128203E-2</v>
      </c>
      <c r="O385" s="302">
        <f t="shared" si="177"/>
        <v>0.58966845536096091</v>
      </c>
    </row>
    <row r="386" spans="1:15" s="236" customFormat="1" x14ac:dyDescent="0.2">
      <c r="A386" s="237" t="str">
        <f>name!E$7</f>
        <v>Administrative and secretarial occupations</v>
      </c>
      <c r="B386" s="302">
        <v>0.72744465295713845</v>
      </c>
      <c r="C386" s="302">
        <v>0.17351114460465272</v>
      </c>
      <c r="D386" s="302">
        <v>9.2164376105252598E-3</v>
      </c>
      <c r="E386" s="302">
        <f t="shared" si="175"/>
        <v>0.91017223517231649</v>
      </c>
      <c r="F386" s="303"/>
      <c r="G386" s="302">
        <v>0.74253194162454461</v>
      </c>
      <c r="H386" s="302">
        <v>0.16998238540140623</v>
      </c>
      <c r="I386" s="302">
        <v>7.5686066765893881E-3</v>
      </c>
      <c r="J386" s="302">
        <f t="shared" si="176"/>
        <v>0.92008293370254024</v>
      </c>
      <c r="K386" s="303"/>
      <c r="L386" s="302">
        <v>0.5798491259931442</v>
      </c>
      <c r="M386" s="302">
        <v>9.9124579602512766E-2</v>
      </c>
      <c r="N386" s="302">
        <v>6.8052632257749462E-3</v>
      </c>
      <c r="O386" s="302">
        <f t="shared" si="177"/>
        <v>0.68577896882143186</v>
      </c>
    </row>
    <row r="387" spans="1:15" s="236" customFormat="1" x14ac:dyDescent="0.2">
      <c r="A387" s="237" t="str">
        <f>name!E$8</f>
        <v>Skilled trades occupations</v>
      </c>
      <c r="B387" s="302">
        <v>0.84068695451472841</v>
      </c>
      <c r="C387" s="302">
        <v>3.8781728248412771E-2</v>
      </c>
      <c r="D387" s="302">
        <v>0.47414688280142786</v>
      </c>
      <c r="E387" s="302">
        <f t="shared" si="175"/>
        <v>1.353615565564569</v>
      </c>
      <c r="F387" s="303"/>
      <c r="G387" s="302">
        <v>0.72759534319687702</v>
      </c>
      <c r="H387" s="302">
        <v>6.4096869049729305E-2</v>
      </c>
      <c r="I387" s="302">
        <v>0.35438029157403766</v>
      </c>
      <c r="J387" s="302">
        <f>SUM(G387:I387)</f>
        <v>1.1460725038206441</v>
      </c>
      <c r="K387" s="303"/>
      <c r="L387" s="302">
        <v>0.48505409364318547</v>
      </c>
      <c r="M387" s="302">
        <v>6.7123204670096609E-2</v>
      </c>
      <c r="N387" s="302">
        <v>0.25854121970881455</v>
      </c>
      <c r="O387" s="302">
        <f t="shared" si="177"/>
        <v>0.8107185180220966</v>
      </c>
    </row>
    <row r="388" spans="1:15" s="236" customFormat="1" x14ac:dyDescent="0.2">
      <c r="A388" s="237" t="str">
        <f>name!E$9</f>
        <v>Caring, leisure and other service occupations</v>
      </c>
      <c r="B388" s="302">
        <v>2.2995782605836457E-2</v>
      </c>
      <c r="C388" s="302">
        <v>1.4066505625016839E-2</v>
      </c>
      <c r="D388" s="302">
        <v>2.1985712250402467E-3</v>
      </c>
      <c r="E388" s="302">
        <f t="shared" si="175"/>
        <v>3.926085945589354E-2</v>
      </c>
      <c r="F388" s="303"/>
      <c r="G388" s="302">
        <v>2.2756761073706017E-2</v>
      </c>
      <c r="H388" s="302">
        <v>1.60278619873842E-2</v>
      </c>
      <c r="I388" s="302">
        <v>2.1060948976234207E-3</v>
      </c>
      <c r="J388" s="302">
        <f t="shared" ref="J388:J391" si="178">SUM(G388:I388)</f>
        <v>4.0890717958713643E-2</v>
      </c>
      <c r="K388" s="303"/>
      <c r="L388" s="302">
        <v>2.3412381282871101E-2</v>
      </c>
      <c r="M388" s="302">
        <v>1.2681868690090007E-2</v>
      </c>
      <c r="N388" s="302">
        <v>2.4150666992764631E-3</v>
      </c>
      <c r="O388" s="302">
        <f t="shared" si="177"/>
        <v>3.8509316672237573E-2</v>
      </c>
    </row>
    <row r="389" spans="1:15" s="236" customFormat="1" x14ac:dyDescent="0.2">
      <c r="A389" s="237" t="str">
        <f>name!E$10</f>
        <v>Sales and customer service occupations</v>
      </c>
      <c r="B389" s="302">
        <v>0.26904871377849238</v>
      </c>
      <c r="C389" s="302">
        <v>5.2247996235476504E-2</v>
      </c>
      <c r="D389" s="302">
        <v>1.5349721017972039E-2</v>
      </c>
      <c r="E389" s="302">
        <f t="shared" si="175"/>
        <v>0.33664643103194092</v>
      </c>
      <c r="F389" s="303"/>
      <c r="G389" s="302">
        <v>0.25414758167749391</v>
      </c>
      <c r="H389" s="302">
        <v>4.9928695170228063E-2</v>
      </c>
      <c r="I389" s="302">
        <v>1.1711020973222873E-2</v>
      </c>
      <c r="J389" s="302">
        <f t="shared" si="178"/>
        <v>0.31578729782094483</v>
      </c>
      <c r="K389" s="303"/>
      <c r="L389" s="302">
        <v>0.22997714010765413</v>
      </c>
      <c r="M389" s="302">
        <v>4.0501826116674543E-2</v>
      </c>
      <c r="N389" s="302">
        <v>7.719915025194716E-3</v>
      </c>
      <c r="O389" s="302">
        <f t="shared" si="177"/>
        <v>0.27819888124952336</v>
      </c>
    </row>
    <row r="390" spans="1:15" s="236" customFormat="1" x14ac:dyDescent="0.2">
      <c r="A390" s="237" t="str">
        <f>name!E$11</f>
        <v>Process, plant and machine operatives</v>
      </c>
      <c r="B390" s="302">
        <v>0.83240369737565167</v>
      </c>
      <c r="C390" s="302">
        <v>9.2397647489129861E-2</v>
      </c>
      <c r="D390" s="302">
        <v>7.1207127513361737E-2</v>
      </c>
      <c r="E390" s="302">
        <f t="shared" si="175"/>
        <v>0.99600847237814327</v>
      </c>
      <c r="F390" s="303"/>
      <c r="G390" s="302">
        <v>0.64630242224885615</v>
      </c>
      <c r="H390" s="302">
        <v>0.1508095119651445</v>
      </c>
      <c r="I390" s="302">
        <v>7.1176170819590961E-2</v>
      </c>
      <c r="J390" s="302">
        <f t="shared" si="178"/>
        <v>0.86828810503359155</v>
      </c>
      <c r="K390" s="303"/>
      <c r="L390" s="302">
        <v>0.5612324001717105</v>
      </c>
      <c r="M390" s="302">
        <v>0.19817389076555508</v>
      </c>
      <c r="N390" s="302">
        <v>6.2015931006506049E-2</v>
      </c>
      <c r="O390" s="302">
        <f t="shared" si="177"/>
        <v>0.82142222194377168</v>
      </c>
    </row>
    <row r="391" spans="1:15" s="236" customFormat="1" x14ac:dyDescent="0.2">
      <c r="A391" s="237" t="str">
        <f>name!E$12</f>
        <v>Elementary occupations</v>
      </c>
      <c r="B391" s="302">
        <v>0.45007800260880404</v>
      </c>
      <c r="C391" s="302">
        <v>5.836937591459055E-2</v>
      </c>
      <c r="D391" s="302">
        <v>1.1422986353932301E-2</v>
      </c>
      <c r="E391" s="302">
        <f t="shared" si="175"/>
        <v>0.51987036487732696</v>
      </c>
      <c r="F391" s="303"/>
      <c r="G391" s="302">
        <v>0.3440281545425653</v>
      </c>
      <c r="H391" s="302">
        <v>5.4947416815855965E-2</v>
      </c>
      <c r="I391" s="302">
        <v>5.9900953310796107E-3</v>
      </c>
      <c r="J391" s="302">
        <f t="shared" si="178"/>
        <v>0.4049656666895009</v>
      </c>
      <c r="K391" s="303"/>
      <c r="L391" s="302">
        <v>0.18992491358613348</v>
      </c>
      <c r="M391" s="302">
        <v>2.809976642968828E-2</v>
      </c>
      <c r="N391" s="302">
        <v>5.4880279274115932E-3</v>
      </c>
      <c r="O391" s="302">
        <f t="shared" si="177"/>
        <v>0.22351270794323336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32</v>
      </c>
      <c r="B393" s="311">
        <f>SUM(B383:B391)</f>
        <v>4.4669999999638952</v>
      </c>
      <c r="C393" s="311">
        <f t="shared" ref="C393:E393" si="179">SUM(C383:C391)</f>
        <v>0.51500000001127144</v>
      </c>
      <c r="D393" s="311">
        <f t="shared" si="179"/>
        <v>0.68699999999772265</v>
      </c>
      <c r="E393" s="311">
        <f t="shared" si="179"/>
        <v>5.6689999999728897</v>
      </c>
      <c r="F393" s="311"/>
      <c r="G393" s="311">
        <f t="shared" ref="G393:J393" si="180">SUM(G383:G391)</f>
        <v>4.6289999999908567</v>
      </c>
      <c r="H393" s="311">
        <f t="shared" si="180"/>
        <v>0.72400000001131937</v>
      </c>
      <c r="I393" s="311">
        <f t="shared" si="180"/>
        <v>0.56399999999623363</v>
      </c>
      <c r="J393" s="311">
        <f t="shared" si="180"/>
        <v>5.9169999999984091</v>
      </c>
      <c r="K393" s="311"/>
      <c r="L393" s="311">
        <f t="shared" ref="L393:O393" si="181">SUM(L383:L391)</f>
        <v>4.3010000000086581</v>
      </c>
      <c r="M393" s="311">
        <f t="shared" si="181"/>
        <v>0.6619999999955779</v>
      </c>
      <c r="N393" s="311">
        <f t="shared" si="181"/>
        <v>0.42799999999996979</v>
      </c>
      <c r="O393" s="311">
        <f t="shared" si="181"/>
        <v>5.3910000000042055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  <row r="395" spans="1:15" s="236" customFormat="1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40"/>
      <c r="O395" s="251" t="s">
        <v>35</v>
      </c>
    </row>
    <row r="396" spans="1:15" s="236" customFormat="1" x14ac:dyDescent="0.2">
      <c r="A396" s="242"/>
      <c r="B396" s="242"/>
      <c r="C396" s="242"/>
      <c r="D396" s="242"/>
      <c r="E396" s="242"/>
      <c r="F396" s="242"/>
      <c r="G396" s="242"/>
      <c r="H396" s="242"/>
      <c r="I396" s="242"/>
      <c r="J396" s="242"/>
      <c r="K396" s="242"/>
      <c r="L396" s="242"/>
      <c r="M396" s="242"/>
      <c r="N396" s="242"/>
      <c r="O396" s="242"/>
    </row>
    <row r="397" spans="1:15" s="236" customFormat="1" x14ac:dyDescent="0.2">
      <c r="A397" s="241" t="str">
        <f>name!A26</f>
        <v>Repair and installation</v>
      </c>
      <c r="B397" s="374">
        <f>$B$6</f>
        <v>2015</v>
      </c>
      <c r="C397" s="374"/>
      <c r="D397" s="374"/>
      <c r="E397" s="374"/>
      <c r="F397" s="263"/>
      <c r="G397" s="374">
        <f>$G$6</f>
        <v>2020</v>
      </c>
      <c r="H397" s="374"/>
      <c r="I397" s="374"/>
      <c r="J397" s="374"/>
      <c r="K397" s="263"/>
      <c r="L397" s="374">
        <f>$L$6</f>
        <v>2035</v>
      </c>
      <c r="M397" s="374"/>
      <c r="N397" s="374"/>
      <c r="O397" s="374"/>
    </row>
    <row r="398" spans="1:15" s="236" customFormat="1" x14ac:dyDescent="0.2">
      <c r="A398" s="254"/>
      <c r="B398" s="268" t="str">
        <f>$B$7</f>
        <v>FT</v>
      </c>
      <c r="C398" s="268" t="str">
        <f>$C$7</f>
        <v>PT</v>
      </c>
      <c r="D398" s="268" t="str">
        <f>$D$7</f>
        <v>SE</v>
      </c>
      <c r="E398" s="268" t="str">
        <f>$E$7</f>
        <v>Total</v>
      </c>
      <c r="F398" s="268"/>
      <c r="G398" s="268" t="str">
        <f>$G$7</f>
        <v>FT</v>
      </c>
      <c r="H398" s="268" t="str">
        <f>$H$7</f>
        <v>PT</v>
      </c>
      <c r="I398" s="268" t="str">
        <f>$I$7</f>
        <v>SE</v>
      </c>
      <c r="J398" s="268" t="str">
        <f>$J$7</f>
        <v>Total</v>
      </c>
      <c r="K398" s="268"/>
      <c r="L398" s="268" t="str">
        <f>$L$7</f>
        <v>FT</v>
      </c>
      <c r="M398" s="268" t="str">
        <f>$M$7</f>
        <v>PT</v>
      </c>
      <c r="N398" s="268" t="str">
        <f>$N$7</f>
        <v>SE</v>
      </c>
      <c r="O398" s="268" t="str">
        <f>$O$7</f>
        <v>Total</v>
      </c>
    </row>
    <row r="399" spans="1:15" s="236" customFormat="1" x14ac:dyDescent="0.2">
      <c r="A399" s="258"/>
      <c r="B399" s="239"/>
      <c r="C399" s="239"/>
      <c r="D399" s="239"/>
      <c r="E399" s="239"/>
      <c r="F399" s="239"/>
      <c r="G399" s="239"/>
      <c r="H399" s="239"/>
      <c r="I399" s="239"/>
      <c r="J399" s="239"/>
      <c r="K399" s="239"/>
      <c r="L399" s="239"/>
      <c r="M399" s="239"/>
      <c r="N399" s="239"/>
      <c r="O399" s="239"/>
    </row>
    <row r="400" spans="1:15" s="236" customFormat="1" x14ac:dyDescent="0.2">
      <c r="A400" s="237" t="str">
        <f>name!E$4</f>
        <v>Managers, directors and senior officials</v>
      </c>
      <c r="B400" s="302">
        <v>0.74414381194519874</v>
      </c>
      <c r="C400" s="302">
        <v>0.11037985806018669</v>
      </c>
      <c r="D400" s="302">
        <v>0.3480618584011409</v>
      </c>
      <c r="E400" s="302">
        <f>SUM(B400:D400)</f>
        <v>1.2025855284065263</v>
      </c>
      <c r="F400" s="303"/>
      <c r="G400" s="302">
        <v>0.95586256861449248</v>
      </c>
      <c r="H400" s="302">
        <v>0.1022909412595958</v>
      </c>
      <c r="I400" s="302">
        <v>0.50500088760739914</v>
      </c>
      <c r="J400" s="302">
        <f>SUM(G400:I400)</f>
        <v>1.5631543974814872</v>
      </c>
      <c r="K400" s="303"/>
      <c r="L400" s="302">
        <v>0.83071858446772762</v>
      </c>
      <c r="M400" s="302">
        <v>0.10732492920103158</v>
      </c>
      <c r="N400" s="302">
        <v>0.61337991686614757</v>
      </c>
      <c r="O400" s="302">
        <f>SUM(L400:N400)</f>
        <v>1.5514234305349066</v>
      </c>
    </row>
    <row r="401" spans="1:15" s="236" customFormat="1" x14ac:dyDescent="0.2">
      <c r="A401" s="237" t="str">
        <f>name!E$5</f>
        <v>Professional occupations</v>
      </c>
      <c r="B401" s="302">
        <v>1.8739300599110402</v>
      </c>
      <c r="C401" s="302">
        <v>0.10288546698531426</v>
      </c>
      <c r="D401" s="302">
        <v>0.23784426062846115</v>
      </c>
      <c r="E401" s="302">
        <f t="shared" ref="E401:E408" si="182">SUM(B401:D401)</f>
        <v>2.2146597875248157</v>
      </c>
      <c r="F401" s="303"/>
      <c r="G401" s="302">
        <v>2.7490793152407678</v>
      </c>
      <c r="H401" s="302">
        <v>8.6832981960202629E-2</v>
      </c>
      <c r="I401" s="302">
        <v>0.30705854183203418</v>
      </c>
      <c r="J401" s="302">
        <f t="shared" ref="J401:J403" si="183">SUM(G401:I401)</f>
        <v>3.1429708390330049</v>
      </c>
      <c r="K401" s="303"/>
      <c r="L401" s="302">
        <v>3.0041496071991562</v>
      </c>
      <c r="M401" s="302">
        <v>8.0024918570738846E-2</v>
      </c>
      <c r="N401" s="302">
        <v>0.24914113894683221</v>
      </c>
      <c r="O401" s="302">
        <f t="shared" ref="O401:O408" si="184">SUM(L401:N401)</f>
        <v>3.3333156647167272</v>
      </c>
    </row>
    <row r="402" spans="1:15" s="236" customFormat="1" x14ac:dyDescent="0.2">
      <c r="A402" s="237" t="str">
        <f>name!E$6</f>
        <v>Associate professional occupations</v>
      </c>
      <c r="B402" s="302">
        <v>0.8477541310346669</v>
      </c>
      <c r="C402" s="302">
        <v>8.3373331452661237E-2</v>
      </c>
      <c r="D402" s="302">
        <v>0.11316268238877128</v>
      </c>
      <c r="E402" s="302">
        <f t="shared" si="182"/>
        <v>1.0442901448760995</v>
      </c>
      <c r="F402" s="303"/>
      <c r="G402" s="302">
        <v>1.185616877094321</v>
      </c>
      <c r="H402" s="302">
        <v>6.3370247799801493E-2</v>
      </c>
      <c r="I402" s="302">
        <v>0.14003360345259186</v>
      </c>
      <c r="J402" s="302">
        <f t="shared" si="183"/>
        <v>1.3890207283467144</v>
      </c>
      <c r="K402" s="303"/>
      <c r="L402" s="302">
        <v>0.96731120565111106</v>
      </c>
      <c r="M402" s="302">
        <v>4.3274885646267677E-2</v>
      </c>
      <c r="N402" s="302">
        <v>0.16985150513457836</v>
      </c>
      <c r="O402" s="302">
        <f t="shared" si="184"/>
        <v>1.1804375964319571</v>
      </c>
    </row>
    <row r="403" spans="1:15" s="236" customFormat="1" x14ac:dyDescent="0.2">
      <c r="A403" s="237" t="str">
        <f>name!E$7</f>
        <v>Administrative and secretarial occupations</v>
      </c>
      <c r="B403" s="302">
        <v>0.60186500220330608</v>
      </c>
      <c r="C403" s="302">
        <v>0.30551067760762834</v>
      </c>
      <c r="D403" s="302">
        <v>7.1604768435599486E-2</v>
      </c>
      <c r="E403" s="302">
        <f t="shared" si="182"/>
        <v>0.97898044824653396</v>
      </c>
      <c r="F403" s="303"/>
      <c r="G403" s="302">
        <v>0.71045146823448457</v>
      </c>
      <c r="H403" s="302">
        <v>0.11276706480377627</v>
      </c>
      <c r="I403" s="302">
        <v>4.8374066574347077E-2</v>
      </c>
      <c r="J403" s="302">
        <f t="shared" si="183"/>
        <v>0.87159259961260793</v>
      </c>
      <c r="K403" s="303"/>
      <c r="L403" s="302">
        <v>0.57492366860557265</v>
      </c>
      <c r="M403" s="302">
        <v>8.3916015576454242E-2</v>
      </c>
      <c r="N403" s="302">
        <v>5.7063249003182506E-2</v>
      </c>
      <c r="O403" s="302">
        <f t="shared" si="184"/>
        <v>0.71590293318520937</v>
      </c>
    </row>
    <row r="404" spans="1:15" s="236" customFormat="1" x14ac:dyDescent="0.2">
      <c r="A404" s="237" t="str">
        <f>name!E$8</f>
        <v>Skilled trades occupations</v>
      </c>
      <c r="B404" s="302">
        <v>2.2400103417176869</v>
      </c>
      <c r="C404" s="302">
        <v>0.15754468777134159</v>
      </c>
      <c r="D404" s="302">
        <v>0.62569034002916912</v>
      </c>
      <c r="E404" s="302">
        <f t="shared" si="182"/>
        <v>3.0232453695181976</v>
      </c>
      <c r="F404" s="303"/>
      <c r="G404" s="302">
        <v>2.2096018757906206</v>
      </c>
      <c r="H404" s="302">
        <v>9.8089314806692918E-2</v>
      </c>
      <c r="I404" s="302">
        <v>0.67591137973791793</v>
      </c>
      <c r="J404" s="302">
        <f>SUM(G404:I404)</f>
        <v>2.9836025703352318</v>
      </c>
      <c r="K404" s="303"/>
      <c r="L404" s="302">
        <v>1.7505321312393216</v>
      </c>
      <c r="M404" s="302">
        <v>9.5458768905351862E-2</v>
      </c>
      <c r="N404" s="302">
        <v>0.74702013240051324</v>
      </c>
      <c r="O404" s="302">
        <f t="shared" si="184"/>
        <v>2.5930110325451867</v>
      </c>
    </row>
    <row r="405" spans="1:15" s="236" customFormat="1" x14ac:dyDescent="0.2">
      <c r="A405" s="237" t="str">
        <f>name!E$9</f>
        <v>Caring, leisure and other service occupations</v>
      </c>
      <c r="B405" s="302">
        <v>5.184821683546003E-2</v>
      </c>
      <c r="C405" s="302">
        <v>1.5919443753947757E-2</v>
      </c>
      <c r="D405" s="302">
        <v>2.0225322207744968E-2</v>
      </c>
      <c r="E405" s="302">
        <f t="shared" si="182"/>
        <v>8.7992982797152744E-2</v>
      </c>
      <c r="F405" s="303"/>
      <c r="G405" s="302">
        <v>5.7651864785394281E-2</v>
      </c>
      <c r="H405" s="302">
        <v>7.0378392983550123E-3</v>
      </c>
      <c r="I405" s="302">
        <v>1.4051234552869397E-2</v>
      </c>
      <c r="J405" s="302">
        <f t="shared" ref="J405:J408" si="185">SUM(G405:I405)</f>
        <v>7.8740938636618699E-2</v>
      </c>
      <c r="K405" s="303"/>
      <c r="L405" s="302">
        <v>6.1917836817035117E-2</v>
      </c>
      <c r="M405" s="302">
        <v>4.6881517124144727E-3</v>
      </c>
      <c r="N405" s="302">
        <v>2.3436075151405281E-2</v>
      </c>
      <c r="O405" s="302">
        <f t="shared" si="184"/>
        <v>9.0042063680854864E-2</v>
      </c>
    </row>
    <row r="406" spans="1:15" s="236" customFormat="1" x14ac:dyDescent="0.2">
      <c r="A406" s="237" t="str">
        <f>name!E$10</f>
        <v>Sales and customer service occupations</v>
      </c>
      <c r="B406" s="302">
        <v>0.18985040131190997</v>
      </c>
      <c r="C406" s="302">
        <v>8.8205005825451252E-2</v>
      </c>
      <c r="D406" s="302">
        <v>3.9068837141180382E-2</v>
      </c>
      <c r="E406" s="302">
        <f t="shared" si="182"/>
        <v>0.31712424427854158</v>
      </c>
      <c r="F406" s="303"/>
      <c r="G406" s="302">
        <v>0.21176487571039326</v>
      </c>
      <c r="H406" s="302">
        <v>5.3278766751609481E-2</v>
      </c>
      <c r="I406" s="302">
        <v>3.3094843216039255E-2</v>
      </c>
      <c r="J406" s="302">
        <f t="shared" si="185"/>
        <v>0.29813848567804202</v>
      </c>
      <c r="K406" s="303"/>
      <c r="L406" s="302">
        <v>0.20988525884398188</v>
      </c>
      <c r="M406" s="302">
        <v>5.9716331302310084E-2</v>
      </c>
      <c r="N406" s="302">
        <v>3.5899063359270511E-2</v>
      </c>
      <c r="O406" s="302">
        <f t="shared" si="184"/>
        <v>0.30550065350556249</v>
      </c>
    </row>
    <row r="407" spans="1:15" s="236" customFormat="1" x14ac:dyDescent="0.2">
      <c r="A407" s="237" t="str">
        <f>name!E$11</f>
        <v>Process, plant and machine operatives</v>
      </c>
      <c r="B407" s="302">
        <v>1.3948282273443504</v>
      </c>
      <c r="C407" s="302">
        <v>0.1549285676114934</v>
      </c>
      <c r="D407" s="302">
        <v>9.7708983603316826E-2</v>
      </c>
      <c r="E407" s="302">
        <f t="shared" si="182"/>
        <v>1.6474657785591607</v>
      </c>
      <c r="F407" s="303"/>
      <c r="G407" s="302">
        <v>1.2432587711474248</v>
      </c>
      <c r="H407" s="302">
        <v>0.10023637898197224</v>
      </c>
      <c r="I407" s="302">
        <v>0.10109116817454204</v>
      </c>
      <c r="J407" s="302">
        <f t="shared" si="185"/>
        <v>1.4445863183039391</v>
      </c>
      <c r="K407" s="303"/>
      <c r="L407" s="302">
        <v>1.3462850478835966</v>
      </c>
      <c r="M407" s="302">
        <v>0.1061733150685361</v>
      </c>
      <c r="N407" s="302">
        <v>0.12404855430411045</v>
      </c>
      <c r="O407" s="302">
        <f t="shared" si="184"/>
        <v>1.5765069172562431</v>
      </c>
    </row>
    <row r="408" spans="1:15" s="236" customFormat="1" x14ac:dyDescent="0.2">
      <c r="A408" s="237" t="str">
        <f>name!E$12</f>
        <v>Elementary occupations</v>
      </c>
      <c r="B408" s="302">
        <v>0.30576980766317841</v>
      </c>
      <c r="C408" s="302">
        <v>6.9252960942290109E-2</v>
      </c>
      <c r="D408" s="302">
        <v>5.9632947160296053E-2</v>
      </c>
      <c r="E408" s="302">
        <f t="shared" si="182"/>
        <v>0.43465571576576456</v>
      </c>
      <c r="F408" s="303"/>
      <c r="G408" s="302">
        <v>0.26571238334528868</v>
      </c>
      <c r="H408" s="302">
        <v>3.3096464341429987E-2</v>
      </c>
      <c r="I408" s="302">
        <v>4.2384274850146612E-2</v>
      </c>
      <c r="J408" s="302">
        <f t="shared" si="185"/>
        <v>0.34119312253686529</v>
      </c>
      <c r="K408" s="303"/>
      <c r="L408" s="302">
        <v>0.14827665928765857</v>
      </c>
      <c r="M408" s="302">
        <v>1.4422684014269556E-2</v>
      </c>
      <c r="N408" s="302">
        <v>5.8160364824575879E-2</v>
      </c>
      <c r="O408" s="302">
        <f t="shared" si="184"/>
        <v>0.22085970812650399</v>
      </c>
    </row>
    <row r="409" spans="1:15" s="236" customFormat="1" x14ac:dyDescent="0.2">
      <c r="A409" s="237"/>
      <c r="B409" s="302"/>
      <c r="C409" s="302"/>
      <c r="D409" s="302"/>
      <c r="E409" s="302"/>
      <c r="F409" s="303"/>
      <c r="G409" s="302"/>
      <c r="H409" s="302"/>
      <c r="I409" s="302"/>
      <c r="J409" s="302"/>
      <c r="K409" s="303"/>
      <c r="L409" s="302"/>
      <c r="M409" s="302"/>
      <c r="N409" s="302"/>
      <c r="O409" s="302"/>
    </row>
    <row r="410" spans="1:15" s="236" customFormat="1" x14ac:dyDescent="0.2">
      <c r="A410" s="244" t="s">
        <v>32</v>
      </c>
      <c r="B410" s="311">
        <f>SUM(B400:B408)</f>
        <v>8.2499999999667981</v>
      </c>
      <c r="C410" s="311">
        <f t="shared" ref="C410:E410" si="186">SUM(C400:C408)</f>
        <v>1.0880000000103145</v>
      </c>
      <c r="D410" s="311">
        <f t="shared" si="186"/>
        <v>1.6129999999956801</v>
      </c>
      <c r="E410" s="311">
        <f t="shared" si="186"/>
        <v>10.950999999972792</v>
      </c>
      <c r="F410" s="311"/>
      <c r="G410" s="311">
        <f t="shared" ref="G410:J410" si="187">SUM(G400:G408)</f>
        <v>9.5889999999631872</v>
      </c>
      <c r="H410" s="311">
        <f t="shared" si="187"/>
        <v>0.65700000000343584</v>
      </c>
      <c r="I410" s="311">
        <f t="shared" si="187"/>
        <v>1.8669999999978875</v>
      </c>
      <c r="J410" s="311">
        <f t="shared" si="187"/>
        <v>12.112999999964511</v>
      </c>
      <c r="K410" s="311"/>
      <c r="L410" s="311">
        <f t="shared" ref="L410:O410" si="188">SUM(L400:L408)</f>
        <v>8.8939999999951613</v>
      </c>
      <c r="M410" s="311">
        <f t="shared" si="188"/>
        <v>0.59499999999737452</v>
      </c>
      <c r="N410" s="311">
        <f t="shared" si="188"/>
        <v>2.0779999999906162</v>
      </c>
      <c r="O410" s="311">
        <f t="shared" si="188"/>
        <v>11.566999999983151</v>
      </c>
    </row>
    <row r="411" spans="1:15" s="236" customFormat="1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40"/>
    </row>
    <row r="412" spans="1:15" s="236" customFormat="1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40"/>
      <c r="O412" s="251" t="s">
        <v>35</v>
      </c>
    </row>
    <row r="413" spans="1:15" s="236" customFormat="1" x14ac:dyDescent="0.2">
      <c r="A413" s="242"/>
      <c r="B413" s="242"/>
      <c r="C413" s="242"/>
      <c r="D413" s="242"/>
      <c r="E413" s="242"/>
      <c r="F413" s="242"/>
      <c r="G413" s="242"/>
      <c r="H413" s="242"/>
      <c r="I413" s="242"/>
      <c r="J413" s="242"/>
      <c r="K413" s="242"/>
      <c r="L413" s="242"/>
      <c r="M413" s="242"/>
      <c r="N413" s="242"/>
      <c r="O413" s="242"/>
    </row>
    <row r="414" spans="1:15" s="236" customFormat="1" x14ac:dyDescent="0.2">
      <c r="A414" s="241" t="str">
        <f>name!A27</f>
        <v>Electricity, gas, etc</v>
      </c>
      <c r="B414" s="374">
        <f>$B$6</f>
        <v>2015</v>
      </c>
      <c r="C414" s="374"/>
      <c r="D414" s="374"/>
      <c r="E414" s="374"/>
      <c r="F414" s="263"/>
      <c r="G414" s="374">
        <f>$G$6</f>
        <v>2020</v>
      </c>
      <c r="H414" s="374"/>
      <c r="I414" s="374"/>
      <c r="J414" s="374"/>
      <c r="K414" s="263"/>
      <c r="L414" s="374">
        <f>$L$6</f>
        <v>2035</v>
      </c>
      <c r="M414" s="374"/>
      <c r="N414" s="374"/>
      <c r="O414" s="374"/>
    </row>
    <row r="415" spans="1:15" s="236" customFormat="1" x14ac:dyDescent="0.2">
      <c r="A415" s="254"/>
      <c r="B415" s="268" t="str">
        <f>$B$7</f>
        <v>FT</v>
      </c>
      <c r="C415" s="268" t="str">
        <f>$C$7</f>
        <v>PT</v>
      </c>
      <c r="D415" s="268" t="str">
        <f>$D$7</f>
        <v>SE</v>
      </c>
      <c r="E415" s="268" t="str">
        <f>$E$7</f>
        <v>Total</v>
      </c>
      <c r="F415" s="268"/>
      <c r="G415" s="268" t="str">
        <f>$G$7</f>
        <v>FT</v>
      </c>
      <c r="H415" s="268" t="str">
        <f>$H$7</f>
        <v>PT</v>
      </c>
      <c r="I415" s="268" t="str">
        <f>$I$7</f>
        <v>SE</v>
      </c>
      <c r="J415" s="268" t="str">
        <f>$J$7</f>
        <v>Total</v>
      </c>
      <c r="K415" s="268"/>
      <c r="L415" s="268" t="str">
        <f>$L$7</f>
        <v>FT</v>
      </c>
      <c r="M415" s="268" t="str">
        <f>$M$7</f>
        <v>PT</v>
      </c>
      <c r="N415" s="268" t="str">
        <f>$N$7</f>
        <v>SE</v>
      </c>
      <c r="O415" s="268" t="str">
        <f>$O$7</f>
        <v>Total</v>
      </c>
    </row>
    <row r="416" spans="1:15" s="236" customFormat="1" x14ac:dyDescent="0.2">
      <c r="A416" s="258"/>
      <c r="B416" s="239"/>
      <c r="C416" s="239"/>
      <c r="D416" s="239"/>
      <c r="E416" s="239"/>
      <c r="F416" s="239"/>
      <c r="G416" s="239"/>
      <c r="H416" s="239"/>
      <c r="I416" s="239"/>
      <c r="J416" s="239"/>
      <c r="K416" s="239"/>
      <c r="L416" s="239"/>
      <c r="M416" s="239"/>
      <c r="N416" s="239"/>
      <c r="O416" s="239"/>
    </row>
    <row r="417" spans="1:15" s="236" customFormat="1" x14ac:dyDescent="0.2">
      <c r="A417" s="237" t="str">
        <f>name!E$4</f>
        <v>Managers, directors and senior officials</v>
      </c>
      <c r="B417" s="302">
        <v>1.5940114013800595</v>
      </c>
      <c r="C417" s="302">
        <v>6.8818298712342879E-2</v>
      </c>
      <c r="D417" s="302">
        <v>0.10016366300707227</v>
      </c>
      <c r="E417" s="302">
        <f>SUM(B417:D417)</f>
        <v>1.7629933630994747</v>
      </c>
      <c r="F417" s="303"/>
      <c r="G417" s="302">
        <v>1.5491857448903976</v>
      </c>
      <c r="H417" s="302">
        <v>5.7423109734673197E-2</v>
      </c>
      <c r="I417" s="302">
        <v>0</v>
      </c>
      <c r="J417" s="302">
        <f>SUM(G417:I417)</f>
        <v>1.6066088546250707</v>
      </c>
      <c r="K417" s="303"/>
      <c r="L417" s="302">
        <v>1.7053098898697656</v>
      </c>
      <c r="M417" s="302">
        <v>5.9190161517915278E-2</v>
      </c>
      <c r="N417" s="302">
        <v>0</v>
      </c>
      <c r="O417" s="302">
        <f>SUM(L417:N417)</f>
        <v>1.764500051387681</v>
      </c>
    </row>
    <row r="418" spans="1:15" s="236" customFormat="1" x14ac:dyDescent="0.2">
      <c r="A418" s="237" t="str">
        <f>name!E$5</f>
        <v>Professional occupations</v>
      </c>
      <c r="B418" s="302">
        <v>3.6648565198728602</v>
      </c>
      <c r="C418" s="302">
        <v>0.12304893620674658</v>
      </c>
      <c r="D418" s="302">
        <v>0.1574391982505827</v>
      </c>
      <c r="E418" s="302">
        <f t="shared" ref="E418:E425" si="189">SUM(B418:D418)</f>
        <v>3.9453446543301895</v>
      </c>
      <c r="F418" s="303"/>
      <c r="G418" s="302">
        <v>3.9489408014515144</v>
      </c>
      <c r="H418" s="302">
        <v>7.0167988447536661E-2</v>
      </c>
      <c r="I418" s="302">
        <v>0</v>
      </c>
      <c r="J418" s="302">
        <f t="shared" ref="J418:J420" si="190">SUM(G418:I418)</f>
        <v>4.0191087898990512</v>
      </c>
      <c r="K418" s="303"/>
      <c r="L418" s="302">
        <v>4.6507508101047712</v>
      </c>
      <c r="M418" s="302">
        <v>7.8550184184650443E-2</v>
      </c>
      <c r="N418" s="302">
        <v>0</v>
      </c>
      <c r="O418" s="302">
        <f t="shared" ref="O418:O425" si="191">SUM(L418:N418)</f>
        <v>4.7293009942894217</v>
      </c>
    </row>
    <row r="419" spans="1:15" s="236" customFormat="1" x14ac:dyDescent="0.2">
      <c r="A419" s="237" t="str">
        <f>name!E$6</f>
        <v>Associate professional occupations</v>
      </c>
      <c r="B419" s="302">
        <v>1.9028244839037964</v>
      </c>
      <c r="C419" s="302">
        <v>0.10371277017620747</v>
      </c>
      <c r="D419" s="302">
        <v>5.0092290583136918E-2</v>
      </c>
      <c r="E419" s="302">
        <f t="shared" si="189"/>
        <v>2.0566295446631409</v>
      </c>
      <c r="F419" s="303"/>
      <c r="G419" s="302">
        <v>1.9980826703618928</v>
      </c>
      <c r="H419" s="302">
        <v>6.9834914247835514E-2</v>
      </c>
      <c r="I419" s="302">
        <v>0</v>
      </c>
      <c r="J419" s="302">
        <f t="shared" si="190"/>
        <v>2.0679175846097282</v>
      </c>
      <c r="K419" s="303"/>
      <c r="L419" s="302">
        <v>1.8019229726998487</v>
      </c>
      <c r="M419" s="302">
        <v>6.9172015813273896E-2</v>
      </c>
      <c r="N419" s="302">
        <v>0</v>
      </c>
      <c r="O419" s="302">
        <f t="shared" si="191"/>
        <v>1.8710949885131225</v>
      </c>
    </row>
    <row r="420" spans="1:15" s="236" customFormat="1" x14ac:dyDescent="0.2">
      <c r="A420" s="237" t="str">
        <f>name!E$7</f>
        <v>Administrative and secretarial occupations</v>
      </c>
      <c r="B420" s="302">
        <v>1.5335510481433008</v>
      </c>
      <c r="C420" s="302">
        <v>0.39007089682766588</v>
      </c>
      <c r="D420" s="302">
        <v>1.576823479420978E-2</v>
      </c>
      <c r="E420" s="302">
        <f t="shared" si="189"/>
        <v>1.9393901797651765</v>
      </c>
      <c r="F420" s="303"/>
      <c r="G420" s="302">
        <v>1.3197514733785563</v>
      </c>
      <c r="H420" s="302">
        <v>0.25568059906286311</v>
      </c>
      <c r="I420" s="302">
        <v>0</v>
      </c>
      <c r="J420" s="302">
        <f t="shared" si="190"/>
        <v>1.5754320724414193</v>
      </c>
      <c r="K420" s="303"/>
      <c r="L420" s="302">
        <v>0.88711638864044673</v>
      </c>
      <c r="M420" s="302">
        <v>0.19798270449839123</v>
      </c>
      <c r="N420" s="302">
        <v>0</v>
      </c>
      <c r="O420" s="302">
        <f t="shared" si="191"/>
        <v>1.085099093138838</v>
      </c>
    </row>
    <row r="421" spans="1:15" s="236" customFormat="1" x14ac:dyDescent="0.2">
      <c r="A421" s="237" t="str">
        <f>name!E$8</f>
        <v>Skilled trades occupations</v>
      </c>
      <c r="B421" s="302">
        <v>3.4465260126795454</v>
      </c>
      <c r="C421" s="302">
        <v>0.20334392754250208</v>
      </c>
      <c r="D421" s="302">
        <v>0.13179178066383826</v>
      </c>
      <c r="E421" s="302">
        <f t="shared" si="189"/>
        <v>3.7816617208858858</v>
      </c>
      <c r="F421" s="303"/>
      <c r="G421" s="302">
        <v>2.3434633583588522</v>
      </c>
      <c r="H421" s="302">
        <v>2.7388661526278325E-2</v>
      </c>
      <c r="I421" s="302">
        <v>0</v>
      </c>
      <c r="J421" s="302">
        <f>SUM(G421:I421)</f>
        <v>2.3708520198851306</v>
      </c>
      <c r="K421" s="303"/>
      <c r="L421" s="302">
        <v>1.9205521209318623</v>
      </c>
      <c r="M421" s="302">
        <v>2.3424316847365911E-2</v>
      </c>
      <c r="N421" s="302">
        <v>0</v>
      </c>
      <c r="O421" s="302">
        <f t="shared" si="191"/>
        <v>1.9439764377792284</v>
      </c>
    </row>
    <row r="422" spans="1:15" s="236" customFormat="1" x14ac:dyDescent="0.2">
      <c r="A422" s="237" t="str">
        <f>name!E$9</f>
        <v>Caring, leisure and other service occupations</v>
      </c>
      <c r="B422" s="302">
        <v>0.31433895502068238</v>
      </c>
      <c r="C422" s="302">
        <v>5.2998925520844078E-2</v>
      </c>
      <c r="D422" s="302">
        <v>2.567623061487413E-3</v>
      </c>
      <c r="E422" s="302">
        <f t="shared" si="189"/>
        <v>0.36990550360301383</v>
      </c>
      <c r="F422" s="303"/>
      <c r="G422" s="302">
        <v>0.25483506485746693</v>
      </c>
      <c r="H422" s="302">
        <v>2.5221481126043065E-2</v>
      </c>
      <c r="I422" s="302">
        <v>0</v>
      </c>
      <c r="J422" s="302">
        <f t="shared" ref="J422:J425" si="192">SUM(G422:I422)</f>
        <v>0.28005654598350999</v>
      </c>
      <c r="K422" s="303"/>
      <c r="L422" s="302">
        <v>0.2740643845962929</v>
      </c>
      <c r="M422" s="302">
        <v>2.0465503745631025E-2</v>
      </c>
      <c r="N422" s="302">
        <v>0</v>
      </c>
      <c r="O422" s="302">
        <f t="shared" si="191"/>
        <v>0.29452988834192395</v>
      </c>
    </row>
    <row r="423" spans="1:15" s="236" customFormat="1" x14ac:dyDescent="0.2">
      <c r="A423" s="237" t="str">
        <f>name!E$10</f>
        <v>Sales and customer service occupations</v>
      </c>
      <c r="B423" s="302">
        <v>1.3382983032175999</v>
      </c>
      <c r="C423" s="302">
        <v>0.70113672329591148</v>
      </c>
      <c r="D423" s="302">
        <v>9.9182459938765108E-2</v>
      </c>
      <c r="E423" s="302">
        <f t="shared" si="189"/>
        <v>2.1386174864522767</v>
      </c>
      <c r="F423" s="303"/>
      <c r="G423" s="302">
        <v>1.1485498726436931</v>
      </c>
      <c r="H423" s="302">
        <v>0.40315951279868839</v>
      </c>
      <c r="I423" s="302">
        <v>0</v>
      </c>
      <c r="J423" s="302">
        <f t="shared" si="192"/>
        <v>1.5517093854423816</v>
      </c>
      <c r="K423" s="303"/>
      <c r="L423" s="302">
        <v>1.3213690395560989</v>
      </c>
      <c r="M423" s="302">
        <v>0.4958672218081222</v>
      </c>
      <c r="N423" s="302">
        <v>0</v>
      </c>
      <c r="O423" s="302">
        <f t="shared" si="191"/>
        <v>1.817236261364221</v>
      </c>
    </row>
    <row r="424" spans="1:15" s="236" customFormat="1" x14ac:dyDescent="0.2">
      <c r="A424" s="237" t="str">
        <f>name!E$11</f>
        <v>Process, plant and machine operatives</v>
      </c>
      <c r="B424" s="302">
        <v>0.61611270134469254</v>
      </c>
      <c r="C424" s="302">
        <v>5.4611644609676172E-2</v>
      </c>
      <c r="D424" s="302">
        <v>5.6890526088307858E-2</v>
      </c>
      <c r="E424" s="302">
        <f t="shared" si="189"/>
        <v>0.7276148720426765</v>
      </c>
      <c r="F424" s="303"/>
      <c r="G424" s="302">
        <v>0.42862343443511997</v>
      </c>
      <c r="H424" s="302">
        <v>1.2456046533856544E-2</v>
      </c>
      <c r="I424" s="302">
        <v>0</v>
      </c>
      <c r="J424" s="302">
        <f t="shared" si="192"/>
        <v>0.44107948096897653</v>
      </c>
      <c r="K424" s="303"/>
      <c r="L424" s="302">
        <v>0.48616340221298998</v>
      </c>
      <c r="M424" s="302">
        <v>1.7727353034043866E-2</v>
      </c>
      <c r="N424" s="302">
        <v>0</v>
      </c>
      <c r="O424" s="302">
        <f t="shared" si="191"/>
        <v>0.50389075524703386</v>
      </c>
    </row>
    <row r="425" spans="1:15" s="236" customFormat="1" x14ac:dyDescent="0.2">
      <c r="A425" s="237" t="str">
        <f>name!E$12</f>
        <v>Elementary occupations</v>
      </c>
      <c r="B425" s="302">
        <v>0.11748057443970354</v>
      </c>
      <c r="C425" s="302">
        <v>0.11425787712995762</v>
      </c>
      <c r="D425" s="302">
        <v>5.3104223618733612E-2</v>
      </c>
      <c r="E425" s="302">
        <f t="shared" si="189"/>
        <v>0.28484267518839479</v>
      </c>
      <c r="F425" s="303"/>
      <c r="G425" s="302">
        <v>8.3567579498798034E-2</v>
      </c>
      <c r="H425" s="302">
        <v>5.866768654001444E-2</v>
      </c>
      <c r="I425" s="302">
        <v>0</v>
      </c>
      <c r="J425" s="302">
        <f t="shared" si="192"/>
        <v>0.14223526603881248</v>
      </c>
      <c r="K425" s="303"/>
      <c r="L425" s="302">
        <v>4.4750991227222203E-2</v>
      </c>
      <c r="M425" s="302">
        <v>3.062053853992135E-2</v>
      </c>
      <c r="N425" s="302">
        <v>0</v>
      </c>
      <c r="O425" s="302">
        <f t="shared" si="191"/>
        <v>7.537152976714355E-2</v>
      </c>
    </row>
    <row r="426" spans="1:15" s="236" customFormat="1" x14ac:dyDescent="0.2">
      <c r="A426" s="237"/>
      <c r="B426" s="302"/>
      <c r="C426" s="302"/>
      <c r="D426" s="302"/>
      <c r="E426" s="302"/>
      <c r="F426" s="303"/>
      <c r="G426" s="302"/>
      <c r="H426" s="302"/>
      <c r="I426" s="302"/>
      <c r="J426" s="302"/>
      <c r="K426" s="303"/>
      <c r="L426" s="302"/>
      <c r="M426" s="302"/>
      <c r="N426" s="302"/>
      <c r="O426" s="302"/>
    </row>
    <row r="427" spans="1:15" s="236" customFormat="1" x14ac:dyDescent="0.2">
      <c r="A427" s="244" t="s">
        <v>32</v>
      </c>
      <c r="B427" s="311">
        <f>SUM(B417:B425)</f>
        <v>14.528000000002239</v>
      </c>
      <c r="C427" s="311">
        <f t="shared" ref="C427:E427" si="193">SUM(C417:C425)</f>
        <v>1.8120000000218544</v>
      </c>
      <c r="D427" s="311">
        <f t="shared" si="193"/>
        <v>0.6670000000061338</v>
      </c>
      <c r="E427" s="311">
        <f t="shared" si="193"/>
        <v>17.007000000030228</v>
      </c>
      <c r="F427" s="311"/>
      <c r="G427" s="311">
        <f t="shared" ref="G427:J427" si="194">SUM(G417:G425)</f>
        <v>13.074999999876292</v>
      </c>
      <c r="H427" s="311">
        <f t="shared" si="194"/>
        <v>0.98000000001778931</v>
      </c>
      <c r="I427" s="311">
        <f t="shared" si="194"/>
        <v>0</v>
      </c>
      <c r="J427" s="311">
        <f t="shared" si="194"/>
        <v>14.054999999894079</v>
      </c>
      <c r="K427" s="311"/>
      <c r="L427" s="311">
        <f t="shared" ref="L427:O427" si="195">SUM(L417:L425)</f>
        <v>13.091999999839299</v>
      </c>
      <c r="M427" s="311">
        <f t="shared" si="195"/>
        <v>0.99299999998931521</v>
      </c>
      <c r="N427" s="311">
        <f t="shared" si="195"/>
        <v>0</v>
      </c>
      <c r="O427" s="311">
        <f t="shared" si="195"/>
        <v>14.084999999828613</v>
      </c>
    </row>
    <row r="428" spans="1:15" s="236" customFormat="1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40"/>
    </row>
    <row r="429" spans="1:15" s="236" customFormat="1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40"/>
      <c r="O429" s="251" t="s">
        <v>35</v>
      </c>
    </row>
    <row r="430" spans="1:15" s="236" customFormat="1" x14ac:dyDescent="0.2">
      <c r="A430" s="242"/>
      <c r="B430" s="242"/>
      <c r="C430" s="242"/>
      <c r="D430" s="242"/>
      <c r="E430" s="242"/>
      <c r="F430" s="242"/>
      <c r="G430" s="242"/>
      <c r="H430" s="242"/>
      <c r="I430" s="242"/>
      <c r="J430" s="242"/>
      <c r="K430" s="242"/>
      <c r="L430" s="242"/>
      <c r="M430" s="242"/>
      <c r="N430" s="242"/>
      <c r="O430" s="242"/>
    </row>
    <row r="431" spans="1:15" s="236" customFormat="1" x14ac:dyDescent="0.2">
      <c r="A431" s="241" t="str">
        <f>name!A28</f>
        <v>Water</v>
      </c>
      <c r="B431" s="374">
        <f>$B$6</f>
        <v>2015</v>
      </c>
      <c r="C431" s="374"/>
      <c r="D431" s="374"/>
      <c r="E431" s="374"/>
      <c r="F431" s="263"/>
      <c r="G431" s="374">
        <f>$G$6</f>
        <v>2020</v>
      </c>
      <c r="H431" s="374"/>
      <c r="I431" s="374"/>
      <c r="J431" s="374"/>
      <c r="K431" s="263"/>
      <c r="L431" s="374">
        <f>$L$6</f>
        <v>2035</v>
      </c>
      <c r="M431" s="374"/>
      <c r="N431" s="374"/>
      <c r="O431" s="374"/>
    </row>
    <row r="432" spans="1:15" s="236" customFormat="1" x14ac:dyDescent="0.2">
      <c r="A432" s="254"/>
      <c r="B432" s="268" t="str">
        <f>$B$7</f>
        <v>FT</v>
      </c>
      <c r="C432" s="268" t="str">
        <f>$C$7</f>
        <v>PT</v>
      </c>
      <c r="D432" s="268" t="str">
        <f>$D$7</f>
        <v>SE</v>
      </c>
      <c r="E432" s="268" t="str">
        <f>$E$7</f>
        <v>Total</v>
      </c>
      <c r="F432" s="268"/>
      <c r="G432" s="268" t="str">
        <f>$G$7</f>
        <v>FT</v>
      </c>
      <c r="H432" s="268" t="str">
        <f>$H$7</f>
        <v>PT</v>
      </c>
      <c r="I432" s="268" t="str">
        <f>$I$7</f>
        <v>SE</v>
      </c>
      <c r="J432" s="268" t="str">
        <f>$J$7</f>
        <v>Total</v>
      </c>
      <c r="K432" s="268"/>
      <c r="L432" s="268" t="str">
        <f>$L$7</f>
        <v>FT</v>
      </c>
      <c r="M432" s="268" t="str">
        <f>$M$7</f>
        <v>PT</v>
      </c>
      <c r="N432" s="268" t="str">
        <f>$N$7</f>
        <v>SE</v>
      </c>
      <c r="O432" s="268" t="str">
        <f>$O$7</f>
        <v>Total</v>
      </c>
    </row>
    <row r="433" spans="1:15" s="236" customFormat="1" x14ac:dyDescent="0.2">
      <c r="A433" s="258"/>
      <c r="B433" s="239"/>
      <c r="C433" s="239"/>
      <c r="D433" s="239"/>
      <c r="E433" s="239"/>
      <c r="F433" s="239"/>
      <c r="G433" s="239"/>
      <c r="H433" s="239"/>
      <c r="I433" s="239"/>
      <c r="J433" s="239"/>
      <c r="K433" s="239"/>
      <c r="L433" s="239"/>
      <c r="M433" s="239"/>
      <c r="N433" s="239"/>
      <c r="O433" s="239"/>
    </row>
    <row r="434" spans="1:15" s="236" customFormat="1" x14ac:dyDescent="0.2">
      <c r="A434" s="237" t="str">
        <f>name!E$4</f>
        <v>Managers, directors and senior officials</v>
      </c>
      <c r="B434" s="302">
        <v>0.23038050009966923</v>
      </c>
      <c r="C434" s="302">
        <v>1.7019272629033529E-2</v>
      </c>
      <c r="D434" s="302">
        <v>1.1390581017632314E-3</v>
      </c>
      <c r="E434" s="302">
        <f>SUM(B434:D434)</f>
        <v>0.24853883083046599</v>
      </c>
      <c r="F434" s="303"/>
      <c r="G434" s="302">
        <v>0.31708949292400984</v>
      </c>
      <c r="H434" s="302">
        <v>3.0115931420888625E-2</v>
      </c>
      <c r="I434" s="302">
        <v>4.7149413130381677E-3</v>
      </c>
      <c r="J434" s="302">
        <f>SUM(G434:I434)</f>
        <v>0.35192036565793666</v>
      </c>
      <c r="K434" s="303"/>
      <c r="L434" s="302">
        <v>0.34602816791246876</v>
      </c>
      <c r="M434" s="302">
        <v>3.6690295153698628E-2</v>
      </c>
      <c r="N434" s="302">
        <v>3.1992578302448391E-3</v>
      </c>
      <c r="O434" s="302">
        <f>SUM(L434:N434)</f>
        <v>0.38591772089641224</v>
      </c>
    </row>
    <row r="435" spans="1:15" s="236" customFormat="1" x14ac:dyDescent="0.2">
      <c r="A435" s="237" t="str">
        <f>name!E$5</f>
        <v>Professional occupations</v>
      </c>
      <c r="B435" s="302">
        <v>0.42160889887688191</v>
      </c>
      <c r="C435" s="302">
        <v>2.255564703007382E-2</v>
      </c>
      <c r="D435" s="302">
        <v>4.7463889981949111E-3</v>
      </c>
      <c r="E435" s="302">
        <f t="shared" ref="E435:E442" si="196">SUM(B435:D435)</f>
        <v>0.44891093490515066</v>
      </c>
      <c r="F435" s="303"/>
      <c r="G435" s="302">
        <v>0.6426351955489088</v>
      </c>
      <c r="H435" s="302">
        <v>3.7122609700706181E-2</v>
      </c>
      <c r="I435" s="302">
        <v>4.5453010484670583E-3</v>
      </c>
      <c r="J435" s="302">
        <f t="shared" ref="J435:J437" si="197">SUM(G435:I435)</f>
        <v>0.684303106298082</v>
      </c>
      <c r="K435" s="303"/>
      <c r="L435" s="302">
        <v>0.8386780118387126</v>
      </c>
      <c r="M435" s="302">
        <v>4.5915220286048296E-2</v>
      </c>
      <c r="N435" s="302">
        <v>2.4501589126612404E-3</v>
      </c>
      <c r="O435" s="302">
        <f t="shared" ref="O435:O442" si="198">SUM(L435:N435)</f>
        <v>0.88704339103742214</v>
      </c>
    </row>
    <row r="436" spans="1:15" s="236" customFormat="1" x14ac:dyDescent="0.2">
      <c r="A436" s="237" t="str">
        <f>name!E$6</f>
        <v>Associate professional occupations</v>
      </c>
      <c r="B436" s="302">
        <v>0.23111412248799568</v>
      </c>
      <c r="C436" s="302">
        <v>3.1293159084035675E-2</v>
      </c>
      <c r="D436" s="302">
        <v>6.5545405679113384E-4</v>
      </c>
      <c r="E436" s="302">
        <f t="shared" si="196"/>
        <v>0.26306273562882249</v>
      </c>
      <c r="F436" s="303"/>
      <c r="G436" s="302">
        <v>0.32960167122416328</v>
      </c>
      <c r="H436" s="302">
        <v>4.4126605184775354E-2</v>
      </c>
      <c r="I436" s="302">
        <v>4.1961857818669825E-3</v>
      </c>
      <c r="J436" s="302">
        <f t="shared" si="197"/>
        <v>0.37792446219080561</v>
      </c>
      <c r="K436" s="303"/>
      <c r="L436" s="302">
        <v>0.33161160765025527</v>
      </c>
      <c r="M436" s="302">
        <v>4.3852439961328211E-2</v>
      </c>
      <c r="N436" s="302">
        <v>2.7441073897609991E-3</v>
      </c>
      <c r="O436" s="302">
        <f t="shared" si="198"/>
        <v>0.37820815500134447</v>
      </c>
    </row>
    <row r="437" spans="1:15" s="236" customFormat="1" x14ac:dyDescent="0.2">
      <c r="A437" s="237" t="str">
        <f>name!E$7</f>
        <v>Administrative and secretarial occupations</v>
      </c>
      <c r="B437" s="302">
        <v>0.10633993953316828</v>
      </c>
      <c r="C437" s="302">
        <v>4.7333370103729275E-2</v>
      </c>
      <c r="D437" s="302">
        <v>2.0301997675680383E-4</v>
      </c>
      <c r="E437" s="302">
        <f t="shared" si="196"/>
        <v>0.15387632961365438</v>
      </c>
      <c r="F437" s="303"/>
      <c r="G437" s="302">
        <v>0.11465747437859744</v>
      </c>
      <c r="H437" s="302">
        <v>5.8038870109695134E-2</v>
      </c>
      <c r="I437" s="302">
        <v>1.6668287212871407E-3</v>
      </c>
      <c r="J437" s="302">
        <f t="shared" si="197"/>
        <v>0.17436317320957972</v>
      </c>
      <c r="K437" s="303"/>
      <c r="L437" s="302">
        <v>9.6147606265779131E-2</v>
      </c>
      <c r="M437" s="302">
        <v>5.3733890078892961E-2</v>
      </c>
      <c r="N437" s="302">
        <v>5.719580122110342E-3</v>
      </c>
      <c r="O437" s="302">
        <f t="shared" si="198"/>
        <v>0.15560107646678245</v>
      </c>
    </row>
    <row r="438" spans="1:15" s="236" customFormat="1" x14ac:dyDescent="0.2">
      <c r="A438" s="237" t="str">
        <f>name!E$8</f>
        <v>Skilled trades occupations</v>
      </c>
      <c r="B438" s="302">
        <v>0.41330376935253899</v>
      </c>
      <c r="C438" s="302">
        <v>9.3604521173585604E-3</v>
      </c>
      <c r="D438" s="302">
        <v>3.3624459735386125E-3</v>
      </c>
      <c r="E438" s="302">
        <f t="shared" si="196"/>
        <v>0.4260266674434362</v>
      </c>
      <c r="F438" s="303"/>
      <c r="G438" s="302">
        <v>0.42434741457696529</v>
      </c>
      <c r="H438" s="302">
        <v>6.9116412444624959E-3</v>
      </c>
      <c r="I438" s="302">
        <v>6.3311021256354802E-3</v>
      </c>
      <c r="J438" s="302">
        <f>SUM(G438:I438)</f>
        <v>0.43759015794706324</v>
      </c>
      <c r="K438" s="303"/>
      <c r="L438" s="302">
        <v>0.38244572082530315</v>
      </c>
      <c r="M438" s="302">
        <v>7.8080631320764189E-3</v>
      </c>
      <c r="N438" s="302">
        <v>8.8143065819052992E-3</v>
      </c>
      <c r="O438" s="302">
        <f t="shared" si="198"/>
        <v>0.39906809053928488</v>
      </c>
    </row>
    <row r="439" spans="1:15" s="236" customFormat="1" x14ac:dyDescent="0.2">
      <c r="A439" s="237" t="str">
        <f>name!E$9</f>
        <v>Caring, leisure and other service occupations</v>
      </c>
      <c r="B439" s="302">
        <v>1.4693868979198223E-2</v>
      </c>
      <c r="C439" s="302">
        <v>1.1963968969934638E-2</v>
      </c>
      <c r="D439" s="302">
        <v>6.822399938580324E-5</v>
      </c>
      <c r="E439" s="302">
        <f t="shared" si="196"/>
        <v>2.6726061948518662E-2</v>
      </c>
      <c r="F439" s="303"/>
      <c r="G439" s="302">
        <v>1.5833919594905869E-2</v>
      </c>
      <c r="H439" s="302">
        <v>1.2759349738388817E-2</v>
      </c>
      <c r="I439" s="302">
        <v>4.7061961279071304E-3</v>
      </c>
      <c r="J439" s="302">
        <f t="shared" ref="J439:J442" si="199">SUM(G439:I439)</f>
        <v>3.329946546120182E-2</v>
      </c>
      <c r="K439" s="303"/>
      <c r="L439" s="302">
        <v>2.0525347687134994E-2</v>
      </c>
      <c r="M439" s="302">
        <v>1.454524121331691E-2</v>
      </c>
      <c r="N439" s="302">
        <v>4.6498921273073167E-3</v>
      </c>
      <c r="O439" s="302">
        <f t="shared" si="198"/>
        <v>3.9720481027759227E-2</v>
      </c>
    </row>
    <row r="440" spans="1:15" s="236" customFormat="1" x14ac:dyDescent="0.2">
      <c r="A440" s="237" t="str">
        <f>name!E$10</f>
        <v>Sales and customer service occupations</v>
      </c>
      <c r="B440" s="302">
        <v>6.3045621162524074E-2</v>
      </c>
      <c r="C440" s="302">
        <v>4.9831799648389442E-2</v>
      </c>
      <c r="D440" s="302">
        <v>8.2891211018063253E-4</v>
      </c>
      <c r="E440" s="302">
        <f t="shared" si="196"/>
        <v>0.11370633292109414</v>
      </c>
      <c r="F440" s="303"/>
      <c r="G440" s="302">
        <v>7.4029497972422129E-2</v>
      </c>
      <c r="H440" s="302">
        <v>6.5963221704271852E-2</v>
      </c>
      <c r="I440" s="302">
        <v>1.1874168514681993E-3</v>
      </c>
      <c r="J440" s="302">
        <f t="shared" si="199"/>
        <v>0.14118013652816216</v>
      </c>
      <c r="K440" s="303"/>
      <c r="L440" s="302">
        <v>8.3368286406167294E-2</v>
      </c>
      <c r="M440" s="302">
        <v>8.021200941578159E-2</v>
      </c>
      <c r="N440" s="302">
        <v>6.1599502413180619E-4</v>
      </c>
      <c r="O440" s="302">
        <f t="shared" si="198"/>
        <v>0.1641962908460807</v>
      </c>
    </row>
    <row r="441" spans="1:15" s="236" customFormat="1" x14ac:dyDescent="0.2">
      <c r="A441" s="237" t="str">
        <f>name!E$11</f>
        <v>Process, plant and machine operatives</v>
      </c>
      <c r="B441" s="302">
        <v>0.28644169426712679</v>
      </c>
      <c r="C441" s="302">
        <v>2.3852358136537469E-2</v>
      </c>
      <c r="D441" s="302">
        <v>4.136218516358525E-3</v>
      </c>
      <c r="E441" s="302">
        <f t="shared" si="196"/>
        <v>0.31443027092002279</v>
      </c>
      <c r="F441" s="303"/>
      <c r="G441" s="302">
        <v>0.28686860744252363</v>
      </c>
      <c r="H441" s="302">
        <v>2.5477460046186607E-2</v>
      </c>
      <c r="I441" s="302">
        <v>7.0866209261770277E-4</v>
      </c>
      <c r="J441" s="302">
        <f t="shared" si="199"/>
        <v>0.31305472958132796</v>
      </c>
      <c r="K441" s="303"/>
      <c r="L441" s="302">
        <v>0.29897322237244306</v>
      </c>
      <c r="M441" s="302">
        <v>3.0860480836805423E-2</v>
      </c>
      <c r="N441" s="302">
        <v>9.6349103110191935E-4</v>
      </c>
      <c r="O441" s="302">
        <f t="shared" si="198"/>
        <v>0.33079719424035042</v>
      </c>
    </row>
    <row r="442" spans="1:15" s="236" customFormat="1" x14ac:dyDescent="0.2">
      <c r="A442" s="237" t="str">
        <f>name!E$12</f>
        <v>Elementary occupations</v>
      </c>
      <c r="B442" s="302">
        <v>3.1071585232885522E-2</v>
      </c>
      <c r="C442" s="302">
        <v>3.8789972283744902E-2</v>
      </c>
      <c r="D442" s="302">
        <v>6.8602782667488045E-3</v>
      </c>
      <c r="E442" s="302">
        <f t="shared" si="196"/>
        <v>7.6721835783379225E-2</v>
      </c>
      <c r="F442" s="303"/>
      <c r="G442" s="302">
        <v>3.0936726317398675E-2</v>
      </c>
      <c r="H442" s="302">
        <v>3.8484310853816636E-2</v>
      </c>
      <c r="I442" s="302">
        <v>2.9433659372280884E-3</v>
      </c>
      <c r="J442" s="302">
        <f t="shared" si="199"/>
        <v>7.2364403108443401E-2</v>
      </c>
      <c r="K442" s="303"/>
      <c r="L442" s="302">
        <v>2.122202902494166E-2</v>
      </c>
      <c r="M442" s="302">
        <v>4.0382359918361331E-2</v>
      </c>
      <c r="N442" s="302">
        <v>3.8432109816074196E-3</v>
      </c>
      <c r="O442" s="302">
        <f t="shared" si="198"/>
        <v>6.5447599924910407E-2</v>
      </c>
    </row>
    <row r="443" spans="1:15" s="236" customFormat="1" x14ac:dyDescent="0.2">
      <c r="A443" s="237"/>
      <c r="B443" s="302"/>
      <c r="C443" s="302"/>
      <c r="D443" s="302"/>
      <c r="E443" s="302"/>
      <c r="F443" s="303"/>
      <c r="G443" s="302"/>
      <c r="H443" s="302"/>
      <c r="I443" s="302"/>
      <c r="J443" s="302"/>
      <c r="K443" s="303"/>
      <c r="L443" s="302"/>
      <c r="M443" s="302"/>
      <c r="N443" s="302"/>
      <c r="O443" s="302"/>
    </row>
    <row r="444" spans="1:15" s="236" customFormat="1" x14ac:dyDescent="0.2">
      <c r="A444" s="244" t="s">
        <v>32</v>
      </c>
      <c r="B444" s="311">
        <f>SUM(B434:B442)</f>
        <v>1.7979999999919889</v>
      </c>
      <c r="C444" s="311">
        <f t="shared" ref="C444:E444" si="200">SUM(C434:C442)</f>
        <v>0.25200000000283729</v>
      </c>
      <c r="D444" s="311">
        <f t="shared" si="200"/>
        <v>2.1999999999718457E-2</v>
      </c>
      <c r="E444" s="311">
        <f t="shared" si="200"/>
        <v>2.0719999999945444</v>
      </c>
      <c r="F444" s="311"/>
      <c r="G444" s="311">
        <f t="shared" ref="G444:J444" si="201">SUM(G434:G442)</f>
        <v>2.235999999979895</v>
      </c>
      <c r="H444" s="311">
        <f t="shared" si="201"/>
        <v>0.31900000000319173</v>
      </c>
      <c r="I444" s="311">
        <f t="shared" si="201"/>
        <v>3.0999999999515949E-2</v>
      </c>
      <c r="J444" s="311">
        <f t="shared" si="201"/>
        <v>2.5859999999826022</v>
      </c>
      <c r="K444" s="311"/>
      <c r="L444" s="311">
        <f t="shared" ref="L444:O444" si="202">SUM(L434:L442)</f>
        <v>2.4189999999832064</v>
      </c>
      <c r="M444" s="311">
        <f t="shared" si="202"/>
        <v>0.35399999999630971</v>
      </c>
      <c r="N444" s="311">
        <f t="shared" si="202"/>
        <v>3.3000000000831177E-2</v>
      </c>
      <c r="O444" s="311">
        <f t="shared" si="202"/>
        <v>2.8059999999803469</v>
      </c>
    </row>
    <row r="445" spans="1:15" s="236" customFormat="1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40"/>
    </row>
    <row r="446" spans="1:15" s="236" customFormat="1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40"/>
      <c r="O446" s="251" t="s">
        <v>35</v>
      </c>
    </row>
    <row r="447" spans="1:15" s="236" customFormat="1" x14ac:dyDescent="0.2">
      <c r="A447" s="242"/>
      <c r="B447" s="242"/>
      <c r="C447" s="242"/>
      <c r="D447" s="242"/>
      <c r="E447" s="242"/>
      <c r="F447" s="242"/>
      <c r="G447" s="242"/>
      <c r="H447" s="242"/>
      <c r="I447" s="242"/>
      <c r="J447" s="242"/>
      <c r="K447" s="242"/>
      <c r="L447" s="242"/>
      <c r="M447" s="242"/>
      <c r="N447" s="242"/>
      <c r="O447" s="242"/>
    </row>
    <row r="448" spans="1:15" s="236" customFormat="1" x14ac:dyDescent="0.2">
      <c r="A448" s="241" t="str">
        <f>name!A29</f>
        <v>Sewerage</v>
      </c>
      <c r="B448" s="374">
        <f>$B$6</f>
        <v>2015</v>
      </c>
      <c r="C448" s="374"/>
      <c r="D448" s="374"/>
      <c r="E448" s="374"/>
      <c r="F448" s="263"/>
      <c r="G448" s="374">
        <f>$G$6</f>
        <v>2020</v>
      </c>
      <c r="H448" s="374"/>
      <c r="I448" s="374"/>
      <c r="J448" s="374"/>
      <c r="K448" s="263"/>
      <c r="L448" s="374">
        <f>$L$6</f>
        <v>2035</v>
      </c>
      <c r="M448" s="374"/>
      <c r="N448" s="374"/>
      <c r="O448" s="374"/>
    </row>
    <row r="449" spans="1:15" s="236" customFormat="1" x14ac:dyDescent="0.2">
      <c r="A449" s="254"/>
      <c r="B449" s="268" t="str">
        <f>$B$7</f>
        <v>FT</v>
      </c>
      <c r="C449" s="268" t="str">
        <f>$C$7</f>
        <v>PT</v>
      </c>
      <c r="D449" s="268" t="str">
        <f>$D$7</f>
        <v>SE</v>
      </c>
      <c r="E449" s="268" t="str">
        <f>$E$7</f>
        <v>Total</v>
      </c>
      <c r="F449" s="268"/>
      <c r="G449" s="268" t="str">
        <f>$G$7</f>
        <v>FT</v>
      </c>
      <c r="H449" s="268" t="str">
        <f>$H$7</f>
        <v>PT</v>
      </c>
      <c r="I449" s="268" t="str">
        <f>$I$7</f>
        <v>SE</v>
      </c>
      <c r="J449" s="268" t="str">
        <f>$J$7</f>
        <v>Total</v>
      </c>
      <c r="K449" s="268"/>
      <c r="L449" s="268" t="str">
        <f>$L$7</f>
        <v>FT</v>
      </c>
      <c r="M449" s="268" t="str">
        <f>$M$7</f>
        <v>PT</v>
      </c>
      <c r="N449" s="268" t="str">
        <f>$N$7</f>
        <v>SE</v>
      </c>
      <c r="O449" s="268" t="str">
        <f>$O$7</f>
        <v>Total</v>
      </c>
    </row>
    <row r="450" spans="1:15" s="236" customFormat="1" x14ac:dyDescent="0.2">
      <c r="A450" s="258"/>
      <c r="B450" s="239"/>
      <c r="C450" s="239"/>
      <c r="D450" s="239"/>
      <c r="E450" s="239"/>
      <c r="F450" s="239"/>
      <c r="G450" s="239"/>
      <c r="H450" s="239"/>
      <c r="I450" s="239"/>
      <c r="J450" s="239"/>
      <c r="K450" s="239"/>
      <c r="L450" s="239"/>
      <c r="M450" s="239"/>
      <c r="N450" s="239"/>
      <c r="O450" s="239"/>
    </row>
    <row r="451" spans="1:15" s="236" customFormat="1" x14ac:dyDescent="0.2">
      <c r="A451" s="237" t="str">
        <f>name!E$4</f>
        <v>Managers, directors and senior officials</v>
      </c>
      <c r="B451" s="302">
        <v>0.10109378623266346</v>
      </c>
      <c r="C451" s="302">
        <v>1.4535572562486307E-3</v>
      </c>
      <c r="D451" s="302">
        <v>1.0526183706729036E-2</v>
      </c>
      <c r="E451" s="302">
        <f>SUM(B451:D451)</f>
        <v>0.11307352719564112</v>
      </c>
      <c r="F451" s="303"/>
      <c r="G451" s="302">
        <v>0.1257337383144318</v>
      </c>
      <c r="H451" s="302">
        <v>2.7076281937770778E-3</v>
      </c>
      <c r="I451" s="302">
        <v>1.3759303712316247E-3</v>
      </c>
      <c r="J451" s="302">
        <f>SUM(G451:I451)</f>
        <v>0.12981729687944049</v>
      </c>
      <c r="K451" s="303"/>
      <c r="L451" s="302">
        <v>0.13307720548481455</v>
      </c>
      <c r="M451" s="302">
        <v>3.2705815048524336E-3</v>
      </c>
      <c r="N451" s="302">
        <v>1.4024054077415697E-3</v>
      </c>
      <c r="O451" s="302">
        <f>SUM(L451:N451)</f>
        <v>0.13775019239740854</v>
      </c>
    </row>
    <row r="452" spans="1:15" s="236" customFormat="1" x14ac:dyDescent="0.2">
      <c r="A452" s="237" t="str">
        <f>name!E$5</f>
        <v>Professional occupations</v>
      </c>
      <c r="B452" s="302">
        <v>8.3284286443467179E-2</v>
      </c>
      <c r="C452" s="302">
        <v>3.6859981132167526E-3</v>
      </c>
      <c r="D452" s="302">
        <v>1.242797216146186E-2</v>
      </c>
      <c r="E452" s="302">
        <f t="shared" ref="E452:E459" si="203">SUM(B452:D452)</f>
        <v>9.9398256718145783E-2</v>
      </c>
      <c r="F452" s="303"/>
      <c r="G452" s="302">
        <v>0.11971667985990232</v>
      </c>
      <c r="H452" s="302">
        <v>6.7147388048826159E-3</v>
      </c>
      <c r="I452" s="302">
        <v>1.3199016965864904E-3</v>
      </c>
      <c r="J452" s="302">
        <f t="shared" ref="J452:J454" si="204">SUM(G452:I452)</f>
        <v>0.12775132036137143</v>
      </c>
      <c r="K452" s="303"/>
      <c r="L452" s="302">
        <v>0.13884249508943589</v>
      </c>
      <c r="M452" s="302">
        <v>8.1956372231525455E-3</v>
      </c>
      <c r="N452" s="302">
        <v>8.6911836089431671E-4</v>
      </c>
      <c r="O452" s="302">
        <f t="shared" ref="O452:O459" si="205">SUM(L452:N452)</f>
        <v>0.14790725067348276</v>
      </c>
    </row>
    <row r="453" spans="1:15" s="236" customFormat="1" x14ac:dyDescent="0.2">
      <c r="A453" s="237" t="str">
        <f>name!E$6</f>
        <v>Associate professional occupations</v>
      </c>
      <c r="B453" s="302">
        <v>8.1945010963719853E-2</v>
      </c>
      <c r="C453" s="302">
        <v>9.5645084892823935E-3</v>
      </c>
      <c r="D453" s="302">
        <v>7.4964797177878581E-3</v>
      </c>
      <c r="E453" s="302">
        <f t="shared" si="203"/>
        <v>9.9005999170790102E-2</v>
      </c>
      <c r="F453" s="303"/>
      <c r="G453" s="302">
        <v>0.1140794670269067</v>
      </c>
      <c r="H453" s="302">
        <v>1.3700454769785337E-2</v>
      </c>
      <c r="I453" s="302">
        <v>1.2145772991156436E-3</v>
      </c>
      <c r="J453" s="302">
        <f t="shared" si="204"/>
        <v>0.12899449909580768</v>
      </c>
      <c r="K453" s="303"/>
      <c r="L453" s="302">
        <v>0.13027219515285632</v>
      </c>
      <c r="M453" s="302">
        <v>1.8674205121557437E-2</v>
      </c>
      <c r="N453" s="302">
        <v>8.7795682080729534E-4</v>
      </c>
      <c r="O453" s="302">
        <f t="shared" si="205"/>
        <v>0.14982435709522104</v>
      </c>
    </row>
    <row r="454" spans="1:15" s="236" customFormat="1" x14ac:dyDescent="0.2">
      <c r="A454" s="237" t="str">
        <f>name!E$7</f>
        <v>Administrative and secretarial occupations</v>
      </c>
      <c r="B454" s="302">
        <v>2.3093772121794608E-2</v>
      </c>
      <c r="C454" s="302">
        <v>1.5459617958432382E-2</v>
      </c>
      <c r="D454" s="302">
        <v>1.0479364615400091E-3</v>
      </c>
      <c r="E454" s="302">
        <f t="shared" si="203"/>
        <v>3.9601326541766999E-2</v>
      </c>
      <c r="F454" s="303"/>
      <c r="G454" s="302">
        <v>3.6147563063050704E-2</v>
      </c>
      <c r="H454" s="302">
        <v>1.9356381046519242E-2</v>
      </c>
      <c r="I454" s="302">
        <v>4.6328922250918315E-4</v>
      </c>
      <c r="J454" s="302">
        <f t="shared" si="204"/>
        <v>5.5967233332079133E-2</v>
      </c>
      <c r="K454" s="303"/>
      <c r="L454" s="302">
        <v>2.2861299203251029E-2</v>
      </c>
      <c r="M454" s="302">
        <v>1.8318705969804477E-2</v>
      </c>
      <c r="N454" s="302">
        <v>3.6469590549087629E-4</v>
      </c>
      <c r="O454" s="302">
        <f t="shared" si="205"/>
        <v>4.1544701078546381E-2</v>
      </c>
    </row>
    <row r="455" spans="1:15" s="236" customFormat="1" x14ac:dyDescent="0.2">
      <c r="A455" s="237" t="str">
        <f>name!E$8</f>
        <v>Skilled trades occupations</v>
      </c>
      <c r="B455" s="302">
        <v>6.0968971719322612E-2</v>
      </c>
      <c r="C455" s="302">
        <v>9.6393473912468242E-4</v>
      </c>
      <c r="D455" s="302">
        <v>3.778815072273066E-2</v>
      </c>
      <c r="E455" s="302">
        <f t="shared" si="203"/>
        <v>9.9721057181177963E-2</v>
      </c>
      <c r="F455" s="303"/>
      <c r="G455" s="302">
        <v>5.3776434192913475E-2</v>
      </c>
      <c r="H455" s="302">
        <v>1.0261280965081475E-3</v>
      </c>
      <c r="I455" s="302">
        <v>1.8521872366688101E-3</v>
      </c>
      <c r="J455" s="302">
        <f>SUM(G455:I455)</f>
        <v>5.6654749526090432E-2</v>
      </c>
      <c r="K455" s="303"/>
      <c r="L455" s="302">
        <v>4.5172948334787501E-2</v>
      </c>
      <c r="M455" s="302">
        <v>1.6478088510816522E-3</v>
      </c>
      <c r="N455" s="302">
        <v>2.4234048494441462E-3</v>
      </c>
      <c r="O455" s="302">
        <f t="shared" si="205"/>
        <v>4.9244162035313295E-2</v>
      </c>
    </row>
    <row r="456" spans="1:15" s="236" customFormat="1" x14ac:dyDescent="0.2">
      <c r="A456" s="237" t="str">
        <f>name!E$9</f>
        <v>Caring, leisure and other service occupations</v>
      </c>
      <c r="B456" s="302">
        <v>1.8754236914284135E-2</v>
      </c>
      <c r="C456" s="302">
        <v>2.3654347371322012E-3</v>
      </c>
      <c r="D456" s="302">
        <v>1.2343717290507121E-3</v>
      </c>
      <c r="E456" s="302">
        <f t="shared" si="203"/>
        <v>2.2354043380467051E-2</v>
      </c>
      <c r="F456" s="303"/>
      <c r="G456" s="302">
        <v>2.6852164982471404E-2</v>
      </c>
      <c r="H456" s="302">
        <v>3.2545544799214119E-3</v>
      </c>
      <c r="I456" s="302">
        <v>1.3726330229059634E-3</v>
      </c>
      <c r="J456" s="302">
        <f t="shared" ref="J456:J459" si="206">SUM(G456:I456)</f>
        <v>3.1479352485298775E-2</v>
      </c>
      <c r="K456" s="303"/>
      <c r="L456" s="302">
        <v>3.3531798056426559E-2</v>
      </c>
      <c r="M456" s="302">
        <v>3.5689016322099495E-3</v>
      </c>
      <c r="N456" s="302">
        <v>1.4558946968271271E-3</v>
      </c>
      <c r="O456" s="302">
        <f t="shared" si="205"/>
        <v>3.855659438546364E-2</v>
      </c>
    </row>
    <row r="457" spans="1:15" s="236" customFormat="1" x14ac:dyDescent="0.2">
      <c r="A457" s="237" t="str">
        <f>name!E$10</f>
        <v>Sales and customer service occupations</v>
      </c>
      <c r="B457" s="302">
        <v>1.4653575704740247E-2</v>
      </c>
      <c r="C457" s="302">
        <v>3.4050586763550599E-3</v>
      </c>
      <c r="D457" s="302">
        <v>3.1406622023191569E-3</v>
      </c>
      <c r="E457" s="302">
        <f t="shared" si="203"/>
        <v>2.1199296583414465E-2</v>
      </c>
      <c r="F457" s="303"/>
      <c r="G457" s="302">
        <v>1.7996901818797477E-2</v>
      </c>
      <c r="H457" s="302">
        <v>4.5398011664692069E-3</v>
      </c>
      <c r="I457" s="302">
        <v>3.4452708893845482E-4</v>
      </c>
      <c r="J457" s="302">
        <f t="shared" si="206"/>
        <v>2.2881230074205137E-2</v>
      </c>
      <c r="K457" s="303"/>
      <c r="L457" s="302">
        <v>2.0997264733208353E-2</v>
      </c>
      <c r="M457" s="302">
        <v>4.8191742902308115E-3</v>
      </c>
      <c r="N457" s="302">
        <v>2.2929143927199956E-4</v>
      </c>
      <c r="O457" s="302">
        <f t="shared" si="205"/>
        <v>2.6045730462711164E-2</v>
      </c>
    </row>
    <row r="458" spans="1:15" s="236" customFormat="1" x14ac:dyDescent="0.2">
      <c r="A458" s="237" t="str">
        <f>name!E$11</f>
        <v>Process, plant and machine operatives</v>
      </c>
      <c r="B458" s="302">
        <v>0.32856822292159182</v>
      </c>
      <c r="C458" s="302">
        <v>7.266219089596764E-4</v>
      </c>
      <c r="D458" s="302">
        <v>6.0694740993996405E-3</v>
      </c>
      <c r="E458" s="302">
        <f t="shared" si="203"/>
        <v>0.33536431892995111</v>
      </c>
      <c r="F458" s="303"/>
      <c r="G458" s="302">
        <v>0.31100681529436253</v>
      </c>
      <c r="H458" s="302">
        <v>9.2520190862000699E-4</v>
      </c>
      <c r="I458" s="302">
        <v>2.0488877191254725E-4</v>
      </c>
      <c r="J458" s="302">
        <f t="shared" si="206"/>
        <v>0.31213690597489507</v>
      </c>
      <c r="K458" s="303"/>
      <c r="L458" s="302">
        <v>0.36133329985101498</v>
      </c>
      <c r="M458" s="302">
        <v>1.08538597893329E-3</v>
      </c>
      <c r="N458" s="302">
        <v>2.6490090368300965E-4</v>
      </c>
      <c r="O458" s="302">
        <f t="shared" si="205"/>
        <v>0.36268358673363132</v>
      </c>
    </row>
    <row r="459" spans="1:15" s="236" customFormat="1" x14ac:dyDescent="0.2">
      <c r="A459" s="237" t="str">
        <f>name!E$12</f>
        <v>Elementary occupations</v>
      </c>
      <c r="B459" s="302">
        <v>0.2546381369678859</v>
      </c>
      <c r="C459" s="302">
        <v>1.2375268121374494E-2</v>
      </c>
      <c r="D459" s="302">
        <v>4.2687691985517162E-3</v>
      </c>
      <c r="E459" s="302">
        <f t="shared" si="203"/>
        <v>0.27128217428781215</v>
      </c>
      <c r="F459" s="303"/>
      <c r="G459" s="302">
        <v>0.2636902354521683</v>
      </c>
      <c r="H459" s="302">
        <v>1.377511153390616E-2</v>
      </c>
      <c r="I459" s="302">
        <v>8.5206528997027939E-4</v>
      </c>
      <c r="J459" s="302">
        <f t="shared" si="206"/>
        <v>0.27831741227604473</v>
      </c>
      <c r="K459" s="303"/>
      <c r="L459" s="302">
        <v>0.26391149410432291</v>
      </c>
      <c r="M459" s="302">
        <v>1.4419599428095091E-2</v>
      </c>
      <c r="N459" s="302">
        <v>1.1123316158467814E-3</v>
      </c>
      <c r="O459" s="302">
        <f t="shared" si="205"/>
        <v>0.27944342514826476</v>
      </c>
    </row>
    <row r="460" spans="1:15" s="236" customFormat="1" x14ac:dyDescent="0.2">
      <c r="A460" s="237"/>
      <c r="B460" s="302"/>
      <c r="C460" s="302"/>
      <c r="D460" s="302"/>
      <c r="E460" s="302"/>
      <c r="F460" s="303"/>
      <c r="G460" s="302"/>
      <c r="H460" s="302"/>
      <c r="I460" s="302"/>
      <c r="J460" s="302"/>
      <c r="K460" s="303"/>
      <c r="L460" s="302"/>
      <c r="M460" s="302"/>
      <c r="N460" s="302"/>
      <c r="O460" s="302"/>
    </row>
    <row r="461" spans="1:15" s="236" customFormat="1" x14ac:dyDescent="0.2">
      <c r="A461" s="244" t="s">
        <v>32</v>
      </c>
      <c r="B461" s="311">
        <f>SUM(B451:B459)</f>
        <v>0.96699999998946984</v>
      </c>
      <c r="C461" s="311">
        <f t="shared" ref="C461:E461" si="207">SUM(C451:C459)</f>
        <v>5.000000000012627E-2</v>
      </c>
      <c r="D461" s="311">
        <f t="shared" si="207"/>
        <v>8.3999999999570654E-2</v>
      </c>
      <c r="E461" s="311">
        <f t="shared" si="207"/>
        <v>1.1009999999891669</v>
      </c>
      <c r="F461" s="311"/>
      <c r="G461" s="311">
        <f t="shared" ref="G461:J461" si="208">SUM(G451:G459)</f>
        <v>1.0690000000050048</v>
      </c>
      <c r="H461" s="311">
        <f t="shared" si="208"/>
        <v>6.6000000000389206E-2</v>
      </c>
      <c r="I461" s="311">
        <f t="shared" si="208"/>
        <v>8.9999999998389979E-3</v>
      </c>
      <c r="J461" s="311">
        <f t="shared" si="208"/>
        <v>1.1440000000052331</v>
      </c>
      <c r="K461" s="311"/>
      <c r="L461" s="311">
        <f t="shared" ref="L461:O461" si="209">SUM(L451:L459)</f>
        <v>1.150000000010118</v>
      </c>
      <c r="M461" s="311">
        <f t="shared" si="209"/>
        <v>7.3999999999917687E-2</v>
      </c>
      <c r="N461" s="311">
        <f t="shared" si="209"/>
        <v>9.0000000000071204E-3</v>
      </c>
      <c r="O461" s="311">
        <f t="shared" si="209"/>
        <v>1.233000000010043</v>
      </c>
    </row>
    <row r="462" spans="1:15" s="236" customFormat="1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40"/>
    </row>
    <row r="463" spans="1:15" s="236" customFormat="1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40"/>
      <c r="O463" s="251" t="s">
        <v>35</v>
      </c>
    </row>
    <row r="464" spans="1:15" s="236" customFormat="1" x14ac:dyDescent="0.2">
      <c r="A464" s="242"/>
      <c r="B464" s="242"/>
      <c r="C464" s="242"/>
      <c r="D464" s="242"/>
      <c r="E464" s="242"/>
      <c r="F464" s="242"/>
      <c r="G464" s="242"/>
      <c r="H464" s="242"/>
      <c r="I464" s="242"/>
      <c r="J464" s="242"/>
      <c r="K464" s="242"/>
      <c r="L464" s="242"/>
      <c r="M464" s="242"/>
      <c r="N464" s="242"/>
      <c r="O464" s="242"/>
    </row>
    <row r="465" spans="1:15" s="236" customFormat="1" x14ac:dyDescent="0.2">
      <c r="A465" s="241" t="str">
        <f>name!A30</f>
        <v>Waste management</v>
      </c>
      <c r="B465" s="374">
        <f>$B$6</f>
        <v>2015</v>
      </c>
      <c r="C465" s="374"/>
      <c r="D465" s="374"/>
      <c r="E465" s="374"/>
      <c r="F465" s="263"/>
      <c r="G465" s="374">
        <f>$G$6</f>
        <v>2020</v>
      </c>
      <c r="H465" s="374"/>
      <c r="I465" s="374"/>
      <c r="J465" s="374"/>
      <c r="K465" s="263"/>
      <c r="L465" s="374">
        <f>$L$6</f>
        <v>2035</v>
      </c>
      <c r="M465" s="374"/>
      <c r="N465" s="374"/>
      <c r="O465" s="374"/>
    </row>
    <row r="466" spans="1:15" s="236" customFormat="1" x14ac:dyDescent="0.2">
      <c r="A466" s="254"/>
      <c r="B466" s="268" t="str">
        <f>$B$7</f>
        <v>FT</v>
      </c>
      <c r="C466" s="268" t="str">
        <f>$C$7</f>
        <v>PT</v>
      </c>
      <c r="D466" s="268" t="str">
        <f>$D$7</f>
        <v>SE</v>
      </c>
      <c r="E466" s="268" t="str">
        <f>$E$7</f>
        <v>Total</v>
      </c>
      <c r="F466" s="268"/>
      <c r="G466" s="268" t="str">
        <f>$G$7</f>
        <v>FT</v>
      </c>
      <c r="H466" s="268" t="str">
        <f>$H$7</f>
        <v>PT</v>
      </c>
      <c r="I466" s="268" t="str">
        <f>$I$7</f>
        <v>SE</v>
      </c>
      <c r="J466" s="268" t="str">
        <f>$J$7</f>
        <v>Total</v>
      </c>
      <c r="K466" s="268"/>
      <c r="L466" s="268" t="str">
        <f>$L$7</f>
        <v>FT</v>
      </c>
      <c r="M466" s="268" t="str">
        <f>$M$7</f>
        <v>PT</v>
      </c>
      <c r="N466" s="268" t="str">
        <f>$N$7</f>
        <v>SE</v>
      </c>
      <c r="O466" s="268" t="str">
        <f>$O$7</f>
        <v>Total</v>
      </c>
    </row>
    <row r="467" spans="1:15" s="236" customFormat="1" x14ac:dyDescent="0.2">
      <c r="A467" s="258"/>
      <c r="B467" s="239"/>
      <c r="C467" s="239"/>
      <c r="D467" s="239"/>
      <c r="E467" s="239"/>
      <c r="F467" s="239"/>
      <c r="G467" s="239"/>
      <c r="H467" s="239"/>
      <c r="I467" s="239"/>
      <c r="J467" s="239"/>
      <c r="K467" s="239"/>
      <c r="L467" s="239"/>
      <c r="M467" s="239"/>
      <c r="N467" s="239"/>
      <c r="O467" s="239"/>
    </row>
    <row r="468" spans="1:15" s="236" customFormat="1" x14ac:dyDescent="0.2">
      <c r="A468" s="237" t="str">
        <f>name!E$4</f>
        <v>Managers, directors and senior officials</v>
      </c>
      <c r="B468" s="302">
        <v>0.931902923805081</v>
      </c>
      <c r="C468" s="302">
        <v>3.6968486507662525E-2</v>
      </c>
      <c r="D468" s="302">
        <v>0.12859407486204094</v>
      </c>
      <c r="E468" s="302">
        <f>SUM(B468:D468)</f>
        <v>1.0974654851747845</v>
      </c>
      <c r="F468" s="303"/>
      <c r="G468" s="302">
        <v>1.1379576312324966</v>
      </c>
      <c r="H468" s="302">
        <v>4.4642365464159721E-2</v>
      </c>
      <c r="I468" s="302">
        <v>2.701058842861584E-3</v>
      </c>
      <c r="J468" s="302">
        <f>SUM(G468:I468)</f>
        <v>1.1853010555395178</v>
      </c>
      <c r="K468" s="303"/>
      <c r="L468" s="302">
        <v>1.2560831349061705</v>
      </c>
      <c r="M468" s="302">
        <v>3.5365775741875292E-2</v>
      </c>
      <c r="N468" s="302">
        <v>2.8747290949830253E-3</v>
      </c>
      <c r="O468" s="302">
        <f>SUM(L468:N468)</f>
        <v>1.2943236397430289</v>
      </c>
    </row>
    <row r="469" spans="1:15" s="236" customFormat="1" x14ac:dyDescent="0.2">
      <c r="A469" s="237" t="str">
        <f>name!E$5</f>
        <v>Professional occupations</v>
      </c>
      <c r="B469" s="302">
        <v>0.6760813494479837</v>
      </c>
      <c r="C469" s="302">
        <v>6.5216171593638975E-2</v>
      </c>
      <c r="D469" s="302">
        <v>3.0810837537306689E-2</v>
      </c>
      <c r="E469" s="302">
        <f t="shared" ref="E469:E476" si="210">SUM(B469:D469)</f>
        <v>0.77210835857892945</v>
      </c>
      <c r="F469" s="303"/>
      <c r="G469" s="302">
        <v>0.93215555398257832</v>
      </c>
      <c r="H469" s="302">
        <v>6.0104568080285872E-2</v>
      </c>
      <c r="I469" s="302">
        <v>6.2968536091332385E-3</v>
      </c>
      <c r="J469" s="302">
        <f t="shared" ref="J469:J471" si="211">SUM(G469:I469)</f>
        <v>0.99855697567199742</v>
      </c>
      <c r="K469" s="303"/>
      <c r="L469" s="302">
        <v>1.0708121710484415</v>
      </c>
      <c r="M469" s="302">
        <v>6.6005424133266363E-2</v>
      </c>
      <c r="N469" s="302">
        <v>6.5423636751567055E-3</v>
      </c>
      <c r="O469" s="302">
        <f t="shared" ref="O469:O476" si="212">SUM(L469:N469)</f>
        <v>1.1433599588568646</v>
      </c>
    </row>
    <row r="470" spans="1:15" s="236" customFormat="1" x14ac:dyDescent="0.2">
      <c r="A470" s="237" t="str">
        <f>name!E$6</f>
        <v>Associate professional occupations</v>
      </c>
      <c r="B470" s="302">
        <v>0.86327229854395415</v>
      </c>
      <c r="C470" s="302">
        <v>6.7703468044701398E-2</v>
      </c>
      <c r="D470" s="302">
        <v>1.9674569580520895E-2</v>
      </c>
      <c r="E470" s="302">
        <f t="shared" si="210"/>
        <v>0.95065033616917649</v>
      </c>
      <c r="F470" s="303"/>
      <c r="G470" s="302">
        <v>1.1523840834609966</v>
      </c>
      <c r="H470" s="302">
        <v>4.2045870750310119E-2</v>
      </c>
      <c r="I470" s="302">
        <v>7.9476390281430376E-3</v>
      </c>
      <c r="J470" s="302">
        <f t="shared" si="211"/>
        <v>1.2023775932394498</v>
      </c>
      <c r="K470" s="303"/>
      <c r="L470" s="302">
        <v>1.5760986211240331</v>
      </c>
      <c r="M470" s="302">
        <v>3.0091709287231226E-2</v>
      </c>
      <c r="N470" s="302">
        <v>1.2014391085256523E-2</v>
      </c>
      <c r="O470" s="302">
        <f t="shared" si="212"/>
        <v>1.6182047214965209</v>
      </c>
    </row>
    <row r="471" spans="1:15" s="236" customFormat="1" x14ac:dyDescent="0.2">
      <c r="A471" s="237" t="str">
        <f>name!E$7</f>
        <v>Administrative and secretarial occupations</v>
      </c>
      <c r="B471" s="302">
        <v>0.68257203847151271</v>
      </c>
      <c r="C471" s="302">
        <v>0.23576062319998795</v>
      </c>
      <c r="D471" s="302">
        <v>6.1690844638443692E-3</v>
      </c>
      <c r="E471" s="302">
        <f t="shared" si="210"/>
        <v>0.92450174613534497</v>
      </c>
      <c r="F471" s="303"/>
      <c r="G471" s="302">
        <v>0.75758979636577028</v>
      </c>
      <c r="H471" s="302">
        <v>0.1694336173717548</v>
      </c>
      <c r="I471" s="302">
        <v>1.9598583352098578E-3</v>
      </c>
      <c r="J471" s="302">
        <f t="shared" si="211"/>
        <v>0.9289832720727349</v>
      </c>
      <c r="K471" s="303"/>
      <c r="L471" s="302">
        <v>0.69168903508450363</v>
      </c>
      <c r="M471" s="302">
        <v>0.24648511372914389</v>
      </c>
      <c r="N471" s="302">
        <v>1.6815839819375137E-3</v>
      </c>
      <c r="O471" s="302">
        <f t="shared" si="212"/>
        <v>0.93985573279558499</v>
      </c>
    </row>
    <row r="472" spans="1:15" s="236" customFormat="1" x14ac:dyDescent="0.2">
      <c r="A472" s="237" t="str">
        <f>name!E$8</f>
        <v>Skilled trades occupations</v>
      </c>
      <c r="B472" s="302">
        <v>0.63419194453467054</v>
      </c>
      <c r="C472" s="302">
        <v>6.5930179217237511E-2</v>
      </c>
      <c r="D472" s="302">
        <v>0.1801678402740208</v>
      </c>
      <c r="E472" s="302">
        <f t="shared" si="210"/>
        <v>0.88028996402592885</v>
      </c>
      <c r="F472" s="303"/>
      <c r="G472" s="302">
        <v>0.58150798275485782</v>
      </c>
      <c r="H472" s="302">
        <v>3.9626869690486968E-2</v>
      </c>
      <c r="I472" s="302">
        <v>1.2241228775434956E-2</v>
      </c>
      <c r="J472" s="302">
        <f>SUM(G472:I472)</f>
        <v>0.63337608122077982</v>
      </c>
      <c r="K472" s="303"/>
      <c r="L472" s="302">
        <v>0.53360421690375415</v>
      </c>
      <c r="M472" s="302">
        <v>3.0353938741406176E-2</v>
      </c>
      <c r="N472" s="302">
        <v>1.1092709313200938E-2</v>
      </c>
      <c r="O472" s="302">
        <f t="shared" si="212"/>
        <v>0.57505086495836122</v>
      </c>
    </row>
    <row r="473" spans="1:15" s="236" customFormat="1" x14ac:dyDescent="0.2">
      <c r="A473" s="237" t="str">
        <f>name!E$9</f>
        <v>Caring, leisure and other service occupations</v>
      </c>
      <c r="B473" s="302">
        <v>0.25584204743559552</v>
      </c>
      <c r="C473" s="302">
        <v>5.0164250636377875E-2</v>
      </c>
      <c r="D473" s="302">
        <v>2.436774206760077E-3</v>
      </c>
      <c r="E473" s="302">
        <f t="shared" si="210"/>
        <v>0.30844307227873347</v>
      </c>
      <c r="F473" s="303"/>
      <c r="G473" s="302">
        <v>0.28836983250143733</v>
      </c>
      <c r="H473" s="302">
        <v>3.3054399927415566E-2</v>
      </c>
      <c r="I473" s="302">
        <v>1.0375631825439231E-3</v>
      </c>
      <c r="J473" s="302">
        <f t="shared" ref="J473:J476" si="213">SUM(G473:I473)</f>
        <v>0.32246179561139682</v>
      </c>
      <c r="K473" s="303"/>
      <c r="L473" s="302">
        <v>0.36906756480556752</v>
      </c>
      <c r="M473" s="302">
        <v>3.9931114376753521E-2</v>
      </c>
      <c r="N473" s="302">
        <v>1.2468985723618931E-3</v>
      </c>
      <c r="O473" s="302">
        <f t="shared" si="212"/>
        <v>0.4102455777546829</v>
      </c>
    </row>
    <row r="474" spans="1:15" s="236" customFormat="1" x14ac:dyDescent="0.2">
      <c r="A474" s="237" t="str">
        <f>name!E$10</f>
        <v>Sales and customer service occupations</v>
      </c>
      <c r="B474" s="302">
        <v>0.24578779663717312</v>
      </c>
      <c r="C474" s="302">
        <v>7.1441675882251629E-2</v>
      </c>
      <c r="D474" s="302">
        <v>2.6646646381418601E-2</v>
      </c>
      <c r="E474" s="302">
        <f t="shared" si="210"/>
        <v>0.34387611890084335</v>
      </c>
      <c r="F474" s="303"/>
      <c r="G474" s="302">
        <v>0.27333249280159888</v>
      </c>
      <c r="H474" s="302">
        <v>4.7101145316970572E-2</v>
      </c>
      <c r="I474" s="302">
        <v>5.1418269713988636E-4</v>
      </c>
      <c r="J474" s="302">
        <f t="shared" si="213"/>
        <v>0.32094782081570933</v>
      </c>
      <c r="K474" s="303"/>
      <c r="L474" s="302">
        <v>0.34180947733785105</v>
      </c>
      <c r="M474" s="302">
        <v>5.6903481804718353E-2</v>
      </c>
      <c r="N474" s="302">
        <v>7.0737637436825678E-4</v>
      </c>
      <c r="O474" s="302">
        <f t="shared" si="212"/>
        <v>0.39942033551693767</v>
      </c>
    </row>
    <row r="475" spans="1:15" s="236" customFormat="1" x14ac:dyDescent="0.2">
      <c r="A475" s="237" t="str">
        <f>name!E$11</f>
        <v>Process, plant and machine operatives</v>
      </c>
      <c r="B475" s="302">
        <v>3.0512510032524891</v>
      </c>
      <c r="C475" s="302">
        <v>0.10830007603229007</v>
      </c>
      <c r="D475" s="302">
        <v>3.807175276334826E-2</v>
      </c>
      <c r="E475" s="302">
        <f t="shared" si="210"/>
        <v>3.1976228320481273</v>
      </c>
      <c r="F475" s="303"/>
      <c r="G475" s="302">
        <v>2.8381649417867001</v>
      </c>
      <c r="H475" s="302">
        <v>8.7015759201211407E-2</v>
      </c>
      <c r="I475" s="302">
        <v>3.0910124019212725E-3</v>
      </c>
      <c r="J475" s="302">
        <f t="shared" si="213"/>
        <v>2.9282717133898326</v>
      </c>
      <c r="K475" s="303"/>
      <c r="L475" s="302">
        <v>3.2876171865843289</v>
      </c>
      <c r="M475" s="302">
        <v>9.1317513508477346E-2</v>
      </c>
      <c r="N475" s="302">
        <v>4.7698025383481239E-4</v>
      </c>
      <c r="O475" s="302">
        <f t="shared" si="212"/>
        <v>3.379411680346641</v>
      </c>
    </row>
    <row r="476" spans="1:15" s="236" customFormat="1" x14ac:dyDescent="0.2">
      <c r="A476" s="237" t="str">
        <f>name!E$12</f>
        <v>Elementary occupations</v>
      </c>
      <c r="B476" s="302">
        <v>1.9060985977648639</v>
      </c>
      <c r="C476" s="302">
        <v>0.14051506889038681</v>
      </c>
      <c r="D476" s="302">
        <v>2.5428419925413288E-2</v>
      </c>
      <c r="E476" s="302">
        <f t="shared" si="210"/>
        <v>2.0720420865806641</v>
      </c>
      <c r="F476" s="303"/>
      <c r="G476" s="302">
        <v>1.8165376851361235</v>
      </c>
      <c r="H476" s="302">
        <v>7.4975404201564289E-2</v>
      </c>
      <c r="I476" s="302">
        <v>4.2106031270682147E-3</v>
      </c>
      <c r="J476" s="302">
        <f t="shared" si="213"/>
        <v>1.8957236924647558</v>
      </c>
      <c r="K476" s="303"/>
      <c r="L476" s="302">
        <v>1.5712185922783246</v>
      </c>
      <c r="M476" s="302">
        <v>7.054592867366212E-2</v>
      </c>
      <c r="N476" s="302">
        <v>5.3629676488106421E-3</v>
      </c>
      <c r="O476" s="302">
        <f t="shared" si="212"/>
        <v>1.6471274886007974</v>
      </c>
    </row>
    <row r="477" spans="1:15" s="236" customFormat="1" x14ac:dyDescent="0.2">
      <c r="A477" s="237"/>
      <c r="B477" s="302"/>
      <c r="C477" s="302"/>
      <c r="D477" s="302"/>
      <c r="E477" s="302"/>
      <c r="F477" s="303"/>
      <c r="G477" s="302"/>
      <c r="H477" s="302"/>
      <c r="I477" s="302"/>
      <c r="J477" s="302"/>
      <c r="K477" s="303"/>
      <c r="L477" s="302"/>
      <c r="M477" s="302"/>
      <c r="N477" s="302"/>
      <c r="O477" s="302"/>
    </row>
    <row r="478" spans="1:15" s="236" customFormat="1" x14ac:dyDescent="0.2">
      <c r="A478" s="244" t="s">
        <v>32</v>
      </c>
      <c r="B478" s="311">
        <f>SUM(B468:B476)</f>
        <v>9.2469999998933226</v>
      </c>
      <c r="C478" s="311">
        <f t="shared" ref="C478:E478" si="214">SUM(C468:C476)</f>
        <v>0.84200000000453468</v>
      </c>
      <c r="D478" s="311">
        <f t="shared" si="214"/>
        <v>0.45799999999467395</v>
      </c>
      <c r="E478" s="311">
        <f t="shared" si="214"/>
        <v>10.546999999892533</v>
      </c>
      <c r="F478" s="311"/>
      <c r="G478" s="311">
        <f t="shared" ref="G478:J478" si="215">SUM(G468:G476)</f>
        <v>9.7780000000225584</v>
      </c>
      <c r="H478" s="311">
        <f t="shared" si="215"/>
        <v>0.5980000000041592</v>
      </c>
      <c r="I478" s="311">
        <f t="shared" si="215"/>
        <v>3.9999999999455978E-2</v>
      </c>
      <c r="J478" s="311">
        <f t="shared" si="215"/>
        <v>10.416000000026173</v>
      </c>
      <c r="K478" s="311"/>
      <c r="L478" s="311">
        <f t="shared" ref="L478:O478" si="216">SUM(L468:L476)</f>
        <v>10.698000000072975</v>
      </c>
      <c r="M478" s="311">
        <f t="shared" si="216"/>
        <v>0.66699999999653437</v>
      </c>
      <c r="N478" s="311">
        <f t="shared" si="216"/>
        <v>4.1999999999910304E-2</v>
      </c>
      <c r="O478" s="311">
        <f t="shared" si="216"/>
        <v>11.40700000006942</v>
      </c>
    </row>
    <row r="479" spans="1:15" s="236" customFormat="1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40"/>
    </row>
    <row r="480" spans="1:15" s="236" customFormat="1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40"/>
      <c r="O480" s="251" t="s">
        <v>35</v>
      </c>
    </row>
    <row r="481" spans="1:15" s="236" customFormat="1" x14ac:dyDescent="0.2">
      <c r="A481" s="242"/>
      <c r="B481" s="242"/>
      <c r="C481" s="242"/>
      <c r="D481" s="242"/>
      <c r="E481" s="242"/>
      <c r="F481" s="242"/>
      <c r="G481" s="242"/>
      <c r="H481" s="242"/>
      <c r="I481" s="242"/>
      <c r="J481" s="242"/>
      <c r="K481" s="242"/>
      <c r="L481" s="242"/>
      <c r="M481" s="242"/>
      <c r="N481" s="242"/>
      <c r="O481" s="242"/>
    </row>
    <row r="482" spans="1:15" s="236" customFormat="1" x14ac:dyDescent="0.2">
      <c r="A482" s="241" t="str">
        <f>name!A31</f>
        <v>Construction</v>
      </c>
      <c r="B482" s="374">
        <f>$B$6</f>
        <v>2015</v>
      </c>
      <c r="C482" s="374"/>
      <c r="D482" s="374"/>
      <c r="E482" s="374"/>
      <c r="F482" s="263"/>
      <c r="G482" s="374">
        <f>$G$6</f>
        <v>2020</v>
      </c>
      <c r="H482" s="374"/>
      <c r="I482" s="374"/>
      <c r="J482" s="374"/>
      <c r="K482" s="263"/>
      <c r="L482" s="374">
        <f>$L$6</f>
        <v>2035</v>
      </c>
      <c r="M482" s="374"/>
      <c r="N482" s="374"/>
      <c r="O482" s="374"/>
    </row>
    <row r="483" spans="1:15" s="236" customFormat="1" x14ac:dyDescent="0.2">
      <c r="A483" s="254"/>
      <c r="B483" s="268" t="str">
        <f>$B$7</f>
        <v>FT</v>
      </c>
      <c r="C483" s="268" t="str">
        <f>$C$7</f>
        <v>PT</v>
      </c>
      <c r="D483" s="268" t="str">
        <f>$D$7</f>
        <v>SE</v>
      </c>
      <c r="E483" s="268" t="str">
        <f>$E$7</f>
        <v>Total</v>
      </c>
      <c r="F483" s="268"/>
      <c r="G483" s="268" t="str">
        <f>$G$7</f>
        <v>FT</v>
      </c>
      <c r="H483" s="268" t="str">
        <f>$H$7</f>
        <v>PT</v>
      </c>
      <c r="I483" s="268" t="str">
        <f>$I$7</f>
        <v>SE</v>
      </c>
      <c r="J483" s="268" t="str">
        <f>$J$7</f>
        <v>Total</v>
      </c>
      <c r="K483" s="268"/>
      <c r="L483" s="268" t="str">
        <f>$L$7</f>
        <v>FT</v>
      </c>
      <c r="M483" s="268" t="str">
        <f>$M$7</f>
        <v>PT</v>
      </c>
      <c r="N483" s="268" t="str">
        <f>$N$7</f>
        <v>SE</v>
      </c>
      <c r="O483" s="268" t="str">
        <f>$O$7</f>
        <v>Total</v>
      </c>
    </row>
    <row r="484" spans="1:15" s="236" customFormat="1" x14ac:dyDescent="0.2">
      <c r="A484" s="258"/>
      <c r="B484" s="239"/>
      <c r="C484" s="239"/>
      <c r="D484" s="239"/>
      <c r="E484" s="239"/>
      <c r="F484" s="239"/>
      <c r="G484" s="239"/>
      <c r="H484" s="239"/>
      <c r="I484" s="239"/>
      <c r="J484" s="239"/>
      <c r="K484" s="239"/>
      <c r="L484" s="239"/>
      <c r="M484" s="239"/>
      <c r="N484" s="239"/>
      <c r="O484" s="239"/>
    </row>
    <row r="485" spans="1:15" s="236" customFormat="1" x14ac:dyDescent="0.2">
      <c r="A485" s="237" t="str">
        <f>name!E$4</f>
        <v>Managers, directors and senior officials</v>
      </c>
      <c r="B485" s="302">
        <v>2.2755771280435826</v>
      </c>
      <c r="C485" s="302">
        <v>0.26653699624324223</v>
      </c>
      <c r="D485" s="302">
        <v>0.54128052099394464</v>
      </c>
      <c r="E485" s="302">
        <f>SUM(B485:D485)</f>
        <v>3.0833946452807695</v>
      </c>
      <c r="F485" s="303"/>
      <c r="G485" s="302">
        <v>2.8035734112671329</v>
      </c>
      <c r="H485" s="302">
        <v>0.58802193492869959</v>
      </c>
      <c r="I485" s="302">
        <v>1.1941251989154245</v>
      </c>
      <c r="J485" s="302">
        <f>SUM(G485:I485)</f>
        <v>4.5857205451112568</v>
      </c>
      <c r="K485" s="303"/>
      <c r="L485" s="302">
        <v>3.1058288455522081</v>
      </c>
      <c r="M485" s="302">
        <v>0.69678852429447213</v>
      </c>
      <c r="N485" s="302">
        <v>1.3408478102736368</v>
      </c>
      <c r="O485" s="302">
        <f>SUM(L485:N485)</f>
        <v>5.1434651801203168</v>
      </c>
    </row>
    <row r="486" spans="1:15" s="236" customFormat="1" x14ac:dyDescent="0.2">
      <c r="A486" s="237" t="str">
        <f>name!E$5</f>
        <v>Professional occupations</v>
      </c>
      <c r="B486" s="302">
        <v>3.9736291148898619</v>
      </c>
      <c r="C486" s="302">
        <v>0.20090802821852952</v>
      </c>
      <c r="D486" s="302">
        <v>0.44082883992525629</v>
      </c>
      <c r="E486" s="302">
        <f t="shared" ref="E486:E493" si="217">SUM(B486:D486)</f>
        <v>4.615365983033648</v>
      </c>
      <c r="F486" s="303"/>
      <c r="G486" s="302">
        <v>5.4526411150032104</v>
      </c>
      <c r="H486" s="302">
        <v>0.40247099959935501</v>
      </c>
      <c r="I486" s="302">
        <v>0.73317688813860682</v>
      </c>
      <c r="J486" s="302">
        <f t="shared" ref="J486:J488" si="218">SUM(G486:I486)</f>
        <v>6.5882890027411722</v>
      </c>
      <c r="K486" s="303"/>
      <c r="L486" s="302">
        <v>7.0515374810597411</v>
      </c>
      <c r="M486" s="302">
        <v>0.48866648373107824</v>
      </c>
      <c r="N486" s="302">
        <v>0.63765216202908892</v>
      </c>
      <c r="O486" s="302">
        <f t="shared" ref="O486:O493" si="219">SUM(L486:N486)</f>
        <v>8.1778561268199077</v>
      </c>
    </row>
    <row r="487" spans="1:15" s="236" customFormat="1" x14ac:dyDescent="0.2">
      <c r="A487" s="237" t="str">
        <f>name!E$6</f>
        <v>Associate professional occupations</v>
      </c>
      <c r="B487" s="302">
        <v>1.9995207332605518</v>
      </c>
      <c r="C487" s="302">
        <v>0.26978710755737084</v>
      </c>
      <c r="D487" s="302">
        <v>0.13140794378291676</v>
      </c>
      <c r="E487" s="302">
        <f t="shared" si="217"/>
        <v>2.4007157846008393</v>
      </c>
      <c r="F487" s="303"/>
      <c r="G487" s="302">
        <v>2.5972051213083232</v>
      </c>
      <c r="H487" s="302">
        <v>0.45618304987915342</v>
      </c>
      <c r="I487" s="302">
        <v>0.23850102934399553</v>
      </c>
      <c r="J487" s="302">
        <f t="shared" si="218"/>
        <v>3.2918892005314722</v>
      </c>
      <c r="K487" s="303"/>
      <c r="L487" s="302">
        <v>2.7730103354712909</v>
      </c>
      <c r="M487" s="302">
        <v>0.46990764161396498</v>
      </c>
      <c r="N487" s="302">
        <v>0.23909106051770848</v>
      </c>
      <c r="O487" s="302">
        <f t="shared" si="219"/>
        <v>3.4820090376029644</v>
      </c>
    </row>
    <row r="488" spans="1:15" s="236" customFormat="1" x14ac:dyDescent="0.2">
      <c r="A488" s="237" t="str">
        <f>name!E$7</f>
        <v>Administrative and secretarial occupations</v>
      </c>
      <c r="B488" s="302">
        <v>2.1184919864688245</v>
      </c>
      <c r="C488" s="302">
        <v>1.4905887553943609</v>
      </c>
      <c r="D488" s="302">
        <v>0.16240566183983765</v>
      </c>
      <c r="E488" s="302">
        <f t="shared" si="217"/>
        <v>3.7714864037030233</v>
      </c>
      <c r="F488" s="303"/>
      <c r="G488" s="302">
        <v>2.193921333514437</v>
      </c>
      <c r="H488" s="302">
        <v>1.8612009959532811</v>
      </c>
      <c r="I488" s="302">
        <v>0.469253287583904</v>
      </c>
      <c r="J488" s="302">
        <f t="shared" si="218"/>
        <v>4.5243756170516223</v>
      </c>
      <c r="K488" s="303"/>
      <c r="L488" s="302">
        <v>1.8188699262693009</v>
      </c>
      <c r="M488" s="302">
        <v>2.0177745254794153</v>
      </c>
      <c r="N488" s="302">
        <v>0.40755739934284807</v>
      </c>
      <c r="O488" s="302">
        <f t="shared" si="219"/>
        <v>4.2442018510915647</v>
      </c>
    </row>
    <row r="489" spans="1:15" s="236" customFormat="1" x14ac:dyDescent="0.2">
      <c r="A489" s="237" t="str">
        <f>name!E$8</f>
        <v>Skilled trades occupations</v>
      </c>
      <c r="B489" s="302">
        <v>3.9628574537296601</v>
      </c>
      <c r="C489" s="302">
        <v>0.30290067947934107</v>
      </c>
      <c r="D489" s="302">
        <v>7.217566103674188</v>
      </c>
      <c r="E489" s="302">
        <f t="shared" si="217"/>
        <v>11.483324236883188</v>
      </c>
      <c r="F489" s="303"/>
      <c r="G489" s="302">
        <v>3.4356820947909124</v>
      </c>
      <c r="H489" s="302">
        <v>0.30116822153197026</v>
      </c>
      <c r="I489" s="302">
        <v>7.4237308563774969</v>
      </c>
      <c r="J489" s="302">
        <f>SUM(G489:I489)</f>
        <v>11.160581172700379</v>
      </c>
      <c r="K489" s="303"/>
      <c r="L489" s="302">
        <v>2.3936823713100286</v>
      </c>
      <c r="M489" s="302">
        <v>0.48425102444065882</v>
      </c>
      <c r="N489" s="302">
        <v>8.0070622809542904</v>
      </c>
      <c r="O489" s="302">
        <f t="shared" si="219"/>
        <v>10.884995676704978</v>
      </c>
    </row>
    <row r="490" spans="1:15" s="236" customFormat="1" x14ac:dyDescent="0.2">
      <c r="A490" s="237" t="str">
        <f>name!E$9</f>
        <v>Caring, leisure and other service occupations</v>
      </c>
      <c r="B490" s="302">
        <v>7.509345857216726E-2</v>
      </c>
      <c r="C490" s="302">
        <v>1.9886774420212042E-2</v>
      </c>
      <c r="D490" s="302">
        <v>8.6978110082267922E-3</v>
      </c>
      <c r="E490" s="302">
        <f t="shared" si="217"/>
        <v>0.1036780440006061</v>
      </c>
      <c r="F490" s="303"/>
      <c r="G490" s="302">
        <v>8.4974698673477581E-2</v>
      </c>
      <c r="H490" s="302">
        <v>3.042277139239009E-2</v>
      </c>
      <c r="I490" s="302">
        <v>2.9853613769116116E-2</v>
      </c>
      <c r="J490" s="302">
        <f t="shared" ref="J490:J493" si="220">SUM(G490:I490)</f>
        <v>0.14525108383498378</v>
      </c>
      <c r="K490" s="303"/>
      <c r="L490" s="302">
        <v>9.3318916727383683E-2</v>
      </c>
      <c r="M490" s="302">
        <v>2.6580610521379246E-2</v>
      </c>
      <c r="N490" s="302">
        <v>6.1021645902060537E-2</v>
      </c>
      <c r="O490" s="302">
        <f t="shared" si="219"/>
        <v>0.18092117315082346</v>
      </c>
    </row>
    <row r="491" spans="1:15" s="236" customFormat="1" x14ac:dyDescent="0.2">
      <c r="A491" s="237" t="str">
        <f>name!E$10</f>
        <v>Sales and customer service occupations</v>
      </c>
      <c r="B491" s="302">
        <v>0.55502189919619371</v>
      </c>
      <c r="C491" s="302">
        <v>0.23958027983715202</v>
      </c>
      <c r="D491" s="302">
        <v>6.8740604825850607E-2</v>
      </c>
      <c r="E491" s="302">
        <f t="shared" si="217"/>
        <v>0.86334278385919638</v>
      </c>
      <c r="F491" s="303"/>
      <c r="G491" s="302">
        <v>0.57594661806349157</v>
      </c>
      <c r="H491" s="302">
        <v>0.35361663324254516</v>
      </c>
      <c r="I491" s="302">
        <v>0.10538893644328894</v>
      </c>
      <c r="J491" s="302">
        <f t="shared" si="220"/>
        <v>1.0349521877493257</v>
      </c>
      <c r="K491" s="303"/>
      <c r="L491" s="302">
        <v>0.68754456359324789</v>
      </c>
      <c r="M491" s="302">
        <v>0.42601807188010343</v>
      </c>
      <c r="N491" s="302">
        <v>0.12559047675702523</v>
      </c>
      <c r="O491" s="302">
        <f t="shared" si="219"/>
        <v>1.2391531122303765</v>
      </c>
    </row>
    <row r="492" spans="1:15" s="236" customFormat="1" x14ac:dyDescent="0.2">
      <c r="A492" s="237" t="str">
        <f>name!E$11</f>
        <v>Process, plant and machine operatives</v>
      </c>
      <c r="B492" s="302">
        <v>2.7291857102014712</v>
      </c>
      <c r="C492" s="302">
        <v>8.0637049268638211E-2</v>
      </c>
      <c r="D492" s="302">
        <v>0.53613255688656625</v>
      </c>
      <c r="E492" s="302">
        <f t="shared" si="217"/>
        <v>3.345955316356676</v>
      </c>
      <c r="F492" s="303"/>
      <c r="G492" s="302">
        <v>2.3534446475728026</v>
      </c>
      <c r="H492" s="302">
        <v>0.14569358775453414</v>
      </c>
      <c r="I492" s="302">
        <v>0.76779510937009676</v>
      </c>
      <c r="J492" s="302">
        <f t="shared" si="220"/>
        <v>3.2669333446974331</v>
      </c>
      <c r="K492" s="303"/>
      <c r="L492" s="302">
        <v>2.6446826542604742</v>
      </c>
      <c r="M492" s="302">
        <v>0.18415165200355524</v>
      </c>
      <c r="N492" s="302">
        <v>1.1443362092595952</v>
      </c>
      <c r="O492" s="302">
        <f t="shared" si="219"/>
        <v>3.9731705155236243</v>
      </c>
    </row>
    <row r="493" spans="1:15" s="236" customFormat="1" x14ac:dyDescent="0.2">
      <c r="A493" s="237" t="str">
        <f>name!E$12</f>
        <v>Elementary occupations</v>
      </c>
      <c r="B493" s="302">
        <v>1.1786225154566019</v>
      </c>
      <c r="C493" s="302">
        <v>0.35917432961914758</v>
      </c>
      <c r="D493" s="302">
        <v>0.60893995657034428</v>
      </c>
      <c r="E493" s="302">
        <f t="shared" si="217"/>
        <v>2.1467368016460937</v>
      </c>
      <c r="F493" s="303"/>
      <c r="G493" s="302">
        <v>0.99261095978275327</v>
      </c>
      <c r="H493" s="302">
        <v>0.43022180575666902</v>
      </c>
      <c r="I493" s="302">
        <v>0.80617507982619563</v>
      </c>
      <c r="J493" s="302">
        <f t="shared" si="220"/>
        <v>2.2290078453656177</v>
      </c>
      <c r="K493" s="303"/>
      <c r="L493" s="302">
        <v>0.77052490590491207</v>
      </c>
      <c r="M493" s="302">
        <v>0.32686146597741161</v>
      </c>
      <c r="N493" s="302">
        <v>1.0748409543466095</v>
      </c>
      <c r="O493" s="302">
        <f t="shared" si="219"/>
        <v>2.1722273262289331</v>
      </c>
    </row>
    <row r="494" spans="1:15" s="236" customFormat="1" x14ac:dyDescent="0.2">
      <c r="A494" s="237"/>
      <c r="B494" s="302"/>
      <c r="C494" s="302"/>
      <c r="D494" s="302"/>
      <c r="E494" s="302"/>
      <c r="F494" s="303"/>
      <c r="G494" s="302"/>
      <c r="H494" s="302"/>
      <c r="I494" s="302"/>
      <c r="J494" s="302"/>
      <c r="K494" s="303"/>
      <c r="L494" s="302"/>
      <c r="M494" s="302"/>
      <c r="N494" s="302"/>
      <c r="O494" s="302"/>
    </row>
    <row r="495" spans="1:15" s="236" customFormat="1" x14ac:dyDescent="0.2">
      <c r="A495" s="244" t="s">
        <v>32</v>
      </c>
      <c r="B495" s="311">
        <f>SUM(B485:B493)</f>
        <v>18.867999999818917</v>
      </c>
      <c r="C495" s="311">
        <f t="shared" ref="C495:E495" si="221">SUM(C485:C493)</f>
        <v>3.230000000037994</v>
      </c>
      <c r="D495" s="311">
        <f t="shared" si="221"/>
        <v>9.7159999995071296</v>
      </c>
      <c r="E495" s="311">
        <f t="shared" si="221"/>
        <v>31.813999999364039</v>
      </c>
      <c r="F495" s="311"/>
      <c r="G495" s="311">
        <f t="shared" ref="G495:J495" si="222">SUM(G485:G493)</f>
        <v>20.489999999976536</v>
      </c>
      <c r="H495" s="311">
        <f t="shared" si="222"/>
        <v>4.5690000000385975</v>
      </c>
      <c r="I495" s="311">
        <f t="shared" si="222"/>
        <v>11.767999999768124</v>
      </c>
      <c r="J495" s="311">
        <f t="shared" si="222"/>
        <v>36.826999999783261</v>
      </c>
      <c r="K495" s="311"/>
      <c r="L495" s="311">
        <f t="shared" ref="L495:O495" si="223">SUM(L485:L493)</f>
        <v>21.339000000148591</v>
      </c>
      <c r="M495" s="311">
        <f t="shared" si="223"/>
        <v>5.1209999999420388</v>
      </c>
      <c r="N495" s="311">
        <f t="shared" si="223"/>
        <v>13.037999999382864</v>
      </c>
      <c r="O495" s="311">
        <f t="shared" si="223"/>
        <v>39.497999999473492</v>
      </c>
    </row>
    <row r="496" spans="1:15" s="236" customFormat="1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40"/>
    </row>
    <row r="497" spans="1:15" s="236" customFormat="1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40"/>
      <c r="O497" s="251" t="s">
        <v>35</v>
      </c>
    </row>
    <row r="498" spans="1:15" s="236" customFormat="1" x14ac:dyDescent="0.2">
      <c r="A498" s="242"/>
      <c r="B498" s="242"/>
      <c r="C498" s="242"/>
      <c r="D498" s="242"/>
      <c r="E498" s="242"/>
      <c r="F498" s="242"/>
      <c r="G498" s="242"/>
      <c r="H498" s="242"/>
      <c r="I498" s="242"/>
      <c r="J498" s="242"/>
      <c r="K498" s="242"/>
      <c r="L498" s="242"/>
      <c r="M498" s="242"/>
      <c r="N498" s="242"/>
      <c r="O498" s="242"/>
    </row>
    <row r="499" spans="1:15" s="236" customFormat="1" x14ac:dyDescent="0.2">
      <c r="A499" s="241" t="str">
        <f>name!A32</f>
        <v>Civil engineering</v>
      </c>
      <c r="B499" s="374">
        <f>$B$6</f>
        <v>2015</v>
      </c>
      <c r="C499" s="374"/>
      <c r="D499" s="374"/>
      <c r="E499" s="374"/>
      <c r="F499" s="263"/>
      <c r="G499" s="374">
        <f>$G$6</f>
        <v>2020</v>
      </c>
      <c r="H499" s="374"/>
      <c r="I499" s="374"/>
      <c r="J499" s="374"/>
      <c r="K499" s="263"/>
      <c r="L499" s="374">
        <f>$L$6</f>
        <v>2035</v>
      </c>
      <c r="M499" s="374"/>
      <c r="N499" s="374"/>
      <c r="O499" s="374"/>
    </row>
    <row r="500" spans="1:15" s="236" customFormat="1" x14ac:dyDescent="0.2">
      <c r="A500" s="254"/>
      <c r="B500" s="268" t="str">
        <f>$B$7</f>
        <v>FT</v>
      </c>
      <c r="C500" s="268" t="str">
        <f>$C$7</f>
        <v>PT</v>
      </c>
      <c r="D500" s="268" t="str">
        <f>$D$7</f>
        <v>SE</v>
      </c>
      <c r="E500" s="268" t="str">
        <f>$E$7</f>
        <v>Total</v>
      </c>
      <c r="F500" s="268"/>
      <c r="G500" s="268" t="str">
        <f>$G$7</f>
        <v>FT</v>
      </c>
      <c r="H500" s="268" t="str">
        <f>$H$7</f>
        <v>PT</v>
      </c>
      <c r="I500" s="268" t="str">
        <f>$I$7</f>
        <v>SE</v>
      </c>
      <c r="J500" s="268" t="str">
        <f>$J$7</f>
        <v>Total</v>
      </c>
      <c r="K500" s="268"/>
      <c r="L500" s="268" t="str">
        <f>$L$7</f>
        <v>FT</v>
      </c>
      <c r="M500" s="268" t="str">
        <f>$M$7</f>
        <v>PT</v>
      </c>
      <c r="N500" s="268" t="str">
        <f>$N$7</f>
        <v>SE</v>
      </c>
      <c r="O500" s="268" t="str">
        <f>$O$7</f>
        <v>Total</v>
      </c>
    </row>
    <row r="501" spans="1:15" s="236" customFormat="1" x14ac:dyDescent="0.2">
      <c r="A501" s="258"/>
      <c r="B501" s="239"/>
      <c r="C501" s="239"/>
      <c r="D501" s="239"/>
      <c r="E501" s="239"/>
      <c r="F501" s="239"/>
      <c r="G501" s="239"/>
      <c r="H501" s="239"/>
      <c r="I501" s="239"/>
      <c r="J501" s="239"/>
      <c r="K501" s="239"/>
      <c r="L501" s="239"/>
      <c r="M501" s="239"/>
      <c r="N501" s="239"/>
      <c r="O501" s="239"/>
    </row>
    <row r="502" spans="1:15" s="236" customFormat="1" x14ac:dyDescent="0.2">
      <c r="A502" s="237" t="str">
        <f>name!E$4</f>
        <v>Managers, directors and senior officials</v>
      </c>
      <c r="B502" s="302">
        <v>1.6209494649074392</v>
      </c>
      <c r="C502" s="302">
        <v>0.15328740114160788</v>
      </c>
      <c r="D502" s="302">
        <v>0.44281361354662141</v>
      </c>
      <c r="E502" s="302">
        <f>SUM(B502:D502)</f>
        <v>2.2170504795956685</v>
      </c>
      <c r="F502" s="303"/>
      <c r="G502" s="302">
        <v>1.430426467235647</v>
      </c>
      <c r="H502" s="302">
        <v>7.9186630873870151E-2</v>
      </c>
      <c r="I502" s="302">
        <v>0.51245567188216423</v>
      </c>
      <c r="J502" s="302">
        <f>SUM(G502:I502)</f>
        <v>2.0220687699916815</v>
      </c>
      <c r="K502" s="303"/>
      <c r="L502" s="302">
        <v>1.5255728410297162</v>
      </c>
      <c r="M502" s="302">
        <v>9.330794653811697E-2</v>
      </c>
      <c r="N502" s="302">
        <v>0.57924876575377016</v>
      </c>
      <c r="O502" s="302">
        <f>SUM(L502:N502)</f>
        <v>2.1981295533216034</v>
      </c>
    </row>
    <row r="503" spans="1:15" s="236" customFormat="1" x14ac:dyDescent="0.2">
      <c r="A503" s="237" t="str">
        <f>name!E$5</f>
        <v>Professional occupations</v>
      </c>
      <c r="B503" s="302">
        <v>2.9249945850759098</v>
      </c>
      <c r="C503" s="302">
        <v>0.11781247170544662</v>
      </c>
      <c r="D503" s="302">
        <v>0.37367664570635356</v>
      </c>
      <c r="E503" s="302">
        <f t="shared" ref="E503:E510" si="224">SUM(B503:D503)</f>
        <v>3.4164837024877097</v>
      </c>
      <c r="F503" s="303"/>
      <c r="G503" s="302">
        <v>2.8742264717145747</v>
      </c>
      <c r="H503" s="302">
        <v>5.5551605536741405E-2</v>
      </c>
      <c r="I503" s="302">
        <v>0.36900679204353093</v>
      </c>
      <c r="J503" s="302">
        <f t="shared" ref="J503:J505" si="225">SUM(G503:I503)</f>
        <v>3.2987848692948472</v>
      </c>
      <c r="K503" s="303"/>
      <c r="L503" s="302">
        <v>3.6690132619974167</v>
      </c>
      <c r="M503" s="302">
        <v>6.7472418159828448E-2</v>
      </c>
      <c r="N503" s="302">
        <v>0.31549803367496954</v>
      </c>
      <c r="O503" s="302">
        <f t="shared" ref="O503:O510" si="226">SUM(L503:N503)</f>
        <v>4.0519837138322146</v>
      </c>
    </row>
    <row r="504" spans="1:15" s="236" customFormat="1" x14ac:dyDescent="0.2">
      <c r="A504" s="237" t="str">
        <f>name!E$6</f>
        <v>Associate professional occupations</v>
      </c>
      <c r="B504" s="302">
        <v>1.3507809341039994</v>
      </c>
      <c r="C504" s="302">
        <v>0.15267707819922105</v>
      </c>
      <c r="D504" s="302">
        <v>0.10488355029664868</v>
      </c>
      <c r="E504" s="302">
        <f t="shared" si="224"/>
        <v>1.6083415625998692</v>
      </c>
      <c r="F504" s="303"/>
      <c r="G504" s="302">
        <v>1.2637571963293999</v>
      </c>
      <c r="H504" s="302">
        <v>6.1870353638424774E-2</v>
      </c>
      <c r="I504" s="302">
        <v>9.5502578122520762E-2</v>
      </c>
      <c r="J504" s="302">
        <f t="shared" si="225"/>
        <v>1.4211301280903454</v>
      </c>
      <c r="K504" s="303"/>
      <c r="L504" s="302">
        <v>1.29077738913256</v>
      </c>
      <c r="M504" s="302">
        <v>6.2013067914825144E-2</v>
      </c>
      <c r="N504" s="302">
        <v>9.6062601300754558E-2</v>
      </c>
      <c r="O504" s="302">
        <f t="shared" si="226"/>
        <v>1.4488530583481398</v>
      </c>
    </row>
    <row r="505" spans="1:15" s="236" customFormat="1" x14ac:dyDescent="0.2">
      <c r="A505" s="237" t="str">
        <f>name!E$7</f>
        <v>Administrative and secretarial occupations</v>
      </c>
      <c r="B505" s="302">
        <v>0.99143226643137028</v>
      </c>
      <c r="C505" s="302">
        <v>0.81193347069024246</v>
      </c>
      <c r="D505" s="302">
        <v>9.5134478804492745E-2</v>
      </c>
      <c r="E505" s="302">
        <f t="shared" si="224"/>
        <v>1.8985002159261055</v>
      </c>
      <c r="F505" s="303"/>
      <c r="G505" s="302">
        <v>0.77866967664067943</v>
      </c>
      <c r="H505" s="302">
        <v>0.23399517229790656</v>
      </c>
      <c r="I505" s="302">
        <v>6.2778760040928722E-2</v>
      </c>
      <c r="J505" s="302">
        <f t="shared" si="225"/>
        <v>1.0754436089795147</v>
      </c>
      <c r="K505" s="303"/>
      <c r="L505" s="302">
        <v>0.75218062979116596</v>
      </c>
      <c r="M505" s="302">
        <v>0.25371271154940056</v>
      </c>
      <c r="N505" s="302">
        <v>8.8022992505446526E-2</v>
      </c>
      <c r="O505" s="302">
        <f t="shared" si="226"/>
        <v>1.0939163338460129</v>
      </c>
    </row>
    <row r="506" spans="1:15" s="236" customFormat="1" x14ac:dyDescent="0.2">
      <c r="A506" s="237" t="str">
        <f>name!E$8</f>
        <v>Skilled trades occupations</v>
      </c>
      <c r="B506" s="302">
        <v>3.3036805774998768</v>
      </c>
      <c r="C506" s="302">
        <v>0.22052423063298562</v>
      </c>
      <c r="D506" s="302">
        <v>6.2403402068948326</v>
      </c>
      <c r="E506" s="302">
        <f t="shared" si="224"/>
        <v>9.7645450150276947</v>
      </c>
      <c r="F506" s="303"/>
      <c r="G506" s="302">
        <v>2.0399721526628607</v>
      </c>
      <c r="H506" s="302">
        <v>4.9472663070567593E-2</v>
      </c>
      <c r="I506" s="302">
        <v>4.1319375069437996</v>
      </c>
      <c r="J506" s="302">
        <f>SUM(G506:I506)</f>
        <v>6.2213823226772274</v>
      </c>
      <c r="K506" s="303"/>
      <c r="L506" s="302">
        <v>1.4036410736549061</v>
      </c>
      <c r="M506" s="302">
        <v>7.9603347326237056E-2</v>
      </c>
      <c r="N506" s="302">
        <v>4.4479936608566781</v>
      </c>
      <c r="O506" s="302">
        <f t="shared" si="226"/>
        <v>5.9312380818378214</v>
      </c>
    </row>
    <row r="507" spans="1:15" s="236" customFormat="1" x14ac:dyDescent="0.2">
      <c r="A507" s="237" t="str">
        <f>name!E$9</f>
        <v>Caring, leisure and other service occupations</v>
      </c>
      <c r="B507" s="302">
        <v>5.0266985402572795E-2</v>
      </c>
      <c r="C507" s="302">
        <v>1.2287584040184867E-2</v>
      </c>
      <c r="D507" s="302">
        <v>5.4596481344600014E-3</v>
      </c>
      <c r="E507" s="302">
        <f t="shared" si="224"/>
        <v>6.8014217577217664E-2</v>
      </c>
      <c r="F507" s="303"/>
      <c r="G507" s="302">
        <v>4.2329466630448905E-2</v>
      </c>
      <c r="H507" s="302">
        <v>4.5090962359795091E-3</v>
      </c>
      <c r="I507" s="302">
        <v>4.7307012810763908E-3</v>
      </c>
      <c r="J507" s="302">
        <f t="shared" ref="J507:J510" si="227">SUM(G507:I507)</f>
        <v>5.1569264147504804E-2</v>
      </c>
      <c r="K507" s="303"/>
      <c r="L507" s="302">
        <v>4.6827466612058874E-2</v>
      </c>
      <c r="M507" s="302">
        <v>3.9110304586880418E-3</v>
      </c>
      <c r="N507" s="302">
        <v>1.2057140868822506E-2</v>
      </c>
      <c r="O507" s="302">
        <f t="shared" si="226"/>
        <v>6.2795637939569424E-2</v>
      </c>
    </row>
    <row r="508" spans="1:15" s="236" customFormat="1" x14ac:dyDescent="0.2">
      <c r="A508" s="237" t="str">
        <f>name!E$10</f>
        <v>Sales and customer service occupations</v>
      </c>
      <c r="B508" s="302">
        <v>0.32968804960740955</v>
      </c>
      <c r="C508" s="302">
        <v>0.13851167869120046</v>
      </c>
      <c r="D508" s="302">
        <v>5.4673620637610117E-2</v>
      </c>
      <c r="E508" s="302">
        <f t="shared" si="224"/>
        <v>0.52287334893622017</v>
      </c>
      <c r="F508" s="303"/>
      <c r="G508" s="302">
        <v>0.24959677901288621</v>
      </c>
      <c r="H508" s="302">
        <v>4.7646084268411285E-2</v>
      </c>
      <c r="I508" s="302">
        <v>4.1931185752187947E-2</v>
      </c>
      <c r="J508" s="302">
        <f t="shared" si="227"/>
        <v>0.33917404903348547</v>
      </c>
      <c r="K508" s="303"/>
      <c r="L508" s="302">
        <v>0.30487390845928658</v>
      </c>
      <c r="M508" s="302">
        <v>5.84402256439037E-2</v>
      </c>
      <c r="N508" s="302">
        <v>4.9491316265887063E-2</v>
      </c>
      <c r="O508" s="302">
        <f t="shared" si="226"/>
        <v>0.41280545036907734</v>
      </c>
    </row>
    <row r="509" spans="1:15" s="236" customFormat="1" x14ac:dyDescent="0.2">
      <c r="A509" s="237" t="str">
        <f>name!E$11</f>
        <v>Process, plant and machine operatives</v>
      </c>
      <c r="B509" s="302">
        <v>2.2632285819431943</v>
      </c>
      <c r="C509" s="302">
        <v>5.6126202591622924E-2</v>
      </c>
      <c r="D509" s="302">
        <v>0.46217426491341385</v>
      </c>
      <c r="E509" s="302">
        <f t="shared" si="224"/>
        <v>2.7815290494482312</v>
      </c>
      <c r="F509" s="303"/>
      <c r="G509" s="302">
        <v>1.3955444061544398</v>
      </c>
      <c r="H509" s="302">
        <v>2.3473953930977988E-2</v>
      </c>
      <c r="I509" s="302">
        <v>0.4194907694608585</v>
      </c>
      <c r="J509" s="302">
        <f t="shared" si="227"/>
        <v>1.8385091295462763</v>
      </c>
      <c r="K509" s="303"/>
      <c r="L509" s="302">
        <v>1.5706654140450689</v>
      </c>
      <c r="M509" s="302">
        <v>2.9181882655925868E-2</v>
      </c>
      <c r="N509" s="302">
        <v>0.61938492224719399</v>
      </c>
      <c r="O509" s="302">
        <f t="shared" si="226"/>
        <v>2.2192322189481888</v>
      </c>
    </row>
    <row r="510" spans="1:15" s="236" customFormat="1" x14ac:dyDescent="0.2">
      <c r="A510" s="237" t="str">
        <f>name!E$12</f>
        <v>Elementary occupations</v>
      </c>
      <c r="B510" s="302">
        <v>0.97097855491227869</v>
      </c>
      <c r="C510" s="302">
        <v>0.22183988232754104</v>
      </c>
      <c r="D510" s="302">
        <v>0.49884397063657443</v>
      </c>
      <c r="E510" s="302">
        <f t="shared" si="224"/>
        <v>1.6916624078763942</v>
      </c>
      <c r="F510" s="303"/>
      <c r="G510" s="302">
        <v>0.58547738363484336</v>
      </c>
      <c r="H510" s="302">
        <v>6.2294440151738385E-2</v>
      </c>
      <c r="I510" s="302">
        <v>0.36816603434540118</v>
      </c>
      <c r="J510" s="302">
        <f t="shared" si="227"/>
        <v>1.0159378581319829</v>
      </c>
      <c r="K510" s="303"/>
      <c r="L510" s="302">
        <v>0.45244801535469553</v>
      </c>
      <c r="M510" s="302">
        <v>4.6357369745978878E-2</v>
      </c>
      <c r="N510" s="302">
        <v>0.52224056617843773</v>
      </c>
      <c r="O510" s="302">
        <f t="shared" si="226"/>
        <v>1.0210459512791121</v>
      </c>
    </row>
    <row r="511" spans="1:15" s="236" customFormat="1" x14ac:dyDescent="0.2">
      <c r="A511" s="237"/>
      <c r="B511" s="302"/>
      <c r="C511" s="302"/>
      <c r="D511" s="302"/>
      <c r="E511" s="302"/>
      <c r="F511" s="303"/>
      <c r="G511" s="302"/>
      <c r="H511" s="302"/>
      <c r="I511" s="302"/>
      <c r="J511" s="302"/>
      <c r="K511" s="303"/>
      <c r="L511" s="302"/>
      <c r="M511" s="302"/>
      <c r="N511" s="302"/>
      <c r="O511" s="302"/>
    </row>
    <row r="512" spans="1:15" s="236" customFormat="1" x14ac:dyDescent="0.2">
      <c r="A512" s="244" t="s">
        <v>32</v>
      </c>
      <c r="B512" s="311">
        <f>SUM(B502:B510)</f>
        <v>13.805999999884049</v>
      </c>
      <c r="C512" s="311">
        <f t="shared" ref="C512:E512" si="228">SUM(C502:C510)</f>
        <v>1.8850000000200526</v>
      </c>
      <c r="D512" s="311">
        <f t="shared" si="228"/>
        <v>8.2779999995710067</v>
      </c>
      <c r="E512" s="311">
        <f t="shared" si="228"/>
        <v>23.968999999475109</v>
      </c>
      <c r="F512" s="311"/>
      <c r="G512" s="311">
        <f t="shared" ref="G512:J512" si="229">SUM(G502:G510)</f>
        <v>10.66000000001578</v>
      </c>
      <c r="H512" s="311">
        <f t="shared" si="229"/>
        <v>0.61800000000461752</v>
      </c>
      <c r="I512" s="311">
        <f t="shared" si="229"/>
        <v>6.0059999998724685</v>
      </c>
      <c r="J512" s="311">
        <f t="shared" si="229"/>
        <v>17.283999999892867</v>
      </c>
      <c r="K512" s="311"/>
      <c r="L512" s="311">
        <f t="shared" ref="L512:O512" si="230">SUM(L502:L510)</f>
        <v>11.016000000076875</v>
      </c>
      <c r="M512" s="311">
        <f t="shared" si="230"/>
        <v>0.69399999999290474</v>
      </c>
      <c r="N512" s="311">
        <f t="shared" si="230"/>
        <v>6.7299999996519606</v>
      </c>
      <c r="O512" s="311">
        <f t="shared" si="230"/>
        <v>18.439999999721742</v>
      </c>
    </row>
    <row r="513" spans="1:15" s="236" customFormat="1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40"/>
    </row>
    <row r="514" spans="1:15" s="236" customFormat="1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40"/>
      <c r="O514" s="251" t="s">
        <v>35</v>
      </c>
    </row>
    <row r="515" spans="1:15" s="236" customFormat="1" x14ac:dyDescent="0.2">
      <c r="A515" s="242"/>
      <c r="B515" s="242"/>
      <c r="C515" s="242"/>
      <c r="D515" s="242"/>
      <c r="E515" s="242"/>
      <c r="F515" s="242"/>
      <c r="G515" s="242"/>
      <c r="H515" s="242"/>
      <c r="I515" s="242"/>
      <c r="J515" s="242"/>
      <c r="K515" s="242"/>
      <c r="L515" s="242"/>
      <c r="M515" s="242"/>
      <c r="N515" s="242"/>
      <c r="O515" s="242"/>
    </row>
    <row r="516" spans="1:15" s="236" customFormat="1" x14ac:dyDescent="0.2">
      <c r="A516" s="241" t="str">
        <f>name!A33</f>
        <v>Specialised construction</v>
      </c>
      <c r="B516" s="374">
        <f>$B$6</f>
        <v>2015</v>
      </c>
      <c r="C516" s="374"/>
      <c r="D516" s="374"/>
      <c r="E516" s="374"/>
      <c r="F516" s="263"/>
      <c r="G516" s="374">
        <f>$G$6</f>
        <v>2020</v>
      </c>
      <c r="H516" s="374"/>
      <c r="I516" s="374"/>
      <c r="J516" s="374"/>
      <c r="K516" s="263"/>
      <c r="L516" s="374">
        <f>$L$6</f>
        <v>2035</v>
      </c>
      <c r="M516" s="374"/>
      <c r="N516" s="374"/>
      <c r="O516" s="374"/>
    </row>
    <row r="517" spans="1:15" s="236" customFormat="1" x14ac:dyDescent="0.2">
      <c r="A517" s="254"/>
      <c r="B517" s="268" t="str">
        <f>$B$7</f>
        <v>FT</v>
      </c>
      <c r="C517" s="268" t="str">
        <f>$C$7</f>
        <v>PT</v>
      </c>
      <c r="D517" s="268" t="str">
        <f>$D$7</f>
        <v>SE</v>
      </c>
      <c r="E517" s="268" t="str">
        <f>$E$7</f>
        <v>Total</v>
      </c>
      <c r="F517" s="268"/>
      <c r="G517" s="268" t="str">
        <f>$G$7</f>
        <v>FT</v>
      </c>
      <c r="H517" s="268" t="str">
        <f>$H$7</f>
        <v>PT</v>
      </c>
      <c r="I517" s="268" t="str">
        <f>$I$7</f>
        <v>SE</v>
      </c>
      <c r="J517" s="268" t="str">
        <f>$J$7</f>
        <v>Total</v>
      </c>
      <c r="K517" s="268"/>
      <c r="L517" s="268" t="str">
        <f>$L$7</f>
        <v>FT</v>
      </c>
      <c r="M517" s="268" t="str">
        <f>$M$7</f>
        <v>PT</v>
      </c>
      <c r="N517" s="268" t="str">
        <f>$N$7</f>
        <v>SE</v>
      </c>
      <c r="O517" s="268" t="str">
        <f>$O$7</f>
        <v>Total</v>
      </c>
    </row>
    <row r="518" spans="1:15" s="236" customFormat="1" x14ac:dyDescent="0.2">
      <c r="A518" s="258"/>
      <c r="B518" s="239"/>
      <c r="C518" s="239"/>
      <c r="D518" s="239"/>
      <c r="E518" s="239"/>
      <c r="F518" s="239"/>
      <c r="G518" s="239"/>
      <c r="H518" s="239"/>
      <c r="I518" s="239"/>
      <c r="J518" s="239"/>
      <c r="K518" s="239"/>
      <c r="L518" s="239"/>
      <c r="M518" s="239"/>
      <c r="N518" s="239"/>
      <c r="O518" s="239"/>
    </row>
    <row r="519" spans="1:15" s="236" customFormat="1" x14ac:dyDescent="0.2">
      <c r="A519" s="237" t="str">
        <f>name!E$4</f>
        <v>Managers, directors and senior officials</v>
      </c>
      <c r="B519" s="302">
        <v>6.0776188181238195</v>
      </c>
      <c r="C519" s="302">
        <v>0.73923509249041186</v>
      </c>
      <c r="D519" s="302">
        <v>1.6151625136478598</v>
      </c>
      <c r="E519" s="302">
        <f>SUM(B519:D519)</f>
        <v>8.4320164242620912</v>
      </c>
      <c r="F519" s="303"/>
      <c r="G519" s="302">
        <v>7.2405162559508032</v>
      </c>
      <c r="H519" s="302">
        <v>1.1379193613529828</v>
      </c>
      <c r="I519" s="302">
        <v>2.7313646238851552</v>
      </c>
      <c r="J519" s="302">
        <f>SUM(G519:I519)</f>
        <v>11.109800241188942</v>
      </c>
      <c r="K519" s="303"/>
      <c r="L519" s="302">
        <v>7.7979995621914462</v>
      </c>
      <c r="M519" s="302">
        <v>1.3443517180570774</v>
      </c>
      <c r="N519" s="302">
        <v>2.9992439212730209</v>
      </c>
      <c r="O519" s="302">
        <f>SUM(L519:N519)</f>
        <v>12.141595201521543</v>
      </c>
    </row>
    <row r="520" spans="1:15" s="236" customFormat="1" x14ac:dyDescent="0.2">
      <c r="A520" s="237" t="str">
        <f>name!E$5</f>
        <v>Professional occupations</v>
      </c>
      <c r="B520" s="302">
        <v>10.876779675049459</v>
      </c>
      <c r="C520" s="302">
        <v>0.56223655867950084</v>
      </c>
      <c r="D520" s="302">
        <v>1.3519424408047762</v>
      </c>
      <c r="E520" s="302">
        <f t="shared" ref="E520:E527" si="231">SUM(B520:D520)</f>
        <v>12.790958674533737</v>
      </c>
      <c r="F520" s="303"/>
      <c r="G520" s="302">
        <v>14.430082189947436</v>
      </c>
      <c r="H520" s="302">
        <v>0.78794447723800776</v>
      </c>
      <c r="I520" s="302">
        <v>1.9230082003350621</v>
      </c>
      <c r="J520" s="302">
        <f t="shared" ref="J520:J522" si="232">SUM(G520:I520)</f>
        <v>17.141034867520506</v>
      </c>
      <c r="K520" s="303"/>
      <c r="L520" s="302">
        <v>18.480074785964504</v>
      </c>
      <c r="M520" s="302">
        <v>0.95633564059890164</v>
      </c>
      <c r="N520" s="302">
        <v>1.6274013136318153</v>
      </c>
      <c r="O520" s="302">
        <f t="shared" ref="O520:O527" si="233">SUM(L520:N520)</f>
        <v>21.06381174019522</v>
      </c>
    </row>
    <row r="521" spans="1:15" s="236" customFormat="1" x14ac:dyDescent="0.2">
      <c r="A521" s="237" t="str">
        <f>name!E$6</f>
        <v>Associate professional occupations</v>
      </c>
      <c r="B521" s="302">
        <v>5.1348785269789037</v>
      </c>
      <c r="C521" s="302">
        <v>0.7427606773872244</v>
      </c>
      <c r="D521" s="302">
        <v>0.38478074753633928</v>
      </c>
      <c r="E521" s="302">
        <f t="shared" si="231"/>
        <v>6.2624199519024675</v>
      </c>
      <c r="F521" s="303"/>
      <c r="G521" s="302">
        <v>6.4758484159987075</v>
      </c>
      <c r="H521" s="302">
        <v>0.8857352344799142</v>
      </c>
      <c r="I521" s="302">
        <v>0.51454013331945603</v>
      </c>
      <c r="J521" s="302">
        <f t="shared" si="232"/>
        <v>7.8761237837980778</v>
      </c>
      <c r="K521" s="303"/>
      <c r="L521" s="302">
        <v>6.6930666596380854</v>
      </c>
      <c r="M521" s="302">
        <v>0.90054881712406076</v>
      </c>
      <c r="N521" s="302">
        <v>0.49851170791851218</v>
      </c>
      <c r="O521" s="302">
        <f t="shared" si="233"/>
        <v>8.0921271846806579</v>
      </c>
    </row>
    <row r="522" spans="1:15" s="236" customFormat="1" x14ac:dyDescent="0.2">
      <c r="A522" s="237" t="str">
        <f>name!E$7</f>
        <v>Administrative and secretarial occupations</v>
      </c>
      <c r="B522" s="302">
        <v>4.2117410175545045</v>
      </c>
      <c r="C522" s="302">
        <v>4.033809827620753</v>
      </c>
      <c r="D522" s="302">
        <v>0.37894986807737774</v>
      </c>
      <c r="E522" s="302">
        <f t="shared" si="231"/>
        <v>8.624500713252635</v>
      </c>
      <c r="F522" s="303"/>
      <c r="G522" s="302">
        <v>4.3798602666889881</v>
      </c>
      <c r="H522" s="302">
        <v>3.4897663350575372</v>
      </c>
      <c r="I522" s="302">
        <v>0.44622196640161554</v>
      </c>
      <c r="J522" s="302">
        <f t="shared" si="232"/>
        <v>8.3158485681481409</v>
      </c>
      <c r="K522" s="303"/>
      <c r="L522" s="302">
        <v>4.0333905870215201</v>
      </c>
      <c r="M522" s="302">
        <v>3.7833703700094294</v>
      </c>
      <c r="N522" s="302">
        <v>0.46938018860954767</v>
      </c>
      <c r="O522" s="302">
        <f t="shared" si="233"/>
        <v>8.2861411456404959</v>
      </c>
    </row>
    <row r="523" spans="1:15" s="236" customFormat="1" x14ac:dyDescent="0.2">
      <c r="A523" s="237" t="str">
        <f>name!E$8</f>
        <v>Skilled trades occupations</v>
      </c>
      <c r="B523" s="302">
        <v>11.927571794666004</v>
      </c>
      <c r="C523" s="302">
        <v>0.94263038585628567</v>
      </c>
      <c r="D523" s="302">
        <v>22.477325392403262</v>
      </c>
      <c r="E523" s="302">
        <f t="shared" si="231"/>
        <v>35.34752757292555</v>
      </c>
      <c r="F523" s="303"/>
      <c r="G523" s="302">
        <v>9.9565668411550927</v>
      </c>
      <c r="H523" s="302">
        <v>0.64277931168106517</v>
      </c>
      <c r="I523" s="302">
        <v>21.261171312995081</v>
      </c>
      <c r="J523" s="302">
        <f>SUM(G523:I523)</f>
        <v>31.86051746583124</v>
      </c>
      <c r="K523" s="303"/>
      <c r="L523" s="302">
        <v>6.870461998178687</v>
      </c>
      <c r="M523" s="302">
        <v>1.0323962689777877</v>
      </c>
      <c r="N523" s="302">
        <v>22.877986322969925</v>
      </c>
      <c r="O523" s="302">
        <f t="shared" si="233"/>
        <v>30.780844590126399</v>
      </c>
    </row>
    <row r="524" spans="1:15" s="236" customFormat="1" x14ac:dyDescent="0.2">
      <c r="A524" s="237" t="str">
        <f>name!E$9</f>
        <v>Caring, leisure and other service occupations</v>
      </c>
      <c r="B524" s="302">
        <v>0.19155157632354644</v>
      </c>
      <c r="C524" s="302">
        <v>5.7038340356965637E-2</v>
      </c>
      <c r="D524" s="302">
        <v>2.131626117020486E-2</v>
      </c>
      <c r="E524" s="302">
        <f t="shared" si="231"/>
        <v>0.26990617785071697</v>
      </c>
      <c r="F524" s="303"/>
      <c r="G524" s="302">
        <v>0.21558293161909728</v>
      </c>
      <c r="H524" s="302">
        <v>6.1645557654128699E-2</v>
      </c>
      <c r="I524" s="302">
        <v>3.1721934001062546E-2</v>
      </c>
      <c r="J524" s="302">
        <f t="shared" ref="J524:J527" si="234">SUM(G524:I524)</f>
        <v>0.30895042327428851</v>
      </c>
      <c r="K524" s="303"/>
      <c r="L524" s="302">
        <v>0.23803831525953315</v>
      </c>
      <c r="M524" s="302">
        <v>5.3620795575522531E-2</v>
      </c>
      <c r="N524" s="302">
        <v>6.4641420550336268E-2</v>
      </c>
      <c r="O524" s="302">
        <f t="shared" si="233"/>
        <v>0.35630053138539197</v>
      </c>
    </row>
    <row r="525" spans="1:15" s="236" customFormat="1" x14ac:dyDescent="0.2">
      <c r="A525" s="237" t="str">
        <f>name!E$10</f>
        <v>Sales and customer service occupations</v>
      </c>
      <c r="B525" s="302">
        <v>1.2988661776754402</v>
      </c>
      <c r="C525" s="302">
        <v>0.66608107362123636</v>
      </c>
      <c r="D525" s="302">
        <v>0.20074474075697582</v>
      </c>
      <c r="E525" s="302">
        <f t="shared" si="231"/>
        <v>2.1656919920536524</v>
      </c>
      <c r="F525" s="303"/>
      <c r="G525" s="302">
        <v>1.3203577199046881</v>
      </c>
      <c r="H525" s="302">
        <v>0.68448071687696121</v>
      </c>
      <c r="I525" s="302">
        <v>0.22614566385039234</v>
      </c>
      <c r="J525" s="302">
        <f t="shared" si="234"/>
        <v>2.2309841006320417</v>
      </c>
      <c r="K525" s="303"/>
      <c r="L525" s="302">
        <v>1.6022290524673384</v>
      </c>
      <c r="M525" s="302">
        <v>0.83119086323661784</v>
      </c>
      <c r="N525" s="302">
        <v>0.25699358025573088</v>
      </c>
      <c r="O525" s="302">
        <f t="shared" si="233"/>
        <v>2.690413495959687</v>
      </c>
    </row>
    <row r="526" spans="1:15" s="236" customFormat="1" x14ac:dyDescent="0.2">
      <c r="A526" s="237" t="str">
        <f>name!E$11</f>
        <v>Process, plant and machine operatives</v>
      </c>
      <c r="B526" s="302">
        <v>8.1809197491090551</v>
      </c>
      <c r="C526" s="302">
        <v>0.24523038465282818</v>
      </c>
      <c r="D526" s="302">
        <v>1.6658199232870301</v>
      </c>
      <c r="E526" s="302">
        <f t="shared" si="231"/>
        <v>10.091970057048913</v>
      </c>
      <c r="F526" s="303"/>
      <c r="G526" s="302">
        <v>6.8133169402788587</v>
      </c>
      <c r="H526" s="302">
        <v>0.3078643629965836</v>
      </c>
      <c r="I526" s="302">
        <v>2.1633945969151491</v>
      </c>
      <c r="J526" s="302">
        <f t="shared" si="234"/>
        <v>9.2845759001905908</v>
      </c>
      <c r="K526" s="303"/>
      <c r="L526" s="302">
        <v>7.6658123026025988</v>
      </c>
      <c r="M526" s="302">
        <v>0.38535596839304098</v>
      </c>
      <c r="N526" s="302">
        <v>3.1877293332044818</v>
      </c>
      <c r="O526" s="302">
        <f t="shared" si="233"/>
        <v>11.238897604200121</v>
      </c>
    </row>
    <row r="527" spans="1:15" s="236" customFormat="1" x14ac:dyDescent="0.2">
      <c r="A527" s="237" t="str">
        <f>name!E$12</f>
        <v>Elementary occupations</v>
      </c>
      <c r="B527" s="302">
        <v>3.5150726640720467</v>
      </c>
      <c r="C527" s="302">
        <v>1.0299776594361918</v>
      </c>
      <c r="D527" s="302">
        <v>1.818958110773244</v>
      </c>
      <c r="E527" s="302">
        <f t="shared" si="231"/>
        <v>6.3640084342814829</v>
      </c>
      <c r="F527" s="303"/>
      <c r="G527" s="302">
        <v>2.861868438500482</v>
      </c>
      <c r="H527" s="302">
        <v>0.86186464273361219</v>
      </c>
      <c r="I527" s="302">
        <v>1.9444315676398791</v>
      </c>
      <c r="J527" s="302">
        <f t="shared" si="234"/>
        <v>5.6681646488739732</v>
      </c>
      <c r="K527" s="303"/>
      <c r="L527" s="302">
        <v>2.213926737064067</v>
      </c>
      <c r="M527" s="302">
        <v>0.64782955792016605</v>
      </c>
      <c r="N527" s="302">
        <v>2.6951122097971312</v>
      </c>
      <c r="O527" s="302">
        <f t="shared" si="233"/>
        <v>5.5568685047813648</v>
      </c>
    </row>
    <row r="528" spans="1:15" s="236" customFormat="1" x14ac:dyDescent="0.2">
      <c r="A528" s="237"/>
      <c r="B528" s="302"/>
      <c r="C528" s="302"/>
      <c r="D528" s="302"/>
      <c r="E528" s="302"/>
      <c r="F528" s="303"/>
      <c r="G528" s="302"/>
      <c r="H528" s="302"/>
      <c r="I528" s="302"/>
      <c r="J528" s="302"/>
      <c r="K528" s="303"/>
      <c r="L528" s="302"/>
      <c r="M528" s="302"/>
      <c r="N528" s="302"/>
      <c r="O528" s="302"/>
    </row>
    <row r="529" spans="1:15" s="236" customFormat="1" x14ac:dyDescent="0.2">
      <c r="A529" s="244" t="s">
        <v>32</v>
      </c>
      <c r="B529" s="311">
        <f>SUM(B519:B527)</f>
        <v>51.414999999552784</v>
      </c>
      <c r="C529" s="311">
        <f t="shared" ref="C529:E529" si="235">SUM(C519:C527)</f>
        <v>9.0190000001013981</v>
      </c>
      <c r="D529" s="311">
        <f t="shared" si="235"/>
        <v>29.914999998457073</v>
      </c>
      <c r="E529" s="311">
        <f t="shared" si="235"/>
        <v>90.348999998111239</v>
      </c>
      <c r="F529" s="311"/>
      <c r="G529" s="311">
        <f t="shared" ref="G529:J529" si="236">SUM(G519:G527)</f>
        <v>53.694000000044149</v>
      </c>
      <c r="H529" s="311">
        <f t="shared" si="236"/>
        <v>8.8600000000707926</v>
      </c>
      <c r="I529" s="311">
        <f t="shared" si="236"/>
        <v>31.241999999342855</v>
      </c>
      <c r="J529" s="311">
        <f t="shared" si="236"/>
        <v>93.795999999457791</v>
      </c>
      <c r="K529" s="311"/>
      <c r="L529" s="311">
        <f t="shared" ref="L529:O529" si="237">SUM(L519:L527)</f>
        <v>55.59500000038777</v>
      </c>
      <c r="M529" s="311">
        <f t="shared" si="237"/>
        <v>9.9349999998926055</v>
      </c>
      <c r="N529" s="311">
        <f t="shared" si="237"/>
        <v>34.676999998210498</v>
      </c>
      <c r="O529" s="311">
        <f t="shared" si="237"/>
        <v>100.20699999849087</v>
      </c>
    </row>
    <row r="530" spans="1:15" s="236" customFormat="1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40"/>
    </row>
    <row r="531" spans="1:15" s="236" customFormat="1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40"/>
      <c r="O531" s="251" t="s">
        <v>35</v>
      </c>
    </row>
    <row r="532" spans="1:15" s="236" customFormat="1" x14ac:dyDescent="0.2">
      <c r="A532" s="242"/>
      <c r="B532" s="242"/>
      <c r="C532" s="242"/>
      <c r="D532" s="242"/>
      <c r="E532" s="242"/>
      <c r="F532" s="242"/>
      <c r="G532" s="242"/>
      <c r="H532" s="242"/>
      <c r="I532" s="242"/>
      <c r="J532" s="242"/>
      <c r="K532" s="242"/>
      <c r="L532" s="242"/>
      <c r="M532" s="242"/>
      <c r="N532" s="242"/>
      <c r="O532" s="242"/>
    </row>
    <row r="533" spans="1:15" s="236" customFormat="1" x14ac:dyDescent="0.2">
      <c r="A533" s="241" t="str">
        <f>name!A34</f>
        <v>Motor vehicle trade</v>
      </c>
      <c r="B533" s="374">
        <f>$B$6</f>
        <v>2015</v>
      </c>
      <c r="C533" s="374"/>
      <c r="D533" s="374"/>
      <c r="E533" s="374"/>
      <c r="F533" s="263"/>
      <c r="G533" s="374">
        <f>$G$6</f>
        <v>2020</v>
      </c>
      <c r="H533" s="374"/>
      <c r="I533" s="374"/>
      <c r="J533" s="374"/>
      <c r="K533" s="263"/>
      <c r="L533" s="374">
        <f>$L$6</f>
        <v>2035</v>
      </c>
      <c r="M533" s="374"/>
      <c r="N533" s="374"/>
      <c r="O533" s="374"/>
    </row>
    <row r="534" spans="1:15" s="236" customFormat="1" x14ac:dyDescent="0.2">
      <c r="A534" s="254"/>
      <c r="B534" s="268" t="str">
        <f>$B$7</f>
        <v>FT</v>
      </c>
      <c r="C534" s="268" t="str">
        <f>$C$7</f>
        <v>PT</v>
      </c>
      <c r="D534" s="268" t="str">
        <f>$D$7</f>
        <v>SE</v>
      </c>
      <c r="E534" s="268" t="str">
        <f>$E$7</f>
        <v>Total</v>
      </c>
      <c r="F534" s="268"/>
      <c r="G534" s="268" t="str">
        <f>$G$7</f>
        <v>FT</v>
      </c>
      <c r="H534" s="268" t="str">
        <f>$H$7</f>
        <v>PT</v>
      </c>
      <c r="I534" s="268" t="str">
        <f>$I$7</f>
        <v>SE</v>
      </c>
      <c r="J534" s="268" t="str">
        <f>$J$7</f>
        <v>Total</v>
      </c>
      <c r="K534" s="268"/>
      <c r="L534" s="268" t="str">
        <f>$L$7</f>
        <v>FT</v>
      </c>
      <c r="M534" s="268" t="str">
        <f>$M$7</f>
        <v>PT</v>
      </c>
      <c r="N534" s="268" t="str">
        <f>$N$7</f>
        <v>SE</v>
      </c>
      <c r="O534" s="268" t="str">
        <f>$O$7</f>
        <v>Total</v>
      </c>
    </row>
    <row r="535" spans="1:15" s="236" customFormat="1" x14ac:dyDescent="0.2">
      <c r="A535" s="258"/>
      <c r="B535" s="239"/>
      <c r="C535" s="239"/>
      <c r="D535" s="239"/>
      <c r="E535" s="239"/>
      <c r="F535" s="239"/>
      <c r="G535" s="239"/>
      <c r="H535" s="239"/>
      <c r="I535" s="239"/>
      <c r="J535" s="239"/>
      <c r="K535" s="239"/>
      <c r="L535" s="239"/>
      <c r="M535" s="239"/>
      <c r="N535" s="239"/>
      <c r="O535" s="239"/>
    </row>
    <row r="536" spans="1:15" s="236" customFormat="1" x14ac:dyDescent="0.2">
      <c r="A536" s="237" t="str">
        <f>name!E$4</f>
        <v>Managers, directors and senior officials</v>
      </c>
      <c r="B536" s="302">
        <v>3.4120317352608489</v>
      </c>
      <c r="C536" s="302">
        <v>0.16139591146446219</v>
      </c>
      <c r="D536" s="302">
        <v>0.80161276533471681</v>
      </c>
      <c r="E536" s="302">
        <f>SUM(B536:D536)</f>
        <v>4.3750404120600281</v>
      </c>
      <c r="F536" s="303"/>
      <c r="G536" s="302">
        <v>3.8565642548719206</v>
      </c>
      <c r="H536" s="302">
        <v>0.19824879613720198</v>
      </c>
      <c r="I536" s="302">
        <v>1.2752431462328615</v>
      </c>
      <c r="J536" s="302">
        <f>SUM(G536:I536)</f>
        <v>5.3300561972419835</v>
      </c>
      <c r="K536" s="303"/>
      <c r="L536" s="302">
        <v>4.8967046135018029</v>
      </c>
      <c r="M536" s="302">
        <v>0.22574980154340835</v>
      </c>
      <c r="N536" s="302">
        <v>1.6935118988276414</v>
      </c>
      <c r="O536" s="302">
        <f>SUM(L536:N536)</f>
        <v>6.8159663138728526</v>
      </c>
    </row>
    <row r="537" spans="1:15" s="236" customFormat="1" x14ac:dyDescent="0.2">
      <c r="A537" s="237" t="str">
        <f>name!E$5</f>
        <v>Professional occupations</v>
      </c>
      <c r="B537" s="302">
        <v>1.6508860356914774</v>
      </c>
      <c r="C537" s="302">
        <v>0.10994422226740283</v>
      </c>
      <c r="D537" s="302">
        <v>0.12612725663978827</v>
      </c>
      <c r="E537" s="302">
        <f t="shared" ref="E537:E544" si="238">SUM(B537:D537)</f>
        <v>1.8869575145986683</v>
      </c>
      <c r="F537" s="303"/>
      <c r="G537" s="302">
        <v>2.1425686210714923</v>
      </c>
      <c r="H537" s="302">
        <v>0.16027173489232122</v>
      </c>
      <c r="I537" s="302">
        <v>0.19855915612917174</v>
      </c>
      <c r="J537" s="302">
        <f t="shared" ref="J537:J539" si="239">SUM(G537:I537)</f>
        <v>2.5013995120929851</v>
      </c>
      <c r="K537" s="303"/>
      <c r="L537" s="302">
        <v>3.0537550157883406</v>
      </c>
      <c r="M537" s="302">
        <v>0.25270985881438718</v>
      </c>
      <c r="N537" s="302">
        <v>0.1628700235507953</v>
      </c>
      <c r="O537" s="302">
        <f t="shared" ref="O537:O544" si="240">SUM(L537:N537)</f>
        <v>3.469334898153523</v>
      </c>
    </row>
    <row r="538" spans="1:15" s="236" customFormat="1" x14ac:dyDescent="0.2">
      <c r="A538" s="237" t="str">
        <f>name!E$6</f>
        <v>Associate professional occupations</v>
      </c>
      <c r="B538" s="302">
        <v>2.2247873238540579</v>
      </c>
      <c r="C538" s="302">
        <v>0.17554158952758681</v>
      </c>
      <c r="D538" s="302">
        <v>0.10419137032591344</v>
      </c>
      <c r="E538" s="302">
        <f t="shared" si="238"/>
        <v>2.5045202837075582</v>
      </c>
      <c r="F538" s="303"/>
      <c r="G538" s="302">
        <v>2.4895021813843634</v>
      </c>
      <c r="H538" s="302">
        <v>0.16904226144389184</v>
      </c>
      <c r="I538" s="302">
        <v>0.15017603653277792</v>
      </c>
      <c r="J538" s="302">
        <f t="shared" si="239"/>
        <v>2.8087204793610332</v>
      </c>
      <c r="K538" s="303"/>
      <c r="L538" s="302">
        <v>2.8504080295775105</v>
      </c>
      <c r="M538" s="302">
        <v>0.15827874433670924</v>
      </c>
      <c r="N538" s="302">
        <v>0.13298111902176635</v>
      </c>
      <c r="O538" s="302">
        <f t="shared" si="240"/>
        <v>3.141667892935986</v>
      </c>
    </row>
    <row r="539" spans="1:15" s="236" customFormat="1" x14ac:dyDescent="0.2">
      <c r="A539" s="237" t="str">
        <f>name!E$7</f>
        <v>Administrative and secretarial occupations</v>
      </c>
      <c r="B539" s="302">
        <v>3.8710944240338918</v>
      </c>
      <c r="C539" s="302">
        <v>0.93811934243794115</v>
      </c>
      <c r="D539" s="302">
        <v>0.18011977007621779</v>
      </c>
      <c r="E539" s="302">
        <f t="shared" si="238"/>
        <v>4.9893335365480507</v>
      </c>
      <c r="F539" s="303"/>
      <c r="G539" s="302">
        <v>3.5944773146409426</v>
      </c>
      <c r="H539" s="302">
        <v>0.77447058100301269</v>
      </c>
      <c r="I539" s="302">
        <v>0.21104905165513349</v>
      </c>
      <c r="J539" s="302">
        <f t="shared" si="239"/>
        <v>4.5799969472990885</v>
      </c>
      <c r="K539" s="303"/>
      <c r="L539" s="302">
        <v>4.4295042711202024</v>
      </c>
      <c r="M539" s="302">
        <v>0.60959402345945712</v>
      </c>
      <c r="N539" s="302">
        <v>0.19844959697799452</v>
      </c>
      <c r="O539" s="302">
        <f t="shared" si="240"/>
        <v>5.2375478915576537</v>
      </c>
    </row>
    <row r="540" spans="1:15" s="236" customFormat="1" x14ac:dyDescent="0.2">
      <c r="A540" s="237" t="str">
        <f>name!E$8</f>
        <v>Skilled trades occupations</v>
      </c>
      <c r="B540" s="302">
        <v>14.752441712682733</v>
      </c>
      <c r="C540" s="302">
        <v>0.88860101008021597</v>
      </c>
      <c r="D540" s="302">
        <v>2.0696973667431853</v>
      </c>
      <c r="E540" s="302">
        <f t="shared" si="238"/>
        <v>17.710740089506135</v>
      </c>
      <c r="F540" s="303"/>
      <c r="G540" s="302">
        <v>12.119592592336144</v>
      </c>
      <c r="H540" s="302">
        <v>0.47576795564915442</v>
      </c>
      <c r="I540" s="302">
        <v>2.9300283800263021</v>
      </c>
      <c r="J540" s="302">
        <f>SUM(G540:I540)</f>
        <v>15.5253889280116</v>
      </c>
      <c r="K540" s="303"/>
      <c r="L540" s="302">
        <v>11.88235609627959</v>
      </c>
      <c r="M540" s="302">
        <v>0.56220071183210607</v>
      </c>
      <c r="N540" s="302">
        <v>3.1571868867568558</v>
      </c>
      <c r="O540" s="302">
        <f t="shared" si="240"/>
        <v>15.601743694868553</v>
      </c>
    </row>
    <row r="541" spans="1:15" s="236" customFormat="1" x14ac:dyDescent="0.2">
      <c r="A541" s="237" t="str">
        <f>name!E$9</f>
        <v>Caring, leisure and other service occupations</v>
      </c>
      <c r="B541" s="302">
        <v>0.68476760642890822</v>
      </c>
      <c r="C541" s="302">
        <v>3.9597514642798572E-2</v>
      </c>
      <c r="D541" s="302">
        <v>5.0472549133697649E-2</v>
      </c>
      <c r="E541" s="302">
        <f t="shared" si="238"/>
        <v>0.77483767020540451</v>
      </c>
      <c r="F541" s="303"/>
      <c r="G541" s="302">
        <v>0.61510534861631327</v>
      </c>
      <c r="H541" s="302">
        <v>2.7666645049452366E-2</v>
      </c>
      <c r="I541" s="302">
        <v>8.2468789327097669E-2</v>
      </c>
      <c r="J541" s="302">
        <f t="shared" ref="J541:J544" si="241">SUM(G541:I541)</f>
        <v>0.72524078299286332</v>
      </c>
      <c r="K541" s="303"/>
      <c r="L541" s="302">
        <v>0.92787427992906601</v>
      </c>
      <c r="M541" s="302">
        <v>2.2115314414527108E-2</v>
      </c>
      <c r="N541" s="302">
        <v>0.10494982128127689</v>
      </c>
      <c r="O541" s="302">
        <f t="shared" si="240"/>
        <v>1.0549394156248699</v>
      </c>
    </row>
    <row r="542" spans="1:15" s="236" customFormat="1" x14ac:dyDescent="0.2">
      <c r="A542" s="237" t="str">
        <f>name!E$10</f>
        <v>Sales and customer service occupations</v>
      </c>
      <c r="B542" s="302">
        <v>3.5065322726662091</v>
      </c>
      <c r="C542" s="302">
        <v>2.1716491256862405</v>
      </c>
      <c r="D542" s="302">
        <v>0.4573645317566386</v>
      </c>
      <c r="E542" s="302">
        <f t="shared" si="238"/>
        <v>6.1355459301090889</v>
      </c>
      <c r="F542" s="303"/>
      <c r="G542" s="302">
        <v>2.9756752528101642</v>
      </c>
      <c r="H542" s="302">
        <v>1.5951711616684616</v>
      </c>
      <c r="I542" s="302">
        <v>0.58206822351062837</v>
      </c>
      <c r="J542" s="302">
        <f t="shared" si="241"/>
        <v>5.1529146379892543</v>
      </c>
      <c r="K542" s="303"/>
      <c r="L542" s="302">
        <v>3.0417419688695104</v>
      </c>
      <c r="M542" s="302">
        <v>1.5703688148621926</v>
      </c>
      <c r="N542" s="302">
        <v>0.54175893946028075</v>
      </c>
      <c r="O542" s="302">
        <f t="shared" si="240"/>
        <v>5.1538697231919839</v>
      </c>
    </row>
    <row r="543" spans="1:15" s="236" customFormat="1" x14ac:dyDescent="0.2">
      <c r="A543" s="237" t="str">
        <f>name!E$11</f>
        <v>Process, plant and machine operatives</v>
      </c>
      <c r="B543" s="302">
        <v>2.9781108040904827</v>
      </c>
      <c r="C543" s="302">
        <v>0.34679051602907446</v>
      </c>
      <c r="D543" s="302">
        <v>7.423391836448523E-2</v>
      </c>
      <c r="E543" s="302">
        <f t="shared" si="238"/>
        <v>3.3991352384840425</v>
      </c>
      <c r="F543" s="303"/>
      <c r="G543" s="302">
        <v>2.3420046903643108</v>
      </c>
      <c r="H543" s="302">
        <v>0.22955778272407701</v>
      </c>
      <c r="I543" s="302">
        <v>0.12157567574464778</v>
      </c>
      <c r="J543" s="302">
        <f t="shared" si="241"/>
        <v>2.6931381488330355</v>
      </c>
      <c r="K543" s="303"/>
      <c r="L543" s="302">
        <v>2.9700431396959317</v>
      </c>
      <c r="M543" s="302">
        <v>0.26167886458067119</v>
      </c>
      <c r="N543" s="302">
        <v>0.16934714422344807</v>
      </c>
      <c r="O543" s="302">
        <f t="shared" si="240"/>
        <v>3.401069148500051</v>
      </c>
    </row>
    <row r="544" spans="1:15" s="236" customFormat="1" x14ac:dyDescent="0.2">
      <c r="A544" s="237" t="str">
        <f>name!E$12</f>
        <v>Elementary occupations</v>
      </c>
      <c r="B544" s="302">
        <v>0.99734808501674643</v>
      </c>
      <c r="C544" s="302">
        <v>0.85036076800354898</v>
      </c>
      <c r="D544" s="302">
        <v>0.12518047157577772</v>
      </c>
      <c r="E544" s="302">
        <f t="shared" si="238"/>
        <v>1.972889324596073</v>
      </c>
      <c r="F544" s="303"/>
      <c r="G544" s="302">
        <v>0.80350974410336129</v>
      </c>
      <c r="H544" s="302">
        <v>0.52580308155270916</v>
      </c>
      <c r="I544" s="302">
        <v>0.17083154083243268</v>
      </c>
      <c r="J544" s="302">
        <f t="shared" si="241"/>
        <v>1.5001443664885032</v>
      </c>
      <c r="K544" s="303"/>
      <c r="L544" s="302">
        <v>0.75161258546972987</v>
      </c>
      <c r="M544" s="302">
        <v>0.42730386613951449</v>
      </c>
      <c r="N544" s="302">
        <v>0.18294456985402041</v>
      </c>
      <c r="O544" s="302">
        <f t="shared" si="240"/>
        <v>1.3618610214632647</v>
      </c>
    </row>
    <row r="545" spans="1:15" s="236" customFormat="1" x14ac:dyDescent="0.2">
      <c r="A545" s="237"/>
      <c r="B545" s="302"/>
      <c r="C545" s="302"/>
      <c r="D545" s="302"/>
      <c r="E545" s="302"/>
      <c r="F545" s="303"/>
      <c r="G545" s="302"/>
      <c r="H545" s="302"/>
      <c r="I545" s="302"/>
      <c r="J545" s="302"/>
      <c r="K545" s="303"/>
      <c r="L545" s="302"/>
      <c r="M545" s="302"/>
      <c r="N545" s="302"/>
      <c r="O545" s="302"/>
    </row>
    <row r="546" spans="1:15" s="236" customFormat="1" x14ac:dyDescent="0.2">
      <c r="A546" s="244" t="s">
        <v>32</v>
      </c>
      <c r="B546" s="311">
        <f>SUM(B536:B544)</f>
        <v>34.077999999725357</v>
      </c>
      <c r="C546" s="311">
        <f t="shared" ref="C546:E546" si="242">SUM(C536:C544)</f>
        <v>5.6820000001392712</v>
      </c>
      <c r="D546" s="311">
        <f t="shared" si="242"/>
        <v>3.9889999999504209</v>
      </c>
      <c r="E546" s="311">
        <f t="shared" si="242"/>
        <v>43.748999999815055</v>
      </c>
      <c r="F546" s="311"/>
      <c r="G546" s="311">
        <f t="shared" ref="G546:J546" si="243">SUM(G536:G544)</f>
        <v>30.939000000199012</v>
      </c>
      <c r="H546" s="311">
        <f t="shared" si="243"/>
        <v>4.1560000001202821</v>
      </c>
      <c r="I546" s="311">
        <f t="shared" si="243"/>
        <v>5.7219999999910529</v>
      </c>
      <c r="J546" s="311">
        <f t="shared" si="243"/>
        <v>40.817000000310351</v>
      </c>
      <c r="K546" s="311"/>
      <c r="L546" s="311">
        <f t="shared" ref="L546:O546" si="244">SUM(L536:L544)</f>
        <v>34.804000000231682</v>
      </c>
      <c r="M546" s="311">
        <f t="shared" si="244"/>
        <v>4.0899999999829735</v>
      </c>
      <c r="N546" s="311">
        <f t="shared" si="244"/>
        <v>6.3439999999540806</v>
      </c>
      <c r="O546" s="311">
        <f t="shared" si="244"/>
        <v>45.238000000168732</v>
      </c>
    </row>
    <row r="547" spans="1:15" s="236" customFormat="1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40"/>
    </row>
    <row r="548" spans="1:15" s="236" customFormat="1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40"/>
      <c r="O548" s="251" t="s">
        <v>35</v>
      </c>
    </row>
    <row r="549" spans="1:15" s="236" customFormat="1" x14ac:dyDescent="0.2">
      <c r="A549" s="242"/>
      <c r="B549" s="242"/>
      <c r="C549" s="242"/>
      <c r="D549" s="242"/>
      <c r="E549" s="242"/>
      <c r="F549" s="242"/>
      <c r="G549" s="242"/>
      <c r="H549" s="242"/>
      <c r="I549" s="242"/>
      <c r="J549" s="242"/>
      <c r="K549" s="242"/>
      <c r="L549" s="242"/>
      <c r="M549" s="242"/>
      <c r="N549" s="242"/>
      <c r="O549" s="242"/>
    </row>
    <row r="550" spans="1:15" s="236" customFormat="1" x14ac:dyDescent="0.2">
      <c r="A550" s="241" t="str">
        <f>name!A35</f>
        <v>Wholesale trade</v>
      </c>
      <c r="B550" s="374">
        <f>$B$6</f>
        <v>2015</v>
      </c>
      <c r="C550" s="374"/>
      <c r="D550" s="374"/>
      <c r="E550" s="374"/>
      <c r="F550" s="263"/>
      <c r="G550" s="374">
        <f>$G$6</f>
        <v>2020</v>
      </c>
      <c r="H550" s="374"/>
      <c r="I550" s="374"/>
      <c r="J550" s="374"/>
      <c r="K550" s="263"/>
      <c r="L550" s="374">
        <f>$L$6</f>
        <v>2035</v>
      </c>
      <c r="M550" s="374"/>
      <c r="N550" s="374"/>
      <c r="O550" s="374"/>
    </row>
    <row r="551" spans="1:15" s="236" customFormat="1" x14ac:dyDescent="0.2">
      <c r="A551" s="254"/>
      <c r="B551" s="268" t="str">
        <f>$B$7</f>
        <v>FT</v>
      </c>
      <c r="C551" s="268" t="str">
        <f>$C$7</f>
        <v>PT</v>
      </c>
      <c r="D551" s="268" t="str">
        <f>$D$7</f>
        <v>SE</v>
      </c>
      <c r="E551" s="268" t="str">
        <f>$E$7</f>
        <v>Total</v>
      </c>
      <c r="F551" s="268"/>
      <c r="G551" s="268" t="str">
        <f>$G$7</f>
        <v>FT</v>
      </c>
      <c r="H551" s="268" t="str">
        <f>$H$7</f>
        <v>PT</v>
      </c>
      <c r="I551" s="268" t="str">
        <f>$I$7</f>
        <v>SE</v>
      </c>
      <c r="J551" s="268" t="str">
        <f>$J$7</f>
        <v>Total</v>
      </c>
      <c r="K551" s="268"/>
      <c r="L551" s="268" t="str">
        <f>$L$7</f>
        <v>FT</v>
      </c>
      <c r="M551" s="268" t="str">
        <f>$M$7</f>
        <v>PT</v>
      </c>
      <c r="N551" s="268" t="str">
        <f>$N$7</f>
        <v>SE</v>
      </c>
      <c r="O551" s="268" t="str">
        <f>$O$7</f>
        <v>Total</v>
      </c>
    </row>
    <row r="552" spans="1:15" s="236" customFormat="1" x14ac:dyDescent="0.2">
      <c r="A552" s="258"/>
      <c r="B552" s="239"/>
      <c r="C552" s="239"/>
      <c r="D552" s="239"/>
      <c r="E552" s="239"/>
      <c r="F552" s="239"/>
      <c r="G552" s="239"/>
      <c r="H552" s="239"/>
      <c r="I552" s="239"/>
      <c r="J552" s="239"/>
      <c r="K552" s="239"/>
      <c r="L552" s="239"/>
      <c r="M552" s="239"/>
      <c r="N552" s="239"/>
      <c r="O552" s="239"/>
    </row>
    <row r="553" spans="1:15" s="236" customFormat="1" x14ac:dyDescent="0.2">
      <c r="A553" s="237" t="str">
        <f>name!E$4</f>
        <v>Managers, directors and senior officials</v>
      </c>
      <c r="B553" s="302">
        <v>12.161457102816296</v>
      </c>
      <c r="C553" s="302">
        <v>0.66102792940471022</v>
      </c>
      <c r="D553" s="302">
        <v>1.8049186988878763</v>
      </c>
      <c r="E553" s="302">
        <f>SUM(B553:D553)</f>
        <v>14.627403731108883</v>
      </c>
      <c r="F553" s="303"/>
      <c r="G553" s="302">
        <v>17.20526017631952</v>
      </c>
      <c r="H553" s="302">
        <v>1.2505367352873995</v>
      </c>
      <c r="I553" s="302">
        <v>3.999904292765863</v>
      </c>
      <c r="J553" s="302">
        <f>SUM(G553:I553)</f>
        <v>22.455701204372783</v>
      </c>
      <c r="K553" s="303"/>
      <c r="L553" s="302">
        <v>18.159890273019684</v>
      </c>
      <c r="M553" s="302">
        <v>1.3726741093013177</v>
      </c>
      <c r="N553" s="302">
        <v>4.3425685893571844</v>
      </c>
      <c r="O553" s="302">
        <f>SUM(L553:N553)</f>
        <v>23.875132971678187</v>
      </c>
    </row>
    <row r="554" spans="1:15" s="236" customFormat="1" x14ac:dyDescent="0.2">
      <c r="A554" s="237" t="str">
        <f>name!E$5</f>
        <v>Professional occupations</v>
      </c>
      <c r="B554" s="302">
        <v>7.2478346663804567</v>
      </c>
      <c r="C554" s="302">
        <v>0.33523355001708249</v>
      </c>
      <c r="D554" s="302">
        <v>0.48070774613953532</v>
      </c>
      <c r="E554" s="302">
        <f t="shared" ref="E554:E561" si="245">SUM(B554:D554)</f>
        <v>8.0637759625370737</v>
      </c>
      <c r="F554" s="303"/>
      <c r="G554" s="302">
        <v>11.912056914367579</v>
      </c>
      <c r="H554" s="302">
        <v>0.64651868044557148</v>
      </c>
      <c r="I554" s="302">
        <v>0.9673156737934735</v>
      </c>
      <c r="J554" s="302">
        <f t="shared" ref="J554:J556" si="246">SUM(G554:I554)</f>
        <v>13.525891268606625</v>
      </c>
      <c r="K554" s="303"/>
      <c r="L554" s="302">
        <v>15.013302571413838</v>
      </c>
      <c r="M554" s="302">
        <v>0.73985765933103365</v>
      </c>
      <c r="N554" s="302">
        <v>0.82579993875866697</v>
      </c>
      <c r="O554" s="302">
        <f t="shared" ref="O554:O561" si="247">SUM(L554:N554)</f>
        <v>16.578960169503539</v>
      </c>
    </row>
    <row r="555" spans="1:15" s="236" customFormat="1" x14ac:dyDescent="0.2">
      <c r="A555" s="237" t="str">
        <f>name!E$6</f>
        <v>Associate professional occupations</v>
      </c>
      <c r="B555" s="302">
        <v>9.0887779503978603</v>
      </c>
      <c r="C555" s="302">
        <v>1.0741505690710538</v>
      </c>
      <c r="D555" s="302">
        <v>0.61068110530179409</v>
      </c>
      <c r="E555" s="302">
        <f t="shared" si="245"/>
        <v>10.773609624770707</v>
      </c>
      <c r="F555" s="303"/>
      <c r="G555" s="302">
        <v>13.200045590506553</v>
      </c>
      <c r="H555" s="302">
        <v>1.664921463079128</v>
      </c>
      <c r="I555" s="302">
        <v>0.92809985603633705</v>
      </c>
      <c r="J555" s="302">
        <f t="shared" si="246"/>
        <v>15.793066909622018</v>
      </c>
      <c r="K555" s="303"/>
      <c r="L555" s="302">
        <v>13.471973423759463</v>
      </c>
      <c r="M555" s="302">
        <v>1.5648041096097676</v>
      </c>
      <c r="N555" s="302">
        <v>0.71709528742916873</v>
      </c>
      <c r="O555" s="302">
        <f t="shared" si="247"/>
        <v>15.753872820798399</v>
      </c>
    </row>
    <row r="556" spans="1:15" s="236" customFormat="1" x14ac:dyDescent="0.2">
      <c r="A556" s="237" t="str">
        <f>name!E$7</f>
        <v>Administrative and secretarial occupations</v>
      </c>
      <c r="B556" s="302">
        <v>10.625571017835446</v>
      </c>
      <c r="C556" s="302">
        <v>2.6775503491130914</v>
      </c>
      <c r="D556" s="302">
        <v>0.33929065499833633</v>
      </c>
      <c r="E556" s="302">
        <f t="shared" si="245"/>
        <v>13.642412021946875</v>
      </c>
      <c r="F556" s="303"/>
      <c r="G556" s="302">
        <v>13.926928634519992</v>
      </c>
      <c r="H556" s="302">
        <v>3.4888713763597825</v>
      </c>
      <c r="I556" s="302">
        <v>0.31138755752280928</v>
      </c>
      <c r="J556" s="302">
        <f t="shared" si="246"/>
        <v>17.727187568402584</v>
      </c>
      <c r="K556" s="303"/>
      <c r="L556" s="302">
        <v>13.622932099542924</v>
      </c>
      <c r="M556" s="302">
        <v>2.7229876011621554</v>
      </c>
      <c r="N556" s="302">
        <v>0.3378749637088857</v>
      </c>
      <c r="O556" s="302">
        <f t="shared" si="247"/>
        <v>16.683794664413963</v>
      </c>
    </row>
    <row r="557" spans="1:15" s="236" customFormat="1" x14ac:dyDescent="0.2">
      <c r="A557" s="237" t="str">
        <f>name!E$8</f>
        <v>Skilled trades occupations</v>
      </c>
      <c r="B557" s="302">
        <v>5.3583590204508331</v>
      </c>
      <c r="C557" s="302">
        <v>0.33588829685675081</v>
      </c>
      <c r="D557" s="302">
        <v>0.74018131987408398</v>
      </c>
      <c r="E557" s="302">
        <f t="shared" si="245"/>
        <v>6.4344286371816679</v>
      </c>
      <c r="F557" s="303"/>
      <c r="G557" s="302">
        <v>5.2468535526551312</v>
      </c>
      <c r="H557" s="302">
        <v>0.27423049540475586</v>
      </c>
      <c r="I557" s="302">
        <v>1.3997985748004285</v>
      </c>
      <c r="J557" s="302">
        <f>SUM(G557:I557)</f>
        <v>6.9208826228603151</v>
      </c>
      <c r="K557" s="303"/>
      <c r="L557" s="302">
        <v>4.9021697705527973</v>
      </c>
      <c r="M557" s="302">
        <v>0.33249792703819525</v>
      </c>
      <c r="N557" s="302">
        <v>1.7060487738727641</v>
      </c>
      <c r="O557" s="302">
        <f t="shared" si="247"/>
        <v>6.940716471463757</v>
      </c>
    </row>
    <row r="558" spans="1:15" s="236" customFormat="1" x14ac:dyDescent="0.2">
      <c r="A558" s="237" t="str">
        <f>name!E$9</f>
        <v>Caring, leisure and other service occupations</v>
      </c>
      <c r="B558" s="302">
        <v>0.21724905278063561</v>
      </c>
      <c r="C558" s="302">
        <v>8.5376346431755415E-2</v>
      </c>
      <c r="D558" s="302">
        <v>6.4433606746953934E-2</v>
      </c>
      <c r="E558" s="302">
        <f t="shared" si="245"/>
        <v>0.36705900595934493</v>
      </c>
      <c r="F558" s="303"/>
      <c r="G558" s="302">
        <v>0.28172248300453273</v>
      </c>
      <c r="H558" s="302">
        <v>9.0200439551654715E-2</v>
      </c>
      <c r="I558" s="302">
        <v>7.1592168498996758E-2</v>
      </c>
      <c r="J558" s="302">
        <f t="shared" ref="J558:J561" si="248">SUM(G558:I558)</f>
        <v>0.44351509105518416</v>
      </c>
      <c r="K558" s="303"/>
      <c r="L558" s="302">
        <v>0.33157372516355577</v>
      </c>
      <c r="M558" s="302">
        <v>7.3134353786961231E-2</v>
      </c>
      <c r="N558" s="302">
        <v>0.10154760103654184</v>
      </c>
      <c r="O558" s="302">
        <f t="shared" si="247"/>
        <v>0.50625567998705878</v>
      </c>
    </row>
    <row r="559" spans="1:15" s="236" customFormat="1" x14ac:dyDescent="0.2">
      <c r="A559" s="237" t="str">
        <f>name!E$10</f>
        <v>Sales and customer service occupations</v>
      </c>
      <c r="B559" s="302">
        <v>5.8909423999038362</v>
      </c>
      <c r="C559" s="302">
        <v>2.834253704382955</v>
      </c>
      <c r="D559" s="302">
        <v>0.60174675715434278</v>
      </c>
      <c r="E559" s="302">
        <f t="shared" si="245"/>
        <v>9.3269428614411343</v>
      </c>
      <c r="F559" s="303"/>
      <c r="G559" s="302">
        <v>6.9597215072673349</v>
      </c>
      <c r="H559" s="302">
        <v>3.3105327252160754</v>
      </c>
      <c r="I559" s="302">
        <v>0.67722989333885975</v>
      </c>
      <c r="J559" s="302">
        <f t="shared" si="248"/>
        <v>10.947484125822269</v>
      </c>
      <c r="K559" s="303"/>
      <c r="L559" s="302">
        <v>7.0981086633120229</v>
      </c>
      <c r="M559" s="302">
        <v>3.2589252086840368</v>
      </c>
      <c r="N559" s="302">
        <v>0.65465104242412564</v>
      </c>
      <c r="O559" s="302">
        <f t="shared" si="247"/>
        <v>11.011684914420185</v>
      </c>
    </row>
    <row r="560" spans="1:15" s="236" customFormat="1" x14ac:dyDescent="0.2">
      <c r="A560" s="237" t="str">
        <f>name!E$11</f>
        <v>Process, plant and machine operatives</v>
      </c>
      <c r="B560" s="302">
        <v>17.110909906447642</v>
      </c>
      <c r="C560" s="302">
        <v>0.89526800889442915</v>
      </c>
      <c r="D560" s="302">
        <v>0.2155348355835178</v>
      </c>
      <c r="E560" s="302">
        <f t="shared" si="245"/>
        <v>18.22171275092559</v>
      </c>
      <c r="F560" s="303"/>
      <c r="G560" s="302">
        <v>17.033803984623631</v>
      </c>
      <c r="H560" s="302">
        <v>1.0107174938875447</v>
      </c>
      <c r="I560" s="302">
        <v>0.52839090596999017</v>
      </c>
      <c r="J560" s="302">
        <f t="shared" si="248"/>
        <v>18.572912384481164</v>
      </c>
      <c r="K560" s="303"/>
      <c r="L560" s="302">
        <v>20.245339696130522</v>
      </c>
      <c r="M560" s="302">
        <v>1.3364867533429405</v>
      </c>
      <c r="N560" s="302">
        <v>0.68170763641403964</v>
      </c>
      <c r="O560" s="302">
        <f t="shared" si="247"/>
        <v>22.2635340858875</v>
      </c>
    </row>
    <row r="561" spans="1:15" s="236" customFormat="1" x14ac:dyDescent="0.2">
      <c r="A561" s="237" t="str">
        <f>name!E$12</f>
        <v>Elementary occupations</v>
      </c>
      <c r="B561" s="302">
        <v>9.8518988826536766</v>
      </c>
      <c r="C561" s="302">
        <v>3.394251246139973</v>
      </c>
      <c r="D561" s="302">
        <v>0.1315052753703789</v>
      </c>
      <c r="E561" s="302">
        <f t="shared" si="245"/>
        <v>13.377655404164029</v>
      </c>
      <c r="F561" s="303"/>
      <c r="G561" s="302">
        <v>9.2406071572677089</v>
      </c>
      <c r="H561" s="302">
        <v>3.5624705911657317</v>
      </c>
      <c r="I561" s="302">
        <v>0.13428107736273001</v>
      </c>
      <c r="J561" s="302">
        <f t="shared" si="248"/>
        <v>12.937358825796171</v>
      </c>
      <c r="K561" s="303"/>
      <c r="L561" s="302">
        <v>7.5637097770001889</v>
      </c>
      <c r="M561" s="302">
        <v>3.0756322776422893</v>
      </c>
      <c r="N561" s="302">
        <v>0.10470616713996145</v>
      </c>
      <c r="O561" s="302">
        <f t="shared" si="247"/>
        <v>10.744048221782439</v>
      </c>
    </row>
    <row r="562" spans="1:15" s="236" customFormat="1" x14ac:dyDescent="0.2">
      <c r="A562" s="237"/>
      <c r="B562" s="302"/>
      <c r="C562" s="302"/>
      <c r="D562" s="302"/>
      <c r="E562" s="302"/>
      <c r="F562" s="303"/>
      <c r="G562" s="302"/>
      <c r="H562" s="302"/>
      <c r="I562" s="302"/>
      <c r="J562" s="302"/>
      <c r="K562" s="303"/>
      <c r="L562" s="302"/>
      <c r="M562" s="302"/>
      <c r="N562" s="302"/>
      <c r="O562" s="302"/>
    </row>
    <row r="563" spans="1:15" s="236" customFormat="1" x14ac:dyDescent="0.2">
      <c r="A563" s="244" t="s">
        <v>32</v>
      </c>
      <c r="B563" s="311">
        <f>SUM(B553:B561)</f>
        <v>77.552999999666682</v>
      </c>
      <c r="C563" s="311">
        <f t="shared" ref="C563:E563" si="249">SUM(C553:C561)</f>
        <v>12.293000000311801</v>
      </c>
      <c r="D563" s="311">
        <f t="shared" si="249"/>
        <v>4.9890000000568193</v>
      </c>
      <c r="E563" s="311">
        <f t="shared" si="249"/>
        <v>94.835000000035308</v>
      </c>
      <c r="F563" s="311"/>
      <c r="G563" s="311">
        <f t="shared" ref="G563:J563" si="250">SUM(G553:G561)</f>
        <v>95.007000000531974</v>
      </c>
      <c r="H563" s="311">
        <f t="shared" si="250"/>
        <v>15.299000000397644</v>
      </c>
      <c r="I563" s="311">
        <f t="shared" si="250"/>
        <v>9.0180000000894882</v>
      </c>
      <c r="J563" s="311">
        <f t="shared" si="250"/>
        <v>119.32400000101913</v>
      </c>
      <c r="K563" s="311"/>
      <c r="L563" s="311">
        <f t="shared" ref="L563:O563" si="251">SUM(L553:L561)</f>
        <v>100.40899999989497</v>
      </c>
      <c r="M563" s="311">
        <f t="shared" si="251"/>
        <v>14.476999999898698</v>
      </c>
      <c r="N563" s="311">
        <f t="shared" si="251"/>
        <v>9.4720000001413371</v>
      </c>
      <c r="O563" s="311">
        <f t="shared" si="251"/>
        <v>124.35799999993503</v>
      </c>
    </row>
    <row r="564" spans="1:15" s="236" customFormat="1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40"/>
    </row>
    <row r="565" spans="1:15" s="236" customFormat="1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40"/>
      <c r="O565" s="251" t="s">
        <v>35</v>
      </c>
    </row>
    <row r="566" spans="1:15" s="236" customFormat="1" x14ac:dyDescent="0.2">
      <c r="A566" s="242"/>
      <c r="B566" s="242"/>
      <c r="C566" s="242"/>
      <c r="D566" s="242"/>
      <c r="E566" s="242"/>
      <c r="F566" s="242"/>
      <c r="G566" s="242"/>
      <c r="H566" s="242"/>
      <c r="I566" s="242"/>
      <c r="J566" s="242"/>
      <c r="K566" s="242"/>
      <c r="L566" s="242"/>
      <c r="M566" s="242"/>
      <c r="N566" s="242"/>
      <c r="O566" s="242"/>
    </row>
    <row r="567" spans="1:15" s="236" customFormat="1" x14ac:dyDescent="0.2">
      <c r="A567" s="241" t="str">
        <f>name!A36</f>
        <v>Retail trade</v>
      </c>
      <c r="B567" s="374">
        <f>$B$6</f>
        <v>2015</v>
      </c>
      <c r="C567" s="374"/>
      <c r="D567" s="374"/>
      <c r="E567" s="374"/>
      <c r="F567" s="263"/>
      <c r="G567" s="374">
        <f>$G$6</f>
        <v>2020</v>
      </c>
      <c r="H567" s="374"/>
      <c r="I567" s="374"/>
      <c r="J567" s="374"/>
      <c r="K567" s="263"/>
      <c r="L567" s="374">
        <f>$L$6</f>
        <v>2035</v>
      </c>
      <c r="M567" s="374"/>
      <c r="N567" s="374"/>
      <c r="O567" s="374"/>
    </row>
    <row r="568" spans="1:15" s="236" customFormat="1" x14ac:dyDescent="0.2">
      <c r="A568" s="254"/>
      <c r="B568" s="268" t="str">
        <f>$B$7</f>
        <v>FT</v>
      </c>
      <c r="C568" s="268" t="str">
        <f>$C$7</f>
        <v>PT</v>
      </c>
      <c r="D568" s="268" t="str">
        <f>$D$7</f>
        <v>SE</v>
      </c>
      <c r="E568" s="268" t="str">
        <f>$E$7</f>
        <v>Total</v>
      </c>
      <c r="F568" s="268"/>
      <c r="G568" s="268" t="str">
        <f>$G$7</f>
        <v>FT</v>
      </c>
      <c r="H568" s="268" t="str">
        <f>$H$7</f>
        <v>PT</v>
      </c>
      <c r="I568" s="268" t="str">
        <f>$I$7</f>
        <v>SE</v>
      </c>
      <c r="J568" s="268" t="str">
        <f>$J$7</f>
        <v>Total</v>
      </c>
      <c r="K568" s="268"/>
      <c r="L568" s="268" t="str">
        <f>$L$7</f>
        <v>FT</v>
      </c>
      <c r="M568" s="268" t="str">
        <f>$M$7</f>
        <v>PT</v>
      </c>
      <c r="N568" s="268" t="str">
        <f>$N$7</f>
        <v>SE</v>
      </c>
      <c r="O568" s="268" t="str">
        <f>$O$7</f>
        <v>Total</v>
      </c>
    </row>
    <row r="569" spans="1:15" s="236" customFormat="1" x14ac:dyDescent="0.2">
      <c r="A569" s="258"/>
      <c r="B569" s="239"/>
      <c r="C569" s="239"/>
      <c r="D569" s="239"/>
      <c r="E569" s="239"/>
      <c r="F569" s="239"/>
      <c r="G569" s="239"/>
      <c r="H569" s="239"/>
      <c r="I569" s="239"/>
      <c r="J569" s="239"/>
      <c r="K569" s="239"/>
      <c r="L569" s="239"/>
      <c r="M569" s="239"/>
      <c r="N569" s="239"/>
      <c r="O569" s="239"/>
    </row>
    <row r="570" spans="1:15" s="236" customFormat="1" x14ac:dyDescent="0.2">
      <c r="A570" s="237" t="str">
        <f>name!E$4</f>
        <v>Managers, directors and senior officials</v>
      </c>
      <c r="B570" s="302">
        <v>15.488077609248256</v>
      </c>
      <c r="C570" s="302">
        <v>1.3113827759040202</v>
      </c>
      <c r="D570" s="302">
        <v>5.2623431429632186</v>
      </c>
      <c r="E570" s="302">
        <f>SUM(B570:D570)</f>
        <v>22.061803528115494</v>
      </c>
      <c r="F570" s="303"/>
      <c r="G570" s="302">
        <v>15.090117322665229</v>
      </c>
      <c r="H570" s="302">
        <v>2.1574943797700032</v>
      </c>
      <c r="I570" s="302">
        <v>6.455961329133399</v>
      </c>
      <c r="J570" s="302">
        <f>SUM(G570:I570)</f>
        <v>23.703573031568631</v>
      </c>
      <c r="K570" s="303"/>
      <c r="L570" s="302">
        <v>19.776754297746677</v>
      </c>
      <c r="M570" s="302">
        <v>2.4889586018630729</v>
      </c>
      <c r="N570" s="302">
        <v>8.4263621067222942</v>
      </c>
      <c r="O570" s="302">
        <f>SUM(L570:N570)</f>
        <v>30.692075006332043</v>
      </c>
    </row>
    <row r="571" spans="1:15" s="236" customFormat="1" x14ac:dyDescent="0.2">
      <c r="A571" s="237" t="str">
        <f>name!E$5</f>
        <v>Professional occupations</v>
      </c>
      <c r="B571" s="302">
        <v>10.871033082394788</v>
      </c>
      <c r="C571" s="302">
        <v>2.1956792342252722</v>
      </c>
      <c r="D571" s="302">
        <v>1.3763553055285263</v>
      </c>
      <c r="E571" s="302">
        <f t="shared" ref="E571:E578" si="252">SUM(B571:D571)</f>
        <v>14.443067622148586</v>
      </c>
      <c r="F571" s="303"/>
      <c r="G571" s="302">
        <v>11.971934791736743</v>
      </c>
      <c r="H571" s="302">
        <v>3.2184301477829784</v>
      </c>
      <c r="I571" s="302">
        <v>1.6531356809104312</v>
      </c>
      <c r="J571" s="302">
        <f t="shared" ref="J571:J573" si="253">SUM(G571:I571)</f>
        <v>16.843500620430152</v>
      </c>
      <c r="K571" s="303"/>
      <c r="L571" s="302">
        <v>17.403302327832691</v>
      </c>
      <c r="M571" s="302">
        <v>4.0056597835821126</v>
      </c>
      <c r="N571" s="302">
        <v>1.3925364315252513</v>
      </c>
      <c r="O571" s="302">
        <f t="shared" ref="O571:O578" si="254">SUM(L571:N571)</f>
        <v>22.801498542940053</v>
      </c>
    </row>
    <row r="572" spans="1:15" s="236" customFormat="1" x14ac:dyDescent="0.2">
      <c r="A572" s="237" t="str">
        <f>name!E$6</f>
        <v>Associate professional occupations</v>
      </c>
      <c r="B572" s="302">
        <v>8.8875970701602718</v>
      </c>
      <c r="C572" s="302">
        <v>3.7105865220974259</v>
      </c>
      <c r="D572" s="302">
        <v>0.9391494452495267</v>
      </c>
      <c r="E572" s="302">
        <f t="shared" si="252"/>
        <v>13.537333037507224</v>
      </c>
      <c r="F572" s="303"/>
      <c r="G572" s="302">
        <v>8.9123201741318816</v>
      </c>
      <c r="H572" s="302">
        <v>4.363417979877374</v>
      </c>
      <c r="I572" s="302">
        <v>0.8735538153163579</v>
      </c>
      <c r="J572" s="302">
        <f t="shared" si="253"/>
        <v>14.149291969325613</v>
      </c>
      <c r="K572" s="303"/>
      <c r="L572" s="302">
        <v>10.802216236385743</v>
      </c>
      <c r="M572" s="302">
        <v>4.1979300933710029</v>
      </c>
      <c r="N572" s="302">
        <v>0.76778938680738973</v>
      </c>
      <c r="O572" s="302">
        <f t="shared" si="254"/>
        <v>15.767935716564136</v>
      </c>
    </row>
    <row r="573" spans="1:15" s="236" customFormat="1" x14ac:dyDescent="0.2">
      <c r="A573" s="237" t="str">
        <f>name!E$7</f>
        <v>Administrative and secretarial occupations</v>
      </c>
      <c r="B573" s="302">
        <v>9.0045278871683632</v>
      </c>
      <c r="C573" s="302">
        <v>5.4445020243804407</v>
      </c>
      <c r="D573" s="302">
        <v>0.31994903671252078</v>
      </c>
      <c r="E573" s="302">
        <f t="shared" si="252"/>
        <v>14.768978948261324</v>
      </c>
      <c r="F573" s="303"/>
      <c r="G573" s="302">
        <v>7.8995610123015627</v>
      </c>
      <c r="H573" s="302">
        <v>5.8902764856675605</v>
      </c>
      <c r="I573" s="302">
        <v>0.30312467807456439</v>
      </c>
      <c r="J573" s="302">
        <f t="shared" si="253"/>
        <v>14.092962176043688</v>
      </c>
      <c r="K573" s="303"/>
      <c r="L573" s="302">
        <v>9.350678738794004</v>
      </c>
      <c r="M573" s="302">
        <v>6.1872105677675142</v>
      </c>
      <c r="N573" s="302">
        <v>0.30313085980781074</v>
      </c>
      <c r="O573" s="302">
        <f t="shared" si="254"/>
        <v>15.841020166369328</v>
      </c>
    </row>
    <row r="574" spans="1:15" s="236" customFormat="1" x14ac:dyDescent="0.2">
      <c r="A574" s="237" t="str">
        <f>name!E$8</f>
        <v>Skilled trades occupations</v>
      </c>
      <c r="B574" s="302">
        <v>5.8519114751775945</v>
      </c>
      <c r="C574" s="302">
        <v>2.2650792861444309</v>
      </c>
      <c r="D574" s="302">
        <v>2.5878874199148068</v>
      </c>
      <c r="E574" s="302">
        <f t="shared" si="252"/>
        <v>10.704878181236833</v>
      </c>
      <c r="F574" s="303"/>
      <c r="G574" s="302">
        <v>3.9568715517010769</v>
      </c>
      <c r="H574" s="302">
        <v>1.6343436137025038</v>
      </c>
      <c r="I574" s="302">
        <v>2.8439573659821136</v>
      </c>
      <c r="J574" s="302">
        <f>SUM(G574:I574)</f>
        <v>8.4351725313856942</v>
      </c>
      <c r="K574" s="303"/>
      <c r="L574" s="302">
        <v>4.520870644259765</v>
      </c>
      <c r="M574" s="302">
        <v>1.6265258222933283</v>
      </c>
      <c r="N574" s="302">
        <v>3.39673733368052</v>
      </c>
      <c r="O574" s="302">
        <f t="shared" si="254"/>
        <v>9.5441338002336131</v>
      </c>
    </row>
    <row r="575" spans="1:15" s="236" customFormat="1" x14ac:dyDescent="0.2">
      <c r="A575" s="237" t="str">
        <f>name!E$9</f>
        <v>Caring, leisure and other service occupations</v>
      </c>
      <c r="B575" s="302">
        <v>0.51810706550482832</v>
      </c>
      <c r="C575" s="302">
        <v>0.45871547205991009</v>
      </c>
      <c r="D575" s="302">
        <v>0.2067520787799646</v>
      </c>
      <c r="E575" s="302">
        <f t="shared" si="252"/>
        <v>1.183574616344703</v>
      </c>
      <c r="F575" s="303"/>
      <c r="G575" s="302">
        <v>0.42367463131712252</v>
      </c>
      <c r="H575" s="302">
        <v>0.40672383929973849</v>
      </c>
      <c r="I575" s="302">
        <v>0.23921958116965888</v>
      </c>
      <c r="J575" s="302">
        <f t="shared" ref="J575:J578" si="255">SUM(G575:I575)</f>
        <v>1.0696180517865199</v>
      </c>
      <c r="K575" s="303"/>
      <c r="L575" s="302">
        <v>0.58987608083197818</v>
      </c>
      <c r="M575" s="302">
        <v>0.35073885772261959</v>
      </c>
      <c r="N575" s="302">
        <v>0.47384120760565485</v>
      </c>
      <c r="O575" s="302">
        <f t="shared" si="254"/>
        <v>1.4144561461602527</v>
      </c>
    </row>
    <row r="576" spans="1:15" s="236" customFormat="1" x14ac:dyDescent="0.2">
      <c r="A576" s="237" t="str">
        <f>name!E$10</f>
        <v>Sales and customer service occupations</v>
      </c>
      <c r="B576" s="302">
        <v>29.711287438763204</v>
      </c>
      <c r="C576" s="302">
        <v>84.533644611622336</v>
      </c>
      <c r="D576" s="302">
        <v>4.2364793296684526</v>
      </c>
      <c r="E576" s="302">
        <f t="shared" si="252"/>
        <v>118.481411380054</v>
      </c>
      <c r="F576" s="303"/>
      <c r="G576" s="302">
        <v>21.809303353636601</v>
      </c>
      <c r="H576" s="302">
        <v>79.097373638704241</v>
      </c>
      <c r="I576" s="302">
        <v>3.0796592947036219</v>
      </c>
      <c r="J576" s="302">
        <f t="shared" si="255"/>
        <v>103.98633628704445</v>
      </c>
      <c r="K576" s="303"/>
      <c r="L576" s="302">
        <v>16.345142062921333</v>
      </c>
      <c r="M576" s="302">
        <v>73.102674810182094</v>
      </c>
      <c r="N576" s="302">
        <v>2.2461675416174112</v>
      </c>
      <c r="O576" s="302">
        <f t="shared" si="254"/>
        <v>91.693984414720831</v>
      </c>
    </row>
    <row r="577" spans="1:15" s="236" customFormat="1" x14ac:dyDescent="0.2">
      <c r="A577" s="237" t="str">
        <f>name!E$11</f>
        <v>Process, plant and machine operatives</v>
      </c>
      <c r="B577" s="302">
        <v>4.2333538236811492</v>
      </c>
      <c r="C577" s="302">
        <v>3.4671868511197768</v>
      </c>
      <c r="D577" s="302">
        <v>0.64744743991821907</v>
      </c>
      <c r="E577" s="302">
        <f t="shared" si="252"/>
        <v>8.3479881147191453</v>
      </c>
      <c r="F577" s="303"/>
      <c r="G577" s="302">
        <v>2.8422637296202211</v>
      </c>
      <c r="H577" s="302">
        <v>3.5558112293450295</v>
      </c>
      <c r="I577" s="302">
        <v>0.58690652428965528</v>
      </c>
      <c r="J577" s="302">
        <f t="shared" si="255"/>
        <v>6.9849814832549058</v>
      </c>
      <c r="K577" s="303"/>
      <c r="L577" s="302">
        <v>3.3064851823532893</v>
      </c>
      <c r="M577" s="302">
        <v>5.4731429447267592</v>
      </c>
      <c r="N577" s="302">
        <v>0.52230546955870061</v>
      </c>
      <c r="O577" s="302">
        <f t="shared" si="254"/>
        <v>9.3019335966387491</v>
      </c>
    </row>
    <row r="578" spans="1:15" s="236" customFormat="1" x14ac:dyDescent="0.2">
      <c r="A578" s="237" t="str">
        <f>name!E$12</f>
        <v>Elementary occupations</v>
      </c>
      <c r="B578" s="302">
        <v>8.8001045479085835</v>
      </c>
      <c r="C578" s="302">
        <v>12.593223228022703</v>
      </c>
      <c r="D578" s="302">
        <v>0.11763680148232357</v>
      </c>
      <c r="E578" s="302">
        <f t="shared" si="252"/>
        <v>21.51096457741361</v>
      </c>
      <c r="F578" s="303"/>
      <c r="G578" s="302">
        <v>5.9769534332137031</v>
      </c>
      <c r="H578" s="302">
        <v>10.225128690652781</v>
      </c>
      <c r="I578" s="302">
        <v>0.10648173042830048</v>
      </c>
      <c r="J578" s="302">
        <f t="shared" si="255"/>
        <v>16.308563854294782</v>
      </c>
      <c r="K578" s="303"/>
      <c r="L578" s="302">
        <v>6.0266744285405398</v>
      </c>
      <c r="M578" s="302">
        <v>8.4611585176748854</v>
      </c>
      <c r="N578" s="302">
        <v>0.1101296628335367</v>
      </c>
      <c r="O578" s="302">
        <f t="shared" si="254"/>
        <v>14.597962609048961</v>
      </c>
    </row>
    <row r="579" spans="1:15" s="236" customFormat="1" x14ac:dyDescent="0.2">
      <c r="A579" s="237"/>
      <c r="B579" s="302"/>
      <c r="C579" s="302"/>
      <c r="D579" s="302"/>
      <c r="E579" s="302"/>
      <c r="F579" s="303"/>
      <c r="G579" s="302"/>
      <c r="H579" s="302"/>
      <c r="I579" s="302"/>
      <c r="J579" s="302"/>
      <c r="K579" s="303"/>
      <c r="L579" s="302"/>
      <c r="M579" s="302"/>
      <c r="N579" s="302"/>
      <c r="O579" s="302"/>
    </row>
    <row r="580" spans="1:15" s="236" customFormat="1" x14ac:dyDescent="0.2">
      <c r="A580" s="244" t="s">
        <v>32</v>
      </c>
      <c r="B580" s="311">
        <f>SUM(B570:B578)</f>
        <v>93.366000000007048</v>
      </c>
      <c r="C580" s="311">
        <f t="shared" ref="C580:E580" si="256">SUM(C570:C578)</f>
        <v>115.98000000557633</v>
      </c>
      <c r="D580" s="311">
        <f t="shared" si="256"/>
        <v>15.694000000217558</v>
      </c>
      <c r="E580" s="311">
        <f t="shared" si="256"/>
        <v>225.04000000580092</v>
      </c>
      <c r="F580" s="311"/>
      <c r="G580" s="311">
        <f t="shared" ref="G580:J580" si="257">SUM(G570:G578)</f>
        <v>78.883000000324131</v>
      </c>
      <c r="H580" s="311">
        <f t="shared" si="257"/>
        <v>110.54900000480221</v>
      </c>
      <c r="I580" s="311">
        <f t="shared" si="257"/>
        <v>16.142000000008103</v>
      </c>
      <c r="J580" s="311">
        <f t="shared" si="257"/>
        <v>205.57400000513445</v>
      </c>
      <c r="K580" s="311"/>
      <c r="L580" s="311">
        <f t="shared" ref="L580:O580" si="258">SUM(L570:L578)</f>
        <v>88.121999999666031</v>
      </c>
      <c r="M580" s="311">
        <f t="shared" si="258"/>
        <v>105.89399999918339</v>
      </c>
      <c r="N580" s="311">
        <f t="shared" si="258"/>
        <v>17.639000000158568</v>
      </c>
      <c r="O580" s="311">
        <f t="shared" si="258"/>
        <v>211.65499999900794</v>
      </c>
    </row>
    <row r="581" spans="1:15" s="236" customFormat="1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40"/>
    </row>
    <row r="582" spans="1:15" s="236" customFormat="1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40"/>
      <c r="O582" s="251" t="s">
        <v>35</v>
      </c>
    </row>
    <row r="583" spans="1:15" s="236" customFormat="1" x14ac:dyDescent="0.2">
      <c r="A583" s="242"/>
      <c r="B583" s="242"/>
      <c r="C583" s="242"/>
      <c r="D583" s="242"/>
      <c r="E583" s="242"/>
      <c r="F583" s="242"/>
      <c r="G583" s="242"/>
      <c r="H583" s="242"/>
      <c r="I583" s="242"/>
      <c r="J583" s="242"/>
      <c r="K583" s="242"/>
      <c r="L583" s="242"/>
      <c r="M583" s="242"/>
      <c r="N583" s="242"/>
      <c r="O583" s="242"/>
    </row>
    <row r="584" spans="1:15" s="236" customFormat="1" x14ac:dyDescent="0.2">
      <c r="A584" s="241" t="str">
        <f>name!A37</f>
        <v>Land transport, etc</v>
      </c>
      <c r="B584" s="374">
        <f>$B$6</f>
        <v>2015</v>
      </c>
      <c r="C584" s="374"/>
      <c r="D584" s="374"/>
      <c r="E584" s="374"/>
      <c r="F584" s="263"/>
      <c r="G584" s="374">
        <f>$G$6</f>
        <v>2020</v>
      </c>
      <c r="H584" s="374"/>
      <c r="I584" s="374"/>
      <c r="J584" s="374"/>
      <c r="K584" s="263"/>
      <c r="L584" s="374">
        <f>$L$6</f>
        <v>2035</v>
      </c>
      <c r="M584" s="374"/>
      <c r="N584" s="374"/>
      <c r="O584" s="374"/>
    </row>
    <row r="585" spans="1:15" s="236" customFormat="1" x14ac:dyDescent="0.2">
      <c r="A585" s="254"/>
      <c r="B585" s="268" t="str">
        <f>$B$7</f>
        <v>FT</v>
      </c>
      <c r="C585" s="268" t="str">
        <f>$C$7</f>
        <v>PT</v>
      </c>
      <c r="D585" s="268" t="str">
        <f>$D$7</f>
        <v>SE</v>
      </c>
      <c r="E585" s="268" t="str">
        <f>$E$7</f>
        <v>Total</v>
      </c>
      <c r="F585" s="268"/>
      <c r="G585" s="268" t="str">
        <f>$G$7</f>
        <v>FT</v>
      </c>
      <c r="H585" s="268" t="str">
        <f>$H$7</f>
        <v>PT</v>
      </c>
      <c r="I585" s="268" t="str">
        <f>$I$7</f>
        <v>SE</v>
      </c>
      <c r="J585" s="268" t="str">
        <f>$J$7</f>
        <v>Total</v>
      </c>
      <c r="K585" s="268"/>
      <c r="L585" s="268" t="str">
        <f>$L$7</f>
        <v>FT</v>
      </c>
      <c r="M585" s="268" t="str">
        <f>$M$7</f>
        <v>PT</v>
      </c>
      <c r="N585" s="268" t="str">
        <f>$N$7</f>
        <v>SE</v>
      </c>
      <c r="O585" s="268" t="str">
        <f>$O$7</f>
        <v>Total</v>
      </c>
    </row>
    <row r="586" spans="1:15" s="236" customFormat="1" x14ac:dyDescent="0.2">
      <c r="A586" s="258"/>
      <c r="B586" s="239"/>
      <c r="C586" s="239"/>
      <c r="D586" s="239"/>
      <c r="E586" s="239"/>
      <c r="F586" s="239"/>
      <c r="G586" s="239"/>
      <c r="H586" s="239"/>
      <c r="I586" s="239"/>
      <c r="J586" s="239"/>
      <c r="K586" s="239"/>
      <c r="L586" s="239"/>
      <c r="M586" s="239"/>
      <c r="N586" s="239"/>
      <c r="O586" s="239"/>
    </row>
    <row r="587" spans="1:15" s="236" customFormat="1" x14ac:dyDescent="0.2">
      <c r="A587" s="237" t="str">
        <f>name!E$4</f>
        <v>Managers, directors and senior officials</v>
      </c>
      <c r="B587" s="302">
        <v>2.1700145757614941</v>
      </c>
      <c r="C587" s="302">
        <v>0.10706473722526377</v>
      </c>
      <c r="D587" s="302">
        <v>0.74179333506281431</v>
      </c>
      <c r="E587" s="302">
        <f>SUM(B587:D587)</f>
        <v>3.0188726480495722</v>
      </c>
      <c r="F587" s="303"/>
      <c r="G587" s="302">
        <v>3.3895763708987632</v>
      </c>
      <c r="H587" s="302">
        <v>0.30351018294575599</v>
      </c>
      <c r="I587" s="302">
        <v>1.2260824125631771</v>
      </c>
      <c r="J587" s="302">
        <f>SUM(G587:I587)</f>
        <v>4.9191689664076961</v>
      </c>
      <c r="K587" s="303"/>
      <c r="L587" s="302">
        <v>3.5069939979793983</v>
      </c>
      <c r="M587" s="302">
        <v>0.30855668282133347</v>
      </c>
      <c r="N587" s="302">
        <v>1.3699309823217409</v>
      </c>
      <c r="O587" s="302">
        <f>SUM(L587:N587)</f>
        <v>5.1854816631224727</v>
      </c>
    </row>
    <row r="588" spans="1:15" s="236" customFormat="1" x14ac:dyDescent="0.2">
      <c r="A588" s="237" t="str">
        <f>name!E$5</f>
        <v>Professional occupations</v>
      </c>
      <c r="B588" s="302">
        <v>1.7089409170471213</v>
      </c>
      <c r="C588" s="302">
        <v>0.10017228808837117</v>
      </c>
      <c r="D588" s="302">
        <v>0.24931308751431397</v>
      </c>
      <c r="E588" s="302">
        <f t="shared" ref="E588:E595" si="259">SUM(B588:D588)</f>
        <v>2.0584262926498065</v>
      </c>
      <c r="F588" s="303"/>
      <c r="G588" s="302">
        <v>3.0966354553843596</v>
      </c>
      <c r="H588" s="302">
        <v>0.27225048022919723</v>
      </c>
      <c r="I588" s="302">
        <v>0.35685555698394106</v>
      </c>
      <c r="J588" s="302">
        <f t="shared" ref="J588:J590" si="260">SUM(G588:I588)</f>
        <v>3.7257414925974981</v>
      </c>
      <c r="K588" s="303"/>
      <c r="L588" s="302">
        <v>3.5815737883034848</v>
      </c>
      <c r="M588" s="302">
        <v>0.35258824172093056</v>
      </c>
      <c r="N588" s="302">
        <v>0.32224455904034166</v>
      </c>
      <c r="O588" s="302">
        <f t="shared" ref="O588:O595" si="261">SUM(L588:N588)</f>
        <v>4.2564065890647571</v>
      </c>
    </row>
    <row r="589" spans="1:15" s="236" customFormat="1" x14ac:dyDescent="0.2">
      <c r="A589" s="237" t="str">
        <f>name!E$6</f>
        <v>Associate professional occupations</v>
      </c>
      <c r="B589" s="302">
        <v>1.9548453944714532</v>
      </c>
      <c r="C589" s="302">
        <v>0.15576679409247662</v>
      </c>
      <c r="D589" s="302">
        <v>9.7813123355314224E-2</v>
      </c>
      <c r="E589" s="302">
        <f t="shared" si="259"/>
        <v>2.2084253119192443</v>
      </c>
      <c r="F589" s="303"/>
      <c r="G589" s="302">
        <v>3.1732281962575302</v>
      </c>
      <c r="H589" s="302">
        <v>0.34541733818437559</v>
      </c>
      <c r="I589" s="302">
        <v>0.17603107921406377</v>
      </c>
      <c r="J589" s="302">
        <f t="shared" si="260"/>
        <v>3.6946766136559694</v>
      </c>
      <c r="K589" s="303"/>
      <c r="L589" s="302">
        <v>2.8805536127831068</v>
      </c>
      <c r="M589" s="302">
        <v>0.32798716157986768</v>
      </c>
      <c r="N589" s="302">
        <v>0.14728495143451784</v>
      </c>
      <c r="O589" s="302">
        <f t="shared" si="261"/>
        <v>3.3558257257974922</v>
      </c>
    </row>
    <row r="590" spans="1:15" s="236" customFormat="1" x14ac:dyDescent="0.2">
      <c r="A590" s="237" t="str">
        <f>name!E$7</f>
        <v>Administrative and secretarial occupations</v>
      </c>
      <c r="B590" s="302">
        <v>3.468586689339292</v>
      </c>
      <c r="C590" s="302">
        <v>1.0924213432605343</v>
      </c>
      <c r="D590" s="302">
        <v>9.4652088149275643E-2</v>
      </c>
      <c r="E590" s="302">
        <f t="shared" si="259"/>
        <v>4.6556601207491015</v>
      </c>
      <c r="F590" s="303"/>
      <c r="G590" s="302">
        <v>5.0599071941368408</v>
      </c>
      <c r="H590" s="302">
        <v>1.9463450922959105</v>
      </c>
      <c r="I590" s="302">
        <v>0.42616664450298636</v>
      </c>
      <c r="J590" s="302">
        <f t="shared" si="260"/>
        <v>7.4324189309357376</v>
      </c>
      <c r="K590" s="303"/>
      <c r="L590" s="302">
        <v>4.592270293299725</v>
      </c>
      <c r="M590" s="302">
        <v>1.4484052194618959</v>
      </c>
      <c r="N590" s="302">
        <v>0.28775568943392588</v>
      </c>
      <c r="O590" s="302">
        <f t="shared" si="261"/>
        <v>6.3284312021955467</v>
      </c>
    </row>
    <row r="591" spans="1:15" s="236" customFormat="1" x14ac:dyDescent="0.2">
      <c r="A591" s="237" t="str">
        <f>name!E$8</f>
        <v>Skilled trades occupations</v>
      </c>
      <c r="B591" s="302">
        <v>3.0498654627159838</v>
      </c>
      <c r="C591" s="302">
        <v>0.12653558728969341</v>
      </c>
      <c r="D591" s="302">
        <v>1.1341213423779677</v>
      </c>
      <c r="E591" s="302">
        <f t="shared" si="259"/>
        <v>4.3105223923836444</v>
      </c>
      <c r="F591" s="303"/>
      <c r="G591" s="302">
        <v>3.2877412136198476</v>
      </c>
      <c r="H591" s="302">
        <v>0.15507493720685334</v>
      </c>
      <c r="I591" s="302">
        <v>0.99856469579076457</v>
      </c>
      <c r="J591" s="302">
        <f>SUM(G591:I591)</f>
        <v>4.4413808466174656</v>
      </c>
      <c r="K591" s="303"/>
      <c r="L591" s="302">
        <v>2.360089557964006</v>
      </c>
      <c r="M591" s="302">
        <v>0.18226021358494232</v>
      </c>
      <c r="N591" s="302">
        <v>0.97958500564955198</v>
      </c>
      <c r="O591" s="302">
        <f t="shared" si="261"/>
        <v>3.5219347771985006</v>
      </c>
    </row>
    <row r="592" spans="1:15" s="236" customFormat="1" x14ac:dyDescent="0.2">
      <c r="A592" s="237" t="str">
        <f>name!E$9</f>
        <v>Caring, leisure and other service occupations</v>
      </c>
      <c r="B592" s="302">
        <v>0.65895059867733752</v>
      </c>
      <c r="C592" s="302">
        <v>0.61841952061798644</v>
      </c>
      <c r="D592" s="302">
        <v>7.213744420104623E-2</v>
      </c>
      <c r="E592" s="302">
        <f t="shared" si="259"/>
        <v>1.3495075634963702</v>
      </c>
      <c r="F592" s="303"/>
      <c r="G592" s="302">
        <v>0.87693219316614379</v>
      </c>
      <c r="H592" s="302">
        <v>0.99191453202546842</v>
      </c>
      <c r="I592" s="302">
        <v>0.19406263796824749</v>
      </c>
      <c r="J592" s="302">
        <f t="shared" ref="J592:J595" si="262">SUM(G592:I592)</f>
        <v>2.0629093631598594</v>
      </c>
      <c r="K592" s="303"/>
      <c r="L592" s="302">
        <v>0.84391584595995572</v>
      </c>
      <c r="M592" s="302">
        <v>0.89506667867799161</v>
      </c>
      <c r="N592" s="302">
        <v>0.21147632752121512</v>
      </c>
      <c r="O592" s="302">
        <f t="shared" si="261"/>
        <v>1.9504588521591624</v>
      </c>
    </row>
    <row r="593" spans="1:15" s="236" customFormat="1" x14ac:dyDescent="0.2">
      <c r="A593" s="237" t="str">
        <f>name!E$10</f>
        <v>Sales and customer service occupations</v>
      </c>
      <c r="B593" s="302">
        <v>0.51810627028355838</v>
      </c>
      <c r="C593" s="302">
        <v>0.14680794327445068</v>
      </c>
      <c r="D593" s="302">
        <v>0.13104522920627465</v>
      </c>
      <c r="E593" s="302">
        <f t="shared" si="259"/>
        <v>0.79595944276428376</v>
      </c>
      <c r="F593" s="303"/>
      <c r="G593" s="302">
        <v>0.73214213869794909</v>
      </c>
      <c r="H593" s="302">
        <v>0.29322295792865971</v>
      </c>
      <c r="I593" s="302">
        <v>0.18349814187181795</v>
      </c>
      <c r="J593" s="302">
        <f t="shared" si="262"/>
        <v>1.2088632384984268</v>
      </c>
      <c r="K593" s="303"/>
      <c r="L593" s="302">
        <v>0.80955229936878048</v>
      </c>
      <c r="M593" s="302">
        <v>0.37567548821804847</v>
      </c>
      <c r="N593" s="302">
        <v>0.17345403967904274</v>
      </c>
      <c r="O593" s="302">
        <f t="shared" si="261"/>
        <v>1.3586818272658716</v>
      </c>
    </row>
    <row r="594" spans="1:15" s="236" customFormat="1" x14ac:dyDescent="0.2">
      <c r="A594" s="237" t="str">
        <f>name!E$11</f>
        <v>Process, plant and machine operatives</v>
      </c>
      <c r="B594" s="302">
        <v>19.547898959764296</v>
      </c>
      <c r="C594" s="302">
        <v>2.4304647363600367</v>
      </c>
      <c r="D594" s="302">
        <v>9.3180827407265951</v>
      </c>
      <c r="E594" s="302">
        <f t="shared" si="259"/>
        <v>31.296446436850928</v>
      </c>
      <c r="F594" s="303"/>
      <c r="G594" s="302">
        <v>22.088770279761373</v>
      </c>
      <c r="H594" s="302">
        <v>4.5374217626264723</v>
      </c>
      <c r="I594" s="302">
        <v>14.469091026923735</v>
      </c>
      <c r="J594" s="302">
        <f t="shared" si="262"/>
        <v>41.095283069311577</v>
      </c>
      <c r="K594" s="303"/>
      <c r="L594" s="302">
        <v>19.982727793899198</v>
      </c>
      <c r="M594" s="302">
        <v>5.370317110958907</v>
      </c>
      <c r="N594" s="302">
        <v>15.285845229482073</v>
      </c>
      <c r="O594" s="302">
        <f t="shared" si="261"/>
        <v>40.63889013434018</v>
      </c>
    </row>
    <row r="595" spans="1:15" s="236" customFormat="1" x14ac:dyDescent="0.2">
      <c r="A595" s="237" t="str">
        <f>name!E$12</f>
        <v>Elementary occupations</v>
      </c>
      <c r="B595" s="302">
        <v>1.5287911314726044</v>
      </c>
      <c r="C595" s="302">
        <v>0.3653470498918176</v>
      </c>
      <c r="D595" s="302">
        <v>0.20004160926355877</v>
      </c>
      <c r="E595" s="302">
        <f t="shared" si="259"/>
        <v>2.0941797906279809</v>
      </c>
      <c r="F595" s="303"/>
      <c r="G595" s="302">
        <v>1.6070669583945154</v>
      </c>
      <c r="H595" s="302">
        <v>0.52884271675041061</v>
      </c>
      <c r="I595" s="302">
        <v>0.28064780474636197</v>
      </c>
      <c r="J595" s="302">
        <f t="shared" si="262"/>
        <v>2.4165574798912881</v>
      </c>
      <c r="K595" s="303"/>
      <c r="L595" s="302">
        <v>1.0613228108093953</v>
      </c>
      <c r="M595" s="302">
        <v>0.38014320295206633</v>
      </c>
      <c r="N595" s="302">
        <v>0.2904232165425768</v>
      </c>
      <c r="O595" s="302">
        <f t="shared" si="261"/>
        <v>1.7318892303040385</v>
      </c>
    </row>
    <row r="596" spans="1:15" s="236" customFormat="1" x14ac:dyDescent="0.2">
      <c r="A596" s="237"/>
      <c r="B596" s="302"/>
      <c r="C596" s="302"/>
      <c r="D596" s="302"/>
      <c r="E596" s="302"/>
      <c r="F596" s="303"/>
      <c r="G596" s="302"/>
      <c r="H596" s="302"/>
      <c r="I596" s="302"/>
      <c r="J596" s="302"/>
      <c r="K596" s="303"/>
      <c r="L596" s="302"/>
      <c r="M596" s="302"/>
      <c r="N596" s="302"/>
      <c r="O596" s="302"/>
    </row>
    <row r="597" spans="1:15" s="236" customFormat="1" x14ac:dyDescent="0.2">
      <c r="A597" s="244" t="s">
        <v>32</v>
      </c>
      <c r="B597" s="311">
        <f>SUM(B587:B595)</f>
        <v>34.60599999953314</v>
      </c>
      <c r="C597" s="311">
        <f t="shared" ref="C597:E597" si="263">SUM(C587:C595)</f>
        <v>5.1430000001006304</v>
      </c>
      <c r="D597" s="311">
        <f t="shared" si="263"/>
        <v>12.038999999857161</v>
      </c>
      <c r="E597" s="311">
        <f t="shared" si="263"/>
        <v>51.787999999490935</v>
      </c>
      <c r="F597" s="311"/>
      <c r="G597" s="311">
        <f t="shared" ref="G597:J597" si="264">SUM(G587:G595)</f>
        <v>43.312000000317326</v>
      </c>
      <c r="H597" s="311">
        <f t="shared" si="264"/>
        <v>9.3740000001931048</v>
      </c>
      <c r="I597" s="311">
        <f t="shared" si="264"/>
        <v>18.311000000565095</v>
      </c>
      <c r="J597" s="311">
        <f t="shared" si="264"/>
        <v>70.99700000107552</v>
      </c>
      <c r="K597" s="311"/>
      <c r="L597" s="311">
        <f t="shared" ref="L597:O597" si="265">SUM(L587:L595)</f>
        <v>39.619000000367045</v>
      </c>
      <c r="M597" s="311">
        <f t="shared" si="265"/>
        <v>9.6409999999759837</v>
      </c>
      <c r="N597" s="311">
        <f t="shared" si="265"/>
        <v>19.068000001104988</v>
      </c>
      <c r="O597" s="311">
        <f t="shared" si="265"/>
        <v>68.328000001448018</v>
      </c>
    </row>
    <row r="598" spans="1:15" s="236" customFormat="1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40"/>
    </row>
    <row r="599" spans="1:15" s="236" customFormat="1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40"/>
      <c r="O599" s="251" t="s">
        <v>35</v>
      </c>
    </row>
    <row r="600" spans="1:15" s="236" customFormat="1" x14ac:dyDescent="0.2">
      <c r="A600" s="242"/>
      <c r="B600" s="242"/>
      <c r="C600" s="242"/>
      <c r="D600" s="242"/>
      <c r="E600" s="242"/>
      <c r="F600" s="242"/>
      <c r="G600" s="242"/>
      <c r="H600" s="242"/>
      <c r="I600" s="242"/>
      <c r="J600" s="242"/>
      <c r="K600" s="242"/>
      <c r="L600" s="242"/>
      <c r="M600" s="242"/>
      <c r="N600" s="242"/>
      <c r="O600" s="242"/>
    </row>
    <row r="601" spans="1:15" s="236" customFormat="1" x14ac:dyDescent="0.2">
      <c r="A601" s="241" t="str">
        <f>name!A38</f>
        <v>Water transport</v>
      </c>
      <c r="B601" s="374">
        <f>$B$6</f>
        <v>2015</v>
      </c>
      <c r="C601" s="374"/>
      <c r="D601" s="374"/>
      <c r="E601" s="374"/>
      <c r="F601" s="263"/>
      <c r="G601" s="374">
        <f>$G$6</f>
        <v>2020</v>
      </c>
      <c r="H601" s="374"/>
      <c r="I601" s="374"/>
      <c r="J601" s="374"/>
      <c r="K601" s="263"/>
      <c r="L601" s="374">
        <f>$L$6</f>
        <v>2035</v>
      </c>
      <c r="M601" s="374"/>
      <c r="N601" s="374"/>
      <c r="O601" s="374"/>
    </row>
    <row r="602" spans="1:15" s="236" customFormat="1" x14ac:dyDescent="0.2">
      <c r="A602" s="254"/>
      <c r="B602" s="268" t="str">
        <f>$B$7</f>
        <v>FT</v>
      </c>
      <c r="C602" s="268" t="str">
        <f>$C$7</f>
        <v>PT</v>
      </c>
      <c r="D602" s="268" t="str">
        <f>$D$7</f>
        <v>SE</v>
      </c>
      <c r="E602" s="268" t="str">
        <f>$E$7</f>
        <v>Total</v>
      </c>
      <c r="F602" s="268"/>
      <c r="G602" s="268" t="str">
        <f>$G$7</f>
        <v>FT</v>
      </c>
      <c r="H602" s="268" t="str">
        <f>$H$7</f>
        <v>PT</v>
      </c>
      <c r="I602" s="268" t="str">
        <f>$I$7</f>
        <v>SE</v>
      </c>
      <c r="J602" s="268" t="str">
        <f>$J$7</f>
        <v>Total</v>
      </c>
      <c r="K602" s="268"/>
      <c r="L602" s="268" t="str">
        <f>$L$7</f>
        <v>FT</v>
      </c>
      <c r="M602" s="268" t="str">
        <f>$M$7</f>
        <v>PT</v>
      </c>
      <c r="N602" s="268" t="str">
        <f>$N$7</f>
        <v>SE</v>
      </c>
      <c r="O602" s="268" t="str">
        <f>$O$7</f>
        <v>Total</v>
      </c>
    </row>
    <row r="603" spans="1:15" s="236" customFormat="1" x14ac:dyDescent="0.2">
      <c r="A603" s="258"/>
      <c r="B603" s="239"/>
      <c r="C603" s="239"/>
      <c r="D603" s="239"/>
      <c r="E603" s="239"/>
      <c r="F603" s="239"/>
      <c r="G603" s="239"/>
      <c r="H603" s="239"/>
      <c r="I603" s="239"/>
      <c r="J603" s="239"/>
      <c r="K603" s="239"/>
      <c r="L603" s="239"/>
      <c r="M603" s="239"/>
      <c r="N603" s="239"/>
      <c r="O603" s="239"/>
    </row>
    <row r="604" spans="1:15" s="236" customFormat="1" x14ac:dyDescent="0.2">
      <c r="A604" s="237" t="str">
        <f>name!E$4</f>
        <v>Managers, directors and senior officials</v>
      </c>
      <c r="B604" s="302">
        <v>2.093034133351027E-3</v>
      </c>
      <c r="C604" s="302">
        <v>2.8685742737707151E-4</v>
      </c>
      <c r="D604" s="302">
        <v>1.553563836930174E-4</v>
      </c>
      <c r="E604" s="302">
        <f>SUM(B604:D604)</f>
        <v>2.535247944421116E-3</v>
      </c>
      <c r="F604" s="303"/>
      <c r="G604" s="302">
        <v>9.2913265145371719E-4</v>
      </c>
      <c r="H604" s="302">
        <v>1.1445648137126231E-3</v>
      </c>
      <c r="I604" s="302">
        <v>8.4850605545308934E-4</v>
      </c>
      <c r="J604" s="302">
        <f>SUM(G604:I604)</f>
        <v>2.9222035206194299E-3</v>
      </c>
      <c r="K604" s="303"/>
      <c r="L604" s="302">
        <v>6.7644893080935685E-4</v>
      </c>
      <c r="M604" s="302">
        <v>5.5416748364975614E-4</v>
      </c>
      <c r="N604" s="302">
        <v>6.6239268198872237E-4</v>
      </c>
      <c r="O604" s="302">
        <f>SUM(L604:N604)</f>
        <v>1.8930090964478354E-3</v>
      </c>
    </row>
    <row r="605" spans="1:15" s="236" customFormat="1" x14ac:dyDescent="0.2">
      <c r="A605" s="237" t="str">
        <f>name!E$5</f>
        <v>Professional occupations</v>
      </c>
      <c r="B605" s="302">
        <v>3.0511292120757611E-3</v>
      </c>
      <c r="C605" s="302">
        <v>2.1776878969260408E-4</v>
      </c>
      <c r="D605" s="302">
        <v>5.8230710622714274E-5</v>
      </c>
      <c r="E605" s="302">
        <f t="shared" ref="E605:E612" si="266">SUM(B605:D605)</f>
        <v>3.3271287123910792E-3</v>
      </c>
      <c r="F605" s="303"/>
      <c r="G605" s="302">
        <v>1.5309476818711149E-3</v>
      </c>
      <c r="H605" s="302">
        <v>1.0052446039278511E-3</v>
      </c>
      <c r="I605" s="302">
        <v>6.505692681560908E-4</v>
      </c>
      <c r="J605" s="302">
        <f t="shared" ref="J605:J607" si="267">SUM(G605:I605)</f>
        <v>3.1867615539550565E-3</v>
      </c>
      <c r="K605" s="303"/>
      <c r="L605" s="302">
        <v>1.6511013293567245E-3</v>
      </c>
      <c r="M605" s="302">
        <v>7.0914904725661936E-4</v>
      </c>
      <c r="N605" s="302">
        <v>4.9407495111510719E-4</v>
      </c>
      <c r="O605" s="302">
        <f t="shared" ref="O605:O612" si="268">SUM(L605:N605)</f>
        <v>2.8543253277284507E-3</v>
      </c>
    </row>
    <row r="606" spans="1:15" s="236" customFormat="1" x14ac:dyDescent="0.2">
      <c r="A606" s="237" t="str">
        <f>name!E$6</f>
        <v>Associate professional occupations</v>
      </c>
      <c r="B606" s="302">
        <v>4.338584870549814E-3</v>
      </c>
      <c r="C606" s="302">
        <v>1.7655758247357044E-4</v>
      </c>
      <c r="D606" s="302">
        <v>1.0044478524826999E-4</v>
      </c>
      <c r="E606" s="302">
        <f t="shared" si="266"/>
        <v>4.6155872382716541E-3</v>
      </c>
      <c r="F606" s="303"/>
      <c r="G606" s="302">
        <v>1.906357529531327E-3</v>
      </c>
      <c r="H606" s="302">
        <v>7.3691960446932024E-4</v>
      </c>
      <c r="I606" s="302">
        <v>8.299940757302165E-4</v>
      </c>
      <c r="J606" s="302">
        <f t="shared" si="267"/>
        <v>3.4732712097308637E-3</v>
      </c>
      <c r="K606" s="303"/>
      <c r="L606" s="302">
        <v>1.4335339319763391E-3</v>
      </c>
      <c r="M606" s="302">
        <v>4.4237668577019727E-4</v>
      </c>
      <c r="N606" s="302">
        <v>6.1340587267339527E-4</v>
      </c>
      <c r="O606" s="302">
        <f t="shared" si="268"/>
        <v>2.4893164904199318E-3</v>
      </c>
    </row>
    <row r="607" spans="1:15" s="236" customFormat="1" x14ac:dyDescent="0.2">
      <c r="A607" s="237" t="str">
        <f>name!E$7</f>
        <v>Administrative and secretarial occupations</v>
      </c>
      <c r="B607" s="302">
        <v>1.4808738477509334E-3</v>
      </c>
      <c r="C607" s="302">
        <v>2.4831846266832529E-4</v>
      </c>
      <c r="D607" s="302">
        <v>1.032478533041329E-3</v>
      </c>
      <c r="E607" s="302">
        <f t="shared" si="266"/>
        <v>2.7616708434605878E-3</v>
      </c>
      <c r="F607" s="303"/>
      <c r="G607" s="302">
        <v>8.9258126216641622E-4</v>
      </c>
      <c r="H607" s="302">
        <v>9.510236769690037E-4</v>
      </c>
      <c r="I607" s="302">
        <v>5.5688480051190828E-4</v>
      </c>
      <c r="J607" s="302">
        <f t="shared" si="267"/>
        <v>2.4004897396473282E-3</v>
      </c>
      <c r="K607" s="303"/>
      <c r="L607" s="302">
        <v>1.1340642914878787E-3</v>
      </c>
      <c r="M607" s="302">
        <v>5.0103955299155305E-4</v>
      </c>
      <c r="N607" s="302">
        <v>6.2520967122514903E-5</v>
      </c>
      <c r="O607" s="302">
        <f t="shared" si="268"/>
        <v>1.6976248116019467E-3</v>
      </c>
    </row>
    <row r="608" spans="1:15" s="236" customFormat="1" x14ac:dyDescent="0.2">
      <c r="A608" s="237" t="str">
        <f>name!E$8</f>
        <v>Skilled trades occupations</v>
      </c>
      <c r="B608" s="302">
        <v>7.1826191997218858E-4</v>
      </c>
      <c r="C608" s="302">
        <v>1.404461837921816E-4</v>
      </c>
      <c r="D608" s="302">
        <v>1.5639852826748117E-4</v>
      </c>
      <c r="E608" s="302">
        <f t="shared" si="266"/>
        <v>1.0151066320318513E-3</v>
      </c>
      <c r="F608" s="303"/>
      <c r="G608" s="302">
        <v>2.2458615641584453E-4</v>
      </c>
      <c r="H608" s="302">
        <v>2.5546027452734904E-4</v>
      </c>
      <c r="I608" s="302">
        <v>3.9205817627317052E-4</v>
      </c>
      <c r="J608" s="302">
        <f>SUM(G608:I608)</f>
        <v>8.7210460721636406E-4</v>
      </c>
      <c r="K608" s="303"/>
      <c r="L608" s="302">
        <v>1.2184748747372848E-4</v>
      </c>
      <c r="M608" s="302">
        <v>1.0058641978219489E-4</v>
      </c>
      <c r="N608" s="302">
        <v>3.3705105421427922E-4</v>
      </c>
      <c r="O608" s="302">
        <f t="shared" si="268"/>
        <v>5.5948496147020257E-4</v>
      </c>
    </row>
    <row r="609" spans="1:15" s="236" customFormat="1" x14ac:dyDescent="0.2">
      <c r="A609" s="237" t="str">
        <f>name!E$9</f>
        <v>Caring, leisure and other service occupations</v>
      </c>
      <c r="B609" s="302">
        <v>2.943557653522533E-4</v>
      </c>
      <c r="C609" s="302">
        <v>1.9761653694921565E-4</v>
      </c>
      <c r="D609" s="302">
        <v>1.2914849193400397E-4</v>
      </c>
      <c r="E609" s="302">
        <f t="shared" si="266"/>
        <v>6.2112079423547292E-4</v>
      </c>
      <c r="F609" s="303"/>
      <c r="G609" s="302">
        <v>1.3736689891475355E-4</v>
      </c>
      <c r="H609" s="302">
        <v>6.7275916867477162E-4</v>
      </c>
      <c r="I609" s="302">
        <v>1.0586999681864981E-4</v>
      </c>
      <c r="J609" s="302">
        <f t="shared" ref="J609:J612" si="269">SUM(G609:I609)</f>
        <v>9.1599606440817495E-4</v>
      </c>
      <c r="K609" s="303"/>
      <c r="L609" s="302">
        <v>1.67206409808896E-4</v>
      </c>
      <c r="M609" s="302">
        <v>4.1037402333572259E-4</v>
      </c>
      <c r="N609" s="302">
        <v>2.2272781415537095E-4</v>
      </c>
      <c r="O609" s="302">
        <f t="shared" si="268"/>
        <v>8.0030824729998952E-4</v>
      </c>
    </row>
    <row r="610" spans="1:15" s="236" customFormat="1" x14ac:dyDescent="0.2">
      <c r="A610" s="237" t="str">
        <f>name!E$10</f>
        <v>Sales and customer service occupations</v>
      </c>
      <c r="B610" s="302">
        <v>4.4804043740516127E-4</v>
      </c>
      <c r="C610" s="302">
        <v>2.6665856753492099E-4</v>
      </c>
      <c r="D610" s="302">
        <v>9.2197987780335335E-5</v>
      </c>
      <c r="E610" s="302">
        <f t="shared" si="266"/>
        <v>8.0689699272041757E-4</v>
      </c>
      <c r="F610" s="303"/>
      <c r="G610" s="302">
        <v>2.3208955119989049E-4</v>
      </c>
      <c r="H610" s="302">
        <v>9.7092750268243822E-4</v>
      </c>
      <c r="I610" s="302">
        <v>8.4950108455475142E-5</v>
      </c>
      <c r="J610" s="302">
        <f t="shared" si="269"/>
        <v>1.2879671623378039E-3</v>
      </c>
      <c r="K610" s="303"/>
      <c r="L610" s="302">
        <v>3.3686416159428763E-4</v>
      </c>
      <c r="M610" s="302">
        <v>6.6551109326792651E-4</v>
      </c>
      <c r="N610" s="302">
        <v>5.5267084077761847E-5</v>
      </c>
      <c r="O610" s="302">
        <f t="shared" si="268"/>
        <v>1.0576423389399758E-3</v>
      </c>
    </row>
    <row r="611" spans="1:15" s="236" customFormat="1" x14ac:dyDescent="0.2">
      <c r="A611" s="237" t="str">
        <f>name!E$11</f>
        <v>Process, plant and machine operatives</v>
      </c>
      <c r="B611" s="302">
        <v>2.4295360743518861E-3</v>
      </c>
      <c r="C611" s="302">
        <v>1.7721592655782332E-4</v>
      </c>
      <c r="D611" s="302">
        <v>1.1016630262786698E-4</v>
      </c>
      <c r="E611" s="302">
        <f t="shared" si="266"/>
        <v>2.7169183035375762E-3</v>
      </c>
      <c r="F611" s="303"/>
      <c r="G611" s="302">
        <v>7.8565498686850716E-4</v>
      </c>
      <c r="H611" s="302">
        <v>4.4454594522655335E-4</v>
      </c>
      <c r="I611" s="302">
        <v>3.5795840421613367E-4</v>
      </c>
      <c r="J611" s="302">
        <f t="shared" si="269"/>
        <v>1.5881593363111942E-3</v>
      </c>
      <c r="K611" s="303"/>
      <c r="L611" s="302">
        <v>2.2094464814679539E-4</v>
      </c>
      <c r="M611" s="302">
        <v>1.7638837987731074E-4</v>
      </c>
      <c r="N611" s="302">
        <v>4.3650997292166453E-4</v>
      </c>
      <c r="O611" s="302">
        <f t="shared" si="268"/>
        <v>8.3384300094577072E-4</v>
      </c>
    </row>
    <row r="612" spans="1:15" s="236" customFormat="1" x14ac:dyDescent="0.2">
      <c r="A612" s="237" t="str">
        <f>name!E$12</f>
        <v>Elementary occupations</v>
      </c>
      <c r="B612" s="302">
        <v>1.1461837391178711E-3</v>
      </c>
      <c r="C612" s="302">
        <v>2.8856052298063904E-4</v>
      </c>
      <c r="D612" s="302">
        <v>1.6557827686142969E-4</v>
      </c>
      <c r="E612" s="302">
        <f t="shared" si="266"/>
        <v>1.6003225389599398E-3</v>
      </c>
      <c r="F612" s="303"/>
      <c r="G612" s="302">
        <v>3.612832815776541E-4</v>
      </c>
      <c r="H612" s="302">
        <v>8.1855440986608886E-4</v>
      </c>
      <c r="I612" s="302">
        <v>1.7320911444649895E-4</v>
      </c>
      <c r="J612" s="302">
        <f t="shared" si="269"/>
        <v>1.3530468058902418E-3</v>
      </c>
      <c r="K612" s="303"/>
      <c r="L612" s="302">
        <v>2.5798880930036762E-4</v>
      </c>
      <c r="M612" s="302">
        <v>4.4040731402255289E-4</v>
      </c>
      <c r="N612" s="302">
        <v>1.1604960177670014E-4</v>
      </c>
      <c r="O612" s="302">
        <f t="shared" si="268"/>
        <v>8.1444572509962055E-4</v>
      </c>
    </row>
    <row r="613" spans="1:15" s="236" customFormat="1" x14ac:dyDescent="0.2">
      <c r="A613" s="237"/>
      <c r="B613" s="302"/>
      <c r="C613" s="302"/>
      <c r="D613" s="302"/>
      <c r="E613" s="302"/>
      <c r="F613" s="303"/>
      <c r="G613" s="302"/>
      <c r="H613" s="302"/>
      <c r="I613" s="302"/>
      <c r="J613" s="302"/>
      <c r="K613" s="303"/>
      <c r="L613" s="302"/>
      <c r="M613" s="302"/>
      <c r="N613" s="302"/>
      <c r="O613" s="302"/>
    </row>
    <row r="614" spans="1:15" s="236" customFormat="1" x14ac:dyDescent="0.2">
      <c r="A614" s="244" t="s">
        <v>32</v>
      </c>
      <c r="B614" s="311">
        <f>SUM(B604:B612)</f>
        <v>1.5999999999926896E-2</v>
      </c>
      <c r="C614" s="311">
        <f t="shared" ref="C614:E614" si="270">SUM(C604:C612)</f>
        <v>2.0000000000263522E-3</v>
      </c>
      <c r="D614" s="311">
        <f t="shared" si="270"/>
        <v>2.000000000076448E-3</v>
      </c>
      <c r="E614" s="311">
        <f t="shared" si="270"/>
        <v>2.0000000000029695E-2</v>
      </c>
      <c r="F614" s="311"/>
      <c r="G614" s="311">
        <f t="shared" ref="G614:J614" si="271">SUM(G604:G612)</f>
        <v>6.9999999999992247E-3</v>
      </c>
      <c r="H614" s="311">
        <f t="shared" si="271"/>
        <v>7.0000000000559988E-3</v>
      </c>
      <c r="I614" s="311">
        <f t="shared" si="271"/>
        <v>4.0000000000612324E-3</v>
      </c>
      <c r="J614" s="311">
        <f t="shared" si="271"/>
        <v>1.8000000000116458E-2</v>
      </c>
      <c r="K614" s="311"/>
      <c r="L614" s="311">
        <f t="shared" ref="L614:O614" si="272">SUM(L604:L612)</f>
        <v>5.9999999999543743E-3</v>
      </c>
      <c r="M614" s="311">
        <f t="shared" si="272"/>
        <v>3.999999999953833E-3</v>
      </c>
      <c r="N614" s="311">
        <f t="shared" si="272"/>
        <v>3.0000000000455166E-3</v>
      </c>
      <c r="O614" s="311">
        <f t="shared" si="272"/>
        <v>1.2999999999953722E-2</v>
      </c>
    </row>
    <row r="615" spans="1:15" s="236" customFormat="1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40"/>
    </row>
    <row r="616" spans="1:15" s="236" customFormat="1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40"/>
      <c r="O616" s="251" t="s">
        <v>35</v>
      </c>
    </row>
    <row r="617" spans="1:15" s="236" customFormat="1" x14ac:dyDescent="0.2">
      <c r="A617" s="242"/>
      <c r="B617" s="242"/>
      <c r="C617" s="242"/>
      <c r="D617" s="242"/>
      <c r="E617" s="242"/>
      <c r="F617" s="242"/>
      <c r="G617" s="242"/>
      <c r="H617" s="242"/>
      <c r="I617" s="242"/>
      <c r="J617" s="242"/>
      <c r="K617" s="242"/>
      <c r="L617" s="242"/>
      <c r="M617" s="242"/>
      <c r="N617" s="242"/>
      <c r="O617" s="242"/>
    </row>
    <row r="618" spans="1:15" s="236" customFormat="1" x14ac:dyDescent="0.2">
      <c r="A618" s="241" t="str">
        <f>name!A39</f>
        <v>Air transport</v>
      </c>
      <c r="B618" s="374">
        <f>$B$6</f>
        <v>2015</v>
      </c>
      <c r="C618" s="374"/>
      <c r="D618" s="374"/>
      <c r="E618" s="374"/>
      <c r="F618" s="263"/>
      <c r="G618" s="374">
        <f>$G$6</f>
        <v>2020</v>
      </c>
      <c r="H618" s="374"/>
      <c r="I618" s="374"/>
      <c r="J618" s="374"/>
      <c r="K618" s="263"/>
      <c r="L618" s="374">
        <f>$L$6</f>
        <v>2035</v>
      </c>
      <c r="M618" s="374"/>
      <c r="N618" s="374"/>
      <c r="O618" s="374"/>
    </row>
    <row r="619" spans="1:15" s="236" customFormat="1" x14ac:dyDescent="0.2">
      <c r="A619" s="254"/>
      <c r="B619" s="268" t="str">
        <f>$B$7</f>
        <v>FT</v>
      </c>
      <c r="C619" s="268" t="str">
        <f>$C$7</f>
        <v>PT</v>
      </c>
      <c r="D619" s="268" t="str">
        <f>$D$7</f>
        <v>SE</v>
      </c>
      <c r="E619" s="268" t="str">
        <f>$E$7</f>
        <v>Total</v>
      </c>
      <c r="F619" s="268"/>
      <c r="G619" s="268" t="str">
        <f>$G$7</f>
        <v>FT</v>
      </c>
      <c r="H619" s="268" t="str">
        <f>$H$7</f>
        <v>PT</v>
      </c>
      <c r="I619" s="268" t="str">
        <f>$I$7</f>
        <v>SE</v>
      </c>
      <c r="J619" s="268" t="str">
        <f>$J$7</f>
        <v>Total</v>
      </c>
      <c r="K619" s="268"/>
      <c r="L619" s="268" t="str">
        <f>$L$7</f>
        <v>FT</v>
      </c>
      <c r="M619" s="268" t="str">
        <f>$M$7</f>
        <v>PT</v>
      </c>
      <c r="N619" s="268" t="str">
        <f>$N$7</f>
        <v>SE</v>
      </c>
      <c r="O619" s="268" t="str">
        <f>$O$7</f>
        <v>Total</v>
      </c>
    </row>
    <row r="620" spans="1:15" s="236" customFormat="1" x14ac:dyDescent="0.2">
      <c r="A620" s="258"/>
      <c r="B620" s="239"/>
      <c r="C620" s="239"/>
      <c r="D620" s="239"/>
      <c r="E620" s="239"/>
      <c r="F620" s="239"/>
      <c r="G620" s="239"/>
      <c r="H620" s="239"/>
      <c r="I620" s="239"/>
      <c r="J620" s="239"/>
      <c r="K620" s="239"/>
      <c r="L620" s="239"/>
      <c r="M620" s="239"/>
      <c r="N620" s="239"/>
      <c r="O620" s="239"/>
    </row>
    <row r="621" spans="1:15" s="236" customFormat="1" x14ac:dyDescent="0.2">
      <c r="A621" s="237" t="str">
        <f>name!E$4</f>
        <v>Managers, directors and senior officials</v>
      </c>
      <c r="B621" s="302">
        <v>0.10246870299711051</v>
      </c>
      <c r="C621" s="302">
        <v>7.4866772094256337E-3</v>
      </c>
      <c r="D621" s="302">
        <v>6.3073768069456975E-4</v>
      </c>
      <c r="E621" s="302">
        <f>SUM(B621:D621)</f>
        <v>0.11058611788723072</v>
      </c>
      <c r="F621" s="303"/>
      <c r="G621" s="302">
        <v>6.8790954534973484E-2</v>
      </c>
      <c r="H621" s="302">
        <v>1.0062040931189691E-2</v>
      </c>
      <c r="I621" s="302">
        <v>6.8910218121650069E-3</v>
      </c>
      <c r="J621" s="302">
        <f>SUM(G621:I621)</f>
        <v>8.5744017278328186E-2</v>
      </c>
      <c r="K621" s="303"/>
      <c r="L621" s="302">
        <v>9.1950303077108483E-2</v>
      </c>
      <c r="M621" s="302">
        <v>1.5651656566922908E-2</v>
      </c>
      <c r="N621" s="302">
        <v>9.5462579999943536E-3</v>
      </c>
      <c r="O621" s="302">
        <f>SUM(L621:N621)</f>
        <v>0.11714821764402575</v>
      </c>
    </row>
    <row r="622" spans="1:15" s="236" customFormat="1" x14ac:dyDescent="0.2">
      <c r="A622" s="237" t="str">
        <f>name!E$5</f>
        <v>Professional occupations</v>
      </c>
      <c r="B622" s="302">
        <v>0.19043193915082554</v>
      </c>
      <c r="C622" s="302">
        <v>1.2688678353833211E-2</v>
      </c>
      <c r="D622" s="302">
        <v>6.7475225860639902E-4</v>
      </c>
      <c r="E622" s="302">
        <f t="shared" ref="E622:E629" si="273">SUM(B622:D622)</f>
        <v>0.20379536976326515</v>
      </c>
      <c r="F622" s="303"/>
      <c r="G622" s="302">
        <v>0.14359857025102896</v>
      </c>
      <c r="H622" s="302">
        <v>1.8922820447562907E-2</v>
      </c>
      <c r="I622" s="302">
        <v>6.9459693684419807E-3</v>
      </c>
      <c r="J622" s="302">
        <f t="shared" ref="J622:J624" si="274">SUM(G622:I622)</f>
        <v>0.16946736006703383</v>
      </c>
      <c r="K622" s="303"/>
      <c r="L622" s="302">
        <v>0.21478981453121893</v>
      </c>
      <c r="M622" s="302">
        <v>3.3666990721671057E-2</v>
      </c>
      <c r="N622" s="302">
        <v>8.3378796821041105E-3</v>
      </c>
      <c r="O622" s="302">
        <f t="shared" ref="O622:O629" si="275">SUM(L622:N622)</f>
        <v>0.25679468493499408</v>
      </c>
    </row>
    <row r="623" spans="1:15" s="236" customFormat="1" x14ac:dyDescent="0.2">
      <c r="A623" s="237" t="str">
        <f>name!E$6</f>
        <v>Associate professional occupations</v>
      </c>
      <c r="B623" s="302">
        <v>0.21288229326718047</v>
      </c>
      <c r="C623" s="302">
        <v>3.473582065796782E-2</v>
      </c>
      <c r="D623" s="302">
        <v>5.0477092002236838E-4</v>
      </c>
      <c r="E623" s="302">
        <f t="shared" si="273"/>
        <v>0.24812288484517067</v>
      </c>
      <c r="F623" s="303"/>
      <c r="G623" s="302">
        <v>0.14549151016860334</v>
      </c>
      <c r="H623" s="302">
        <v>4.4323706510198624E-2</v>
      </c>
      <c r="I623" s="302">
        <v>4.5428547531482762E-3</v>
      </c>
      <c r="J623" s="302">
        <f t="shared" si="274"/>
        <v>0.19435807143195025</v>
      </c>
      <c r="K623" s="303"/>
      <c r="L623" s="302">
        <v>0.16895241157311389</v>
      </c>
      <c r="M623" s="302">
        <v>6.160313831718138E-2</v>
      </c>
      <c r="N623" s="302">
        <v>5.2480213395506899E-3</v>
      </c>
      <c r="O623" s="302">
        <f t="shared" si="275"/>
        <v>0.23580357122984594</v>
      </c>
    </row>
    <row r="624" spans="1:15" s="236" customFormat="1" x14ac:dyDescent="0.2">
      <c r="A624" s="237" t="str">
        <f>name!E$7</f>
        <v>Administrative and secretarial occupations</v>
      </c>
      <c r="B624" s="302">
        <v>0.16565226351346846</v>
      </c>
      <c r="C624" s="302">
        <v>3.1742809780025215E-2</v>
      </c>
      <c r="D624" s="302">
        <v>1.0554921131676254E-4</v>
      </c>
      <c r="E624" s="302">
        <f t="shared" si="273"/>
        <v>0.19750062250481043</v>
      </c>
      <c r="F624" s="303"/>
      <c r="G624" s="302">
        <v>0.10361458476737671</v>
      </c>
      <c r="H624" s="302">
        <v>3.5054331933218906E-2</v>
      </c>
      <c r="I624" s="302">
        <v>7.8582719497005639E-4</v>
      </c>
      <c r="J624" s="302">
        <f t="shared" si="274"/>
        <v>0.13945474389556567</v>
      </c>
      <c r="K624" s="303"/>
      <c r="L624" s="302">
        <v>0.15066776988259573</v>
      </c>
      <c r="M624" s="302">
        <v>4.2905958121204631E-2</v>
      </c>
      <c r="N624" s="302">
        <v>8.9483195153969742E-4</v>
      </c>
      <c r="O624" s="302">
        <f t="shared" si="275"/>
        <v>0.19446855995534004</v>
      </c>
    </row>
    <row r="625" spans="1:15" s="236" customFormat="1" x14ac:dyDescent="0.2">
      <c r="A625" s="237" t="str">
        <f>name!E$8</f>
        <v>Skilled trades occupations</v>
      </c>
      <c r="B625" s="302">
        <v>8.1766902518558088E-2</v>
      </c>
      <c r="C625" s="302">
        <v>1.4612678852434072E-2</v>
      </c>
      <c r="D625" s="302">
        <v>2.0108371235351601E-3</v>
      </c>
      <c r="E625" s="302">
        <f t="shared" si="273"/>
        <v>9.8390418494527315E-2</v>
      </c>
      <c r="F625" s="303"/>
      <c r="G625" s="302">
        <v>3.728258303108848E-2</v>
      </c>
      <c r="H625" s="302">
        <v>7.6340613468990253E-3</v>
      </c>
      <c r="I625" s="302">
        <v>1.7076495737897514E-2</v>
      </c>
      <c r="J625" s="302">
        <f>SUM(G625:I625)</f>
        <v>6.1993140115885026E-2</v>
      </c>
      <c r="K625" s="303"/>
      <c r="L625" s="302">
        <v>3.351694365653831E-2</v>
      </c>
      <c r="M625" s="302">
        <v>1.0212849560141315E-2</v>
      </c>
      <c r="N625" s="302">
        <v>2.4197717958332258E-2</v>
      </c>
      <c r="O625" s="302">
        <f t="shared" si="275"/>
        <v>6.7927511175011876E-2</v>
      </c>
    </row>
    <row r="626" spans="1:15" s="236" customFormat="1" x14ac:dyDescent="0.2">
      <c r="A626" s="237" t="str">
        <f>name!E$9</f>
        <v>Caring, leisure and other service occupations</v>
      </c>
      <c r="B626" s="302">
        <v>0.24093946933029478</v>
      </c>
      <c r="C626" s="302">
        <v>0.11240490277098532</v>
      </c>
      <c r="D626" s="302">
        <v>2.1425690672229815E-4</v>
      </c>
      <c r="E626" s="302">
        <f t="shared" si="273"/>
        <v>0.35355862900800239</v>
      </c>
      <c r="F626" s="303"/>
      <c r="G626" s="302">
        <v>0.12211168270209841</v>
      </c>
      <c r="H626" s="302">
        <v>0.10502953173770327</v>
      </c>
      <c r="I626" s="302">
        <v>1.7905256977677763E-3</v>
      </c>
      <c r="J626" s="302">
        <f t="shared" ref="J626:J629" si="276">SUM(G626:I626)</f>
        <v>0.22893174013756945</v>
      </c>
      <c r="K626" s="303"/>
      <c r="L626" s="302">
        <v>0.15815471748690121</v>
      </c>
      <c r="M626" s="302">
        <v>0.15316445839663947</v>
      </c>
      <c r="N626" s="302">
        <v>2.428141154238026E-3</v>
      </c>
      <c r="O626" s="302">
        <f t="shared" si="275"/>
        <v>0.31374731703777869</v>
      </c>
    </row>
    <row r="627" spans="1:15" s="236" customFormat="1" x14ac:dyDescent="0.2">
      <c r="A627" s="237" t="str">
        <f>name!E$10</f>
        <v>Sales and customer service occupations</v>
      </c>
      <c r="B627" s="302">
        <v>5.1665956315691174E-2</v>
      </c>
      <c r="C627" s="302">
        <v>2.2344730157225996E-2</v>
      </c>
      <c r="D627" s="302">
        <v>2.035697713266735E-4</v>
      </c>
      <c r="E627" s="302">
        <f t="shared" si="273"/>
        <v>7.421425624424384E-2</v>
      </c>
      <c r="F627" s="303"/>
      <c r="G627" s="302">
        <v>3.1480220286308744E-2</v>
      </c>
      <c r="H627" s="302">
        <v>2.7138938607082167E-2</v>
      </c>
      <c r="I627" s="302">
        <v>1.5100929686272522E-3</v>
      </c>
      <c r="J627" s="302">
        <f t="shared" si="276"/>
        <v>6.012925186201816E-2</v>
      </c>
      <c r="K627" s="303"/>
      <c r="L627" s="302">
        <v>5.1297186472028557E-2</v>
      </c>
      <c r="M627" s="302">
        <v>5.5780961306578947E-2</v>
      </c>
      <c r="N627" s="302">
        <v>1.6702518626648172E-3</v>
      </c>
      <c r="O627" s="302">
        <f t="shared" si="275"/>
        <v>0.10874839964127231</v>
      </c>
    </row>
    <row r="628" spans="1:15" s="236" customFormat="1" x14ac:dyDescent="0.2">
      <c r="A628" s="237" t="str">
        <f>name!E$11</f>
        <v>Process, plant and machine operatives</v>
      </c>
      <c r="B628" s="302">
        <v>7.2401239219546346E-2</v>
      </c>
      <c r="C628" s="302">
        <v>2.1349089529843754E-2</v>
      </c>
      <c r="D628" s="302">
        <v>3.203250492944181E-4</v>
      </c>
      <c r="E628" s="302">
        <f t="shared" si="273"/>
        <v>9.4070653798684511E-2</v>
      </c>
      <c r="F628" s="303"/>
      <c r="G628" s="302">
        <v>3.4188410185559792E-2</v>
      </c>
      <c r="H628" s="302">
        <v>1.6883659417700824E-2</v>
      </c>
      <c r="I628" s="302">
        <v>4.0400944494134719E-3</v>
      </c>
      <c r="J628" s="302">
        <f t="shared" si="276"/>
        <v>5.5112164052674092E-2</v>
      </c>
      <c r="K628" s="303"/>
      <c r="L628" s="302">
        <v>5.3696522833371389E-2</v>
      </c>
      <c r="M628" s="302">
        <v>2.8247005850627893E-2</v>
      </c>
      <c r="N628" s="302">
        <v>6.5709396511254856E-3</v>
      </c>
      <c r="O628" s="302">
        <f t="shared" si="275"/>
        <v>8.8514468335124774E-2</v>
      </c>
    </row>
    <row r="629" spans="1:15" s="236" customFormat="1" x14ac:dyDescent="0.2">
      <c r="A629" s="237" t="str">
        <f>name!E$12</f>
        <v>Elementary occupations</v>
      </c>
      <c r="B629" s="302">
        <v>0.11079123368423208</v>
      </c>
      <c r="C629" s="302">
        <v>8.634612692830718E-3</v>
      </c>
      <c r="D629" s="302">
        <v>3.3520107845331348E-4</v>
      </c>
      <c r="E629" s="302">
        <f t="shared" si="273"/>
        <v>0.11976104745551611</v>
      </c>
      <c r="F629" s="303"/>
      <c r="G629" s="302">
        <v>5.8441484071452575E-2</v>
      </c>
      <c r="H629" s="302">
        <v>6.9509090736215246E-3</v>
      </c>
      <c r="I629" s="302">
        <v>2.4171180176034107E-3</v>
      </c>
      <c r="J629" s="302">
        <f t="shared" si="276"/>
        <v>6.7809511162677513E-2</v>
      </c>
      <c r="K629" s="303"/>
      <c r="L629" s="302">
        <v>6.1974330485662421E-2</v>
      </c>
      <c r="M629" s="302">
        <v>7.7669811554686007E-3</v>
      </c>
      <c r="N629" s="302">
        <v>4.1059584002099553E-3</v>
      </c>
      <c r="O629" s="302">
        <f t="shared" si="275"/>
        <v>7.3847270041340979E-2</v>
      </c>
    </row>
    <row r="630" spans="1:15" s="236" customFormat="1" x14ac:dyDescent="0.2">
      <c r="A630" s="237"/>
      <c r="B630" s="302"/>
      <c r="C630" s="302"/>
      <c r="D630" s="302"/>
      <c r="E630" s="302"/>
      <c r="F630" s="303"/>
      <c r="G630" s="302"/>
      <c r="H630" s="302"/>
      <c r="I630" s="302"/>
      <c r="J630" s="302"/>
      <c r="K630" s="303"/>
      <c r="L630" s="302"/>
      <c r="M630" s="302"/>
      <c r="N630" s="302"/>
      <c r="O630" s="302"/>
    </row>
    <row r="631" spans="1:15" s="236" customFormat="1" x14ac:dyDescent="0.2">
      <c r="A631" s="244" t="s">
        <v>32</v>
      </c>
      <c r="B631" s="311">
        <f>SUM(B621:B629)</f>
        <v>1.2289999999969075</v>
      </c>
      <c r="C631" s="311">
        <f t="shared" ref="C631:E631" si="277">SUM(C621:C629)</f>
        <v>0.26600000000457175</v>
      </c>
      <c r="D631" s="311">
        <f t="shared" si="277"/>
        <v>4.9999999999719626E-3</v>
      </c>
      <c r="E631" s="311">
        <f t="shared" si="277"/>
        <v>1.5000000000014515</v>
      </c>
      <c r="F631" s="311"/>
      <c r="G631" s="311">
        <f t="shared" ref="G631:J631" si="278">SUM(G621:G629)</f>
        <v>0.74499999999849054</v>
      </c>
      <c r="H631" s="311">
        <f t="shared" si="278"/>
        <v>0.27200000000517688</v>
      </c>
      <c r="I631" s="311">
        <f t="shared" si="278"/>
        <v>4.6000000000034742E-2</v>
      </c>
      <c r="J631" s="311">
        <f t="shared" si="278"/>
        <v>1.0630000000037021</v>
      </c>
      <c r="K631" s="311"/>
      <c r="L631" s="311">
        <f t="shared" ref="L631:O631" si="279">SUM(L621:L629)</f>
        <v>0.98499999999853904</v>
      </c>
      <c r="M631" s="311">
        <f t="shared" si="279"/>
        <v>0.40899999999643621</v>
      </c>
      <c r="N631" s="311">
        <f t="shared" si="279"/>
        <v>6.2999999999759387E-2</v>
      </c>
      <c r="O631" s="311">
        <f t="shared" si="279"/>
        <v>1.4569999999947347</v>
      </c>
    </row>
    <row r="632" spans="1:15" s="236" customFormat="1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40"/>
    </row>
    <row r="633" spans="1:15" s="236" customFormat="1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40"/>
      <c r="O633" s="251" t="s">
        <v>35</v>
      </c>
    </row>
    <row r="634" spans="1:15" s="236" customFormat="1" x14ac:dyDescent="0.2">
      <c r="A634" s="242"/>
      <c r="B634" s="242"/>
      <c r="C634" s="242"/>
      <c r="D634" s="242"/>
      <c r="E634" s="242"/>
      <c r="F634" s="242"/>
      <c r="G634" s="242"/>
      <c r="H634" s="242"/>
      <c r="I634" s="242"/>
      <c r="J634" s="242"/>
      <c r="K634" s="242"/>
      <c r="L634" s="242"/>
      <c r="M634" s="242"/>
      <c r="N634" s="242"/>
      <c r="O634" s="242"/>
    </row>
    <row r="635" spans="1:15" s="236" customFormat="1" x14ac:dyDescent="0.2">
      <c r="A635" s="241" t="str">
        <f>name!A40</f>
        <v>Warehousing, etc</v>
      </c>
      <c r="B635" s="374">
        <f>$B$6</f>
        <v>2015</v>
      </c>
      <c r="C635" s="374"/>
      <c r="D635" s="374"/>
      <c r="E635" s="374"/>
      <c r="F635" s="263"/>
      <c r="G635" s="374">
        <f>$G$6</f>
        <v>2020</v>
      </c>
      <c r="H635" s="374"/>
      <c r="I635" s="374"/>
      <c r="J635" s="374"/>
      <c r="K635" s="263"/>
      <c r="L635" s="374">
        <f>$L$6</f>
        <v>2035</v>
      </c>
      <c r="M635" s="374"/>
      <c r="N635" s="374"/>
      <c r="O635" s="374"/>
    </row>
    <row r="636" spans="1:15" s="236" customFormat="1" x14ac:dyDescent="0.2">
      <c r="A636" s="254"/>
      <c r="B636" s="268" t="str">
        <f>$B$7</f>
        <v>FT</v>
      </c>
      <c r="C636" s="268" t="str">
        <f>$C$7</f>
        <v>PT</v>
      </c>
      <c r="D636" s="268" t="str">
        <f>$D$7</f>
        <v>SE</v>
      </c>
      <c r="E636" s="268" t="str">
        <f>$E$7</f>
        <v>Total</v>
      </c>
      <c r="F636" s="268"/>
      <c r="G636" s="268" t="str">
        <f>$G$7</f>
        <v>FT</v>
      </c>
      <c r="H636" s="268" t="str">
        <f>$H$7</f>
        <v>PT</v>
      </c>
      <c r="I636" s="268" t="str">
        <f>$I$7</f>
        <v>SE</v>
      </c>
      <c r="J636" s="268" t="str">
        <f>$J$7</f>
        <v>Total</v>
      </c>
      <c r="K636" s="268"/>
      <c r="L636" s="268" t="str">
        <f>$L$7</f>
        <v>FT</v>
      </c>
      <c r="M636" s="268" t="str">
        <f>$M$7</f>
        <v>PT</v>
      </c>
      <c r="N636" s="268" t="str">
        <f>$N$7</f>
        <v>SE</v>
      </c>
      <c r="O636" s="268" t="str">
        <f>$O$7</f>
        <v>Total</v>
      </c>
    </row>
    <row r="637" spans="1:15" s="236" customFormat="1" x14ac:dyDescent="0.2">
      <c r="A637" s="258"/>
      <c r="B637" s="239"/>
      <c r="C637" s="239"/>
      <c r="D637" s="239"/>
      <c r="E637" s="239"/>
      <c r="F637" s="239"/>
      <c r="G637" s="239"/>
      <c r="H637" s="239"/>
      <c r="I637" s="239"/>
      <c r="J637" s="239"/>
      <c r="K637" s="239"/>
      <c r="L637" s="239"/>
      <c r="M637" s="239"/>
      <c r="N637" s="239"/>
      <c r="O637" s="239"/>
    </row>
    <row r="638" spans="1:15" s="236" customFormat="1" x14ac:dyDescent="0.2">
      <c r="A638" s="237" t="str">
        <f>name!E$4</f>
        <v>Managers, directors and senior officials</v>
      </c>
      <c r="B638" s="302">
        <v>3.3755827664317533</v>
      </c>
      <c r="C638" s="302">
        <v>0.1593557896261765</v>
      </c>
      <c r="D638" s="302">
        <v>0.33782004064725124</v>
      </c>
      <c r="E638" s="302">
        <f>SUM(B638:D638)</f>
        <v>3.872758596705181</v>
      </c>
      <c r="F638" s="303"/>
      <c r="G638" s="302">
        <v>5.4979469061553932</v>
      </c>
      <c r="H638" s="302">
        <v>0.39823019187378406</v>
      </c>
      <c r="I638" s="302">
        <v>0.68127303923106852</v>
      </c>
      <c r="J638" s="302">
        <f>SUM(G638:I638)</f>
        <v>6.5774501372602456</v>
      </c>
      <c r="K638" s="303"/>
      <c r="L638" s="302">
        <v>6.4363449491465881</v>
      </c>
      <c r="M638" s="302">
        <v>0.60061019645375247</v>
      </c>
      <c r="N638" s="302">
        <v>0.70250846000573752</v>
      </c>
      <c r="O638" s="302">
        <f>SUM(L638:N638)</f>
        <v>7.7394636056060779</v>
      </c>
    </row>
    <row r="639" spans="1:15" s="236" customFormat="1" x14ac:dyDescent="0.2">
      <c r="A639" s="237" t="str">
        <f>name!E$5</f>
        <v>Professional occupations</v>
      </c>
      <c r="B639" s="302">
        <v>2.4842967524217285</v>
      </c>
      <c r="C639" s="302">
        <v>7.0715114313729455E-2</v>
      </c>
      <c r="D639" s="302">
        <v>0.10936073019427087</v>
      </c>
      <c r="E639" s="302">
        <f t="shared" ref="E639:E646" si="280">SUM(B639:D639)</f>
        <v>2.6643725969297289</v>
      </c>
      <c r="F639" s="303"/>
      <c r="G639" s="302">
        <v>4.5593971060387215</v>
      </c>
      <c r="H639" s="302">
        <v>0.18519888578142452</v>
      </c>
      <c r="I639" s="302">
        <v>0.20201430923678723</v>
      </c>
      <c r="J639" s="302">
        <f t="shared" ref="J639:J641" si="281">SUM(G639:I639)</f>
        <v>4.9466103010569338</v>
      </c>
      <c r="K639" s="303"/>
      <c r="L639" s="302">
        <v>6.224983566582547</v>
      </c>
      <c r="M639" s="302">
        <v>0.25957126006159137</v>
      </c>
      <c r="N639" s="302">
        <v>0.17458709397879815</v>
      </c>
      <c r="O639" s="302">
        <f t="shared" ref="O639:O646" si="282">SUM(L639:N639)</f>
        <v>6.6591419206229361</v>
      </c>
    </row>
    <row r="640" spans="1:15" s="236" customFormat="1" x14ac:dyDescent="0.2">
      <c r="A640" s="237" t="str">
        <f>name!E$6</f>
        <v>Associate professional occupations</v>
      </c>
      <c r="B640" s="302">
        <v>2.2320445200443526</v>
      </c>
      <c r="C640" s="302">
        <v>0.15952147389069757</v>
      </c>
      <c r="D640" s="302">
        <v>0.10594582264835807</v>
      </c>
      <c r="E640" s="302">
        <f t="shared" si="280"/>
        <v>2.4975118165834083</v>
      </c>
      <c r="F640" s="303"/>
      <c r="G640" s="302">
        <v>3.7074817773855582</v>
      </c>
      <c r="H640" s="302">
        <v>0.36300392845586021</v>
      </c>
      <c r="I640" s="302">
        <v>0.18353818533920235</v>
      </c>
      <c r="J640" s="302">
        <f t="shared" si="281"/>
        <v>4.254023891180621</v>
      </c>
      <c r="K640" s="303"/>
      <c r="L640" s="302">
        <v>3.9811180343524994</v>
      </c>
      <c r="M640" s="302">
        <v>0.42276880728267874</v>
      </c>
      <c r="N640" s="302">
        <v>0.16267903376688264</v>
      </c>
      <c r="O640" s="302">
        <f t="shared" si="282"/>
        <v>4.5665658754020608</v>
      </c>
    </row>
    <row r="641" spans="1:15" s="236" customFormat="1" x14ac:dyDescent="0.2">
      <c r="A641" s="237" t="str">
        <f>name!E$7</f>
        <v>Administrative and secretarial occupations</v>
      </c>
      <c r="B641" s="302">
        <v>3.3480275868505358</v>
      </c>
      <c r="C641" s="302">
        <v>0.49825459361778346</v>
      </c>
      <c r="D641" s="302">
        <v>5.141087927029684E-2</v>
      </c>
      <c r="E641" s="302">
        <f t="shared" si="280"/>
        <v>3.8976930597386161</v>
      </c>
      <c r="F641" s="303"/>
      <c r="G641" s="302">
        <v>5.4205358869785352</v>
      </c>
      <c r="H641" s="302">
        <v>0.80786182621907232</v>
      </c>
      <c r="I641" s="302">
        <v>6.652706251393338E-2</v>
      </c>
      <c r="J641" s="302">
        <f t="shared" si="281"/>
        <v>6.2949247757115412</v>
      </c>
      <c r="K641" s="303"/>
      <c r="L641" s="302">
        <v>5.9703761201789058</v>
      </c>
      <c r="M641" s="302">
        <v>0.7477013904233818</v>
      </c>
      <c r="N641" s="302">
        <v>4.8247940775866208E-2</v>
      </c>
      <c r="O641" s="302">
        <f t="shared" si="282"/>
        <v>6.7663254513781537</v>
      </c>
    </row>
    <row r="642" spans="1:15" s="236" customFormat="1" x14ac:dyDescent="0.2">
      <c r="A642" s="237" t="str">
        <f>name!E$8</f>
        <v>Skilled trades occupations</v>
      </c>
      <c r="B642" s="302">
        <v>1.1804347616160005</v>
      </c>
      <c r="C642" s="302">
        <v>8.0384464450703505E-2</v>
      </c>
      <c r="D642" s="302">
        <v>0.15552550124769179</v>
      </c>
      <c r="E642" s="302">
        <f t="shared" si="280"/>
        <v>1.4163447273143956</v>
      </c>
      <c r="F642" s="303"/>
      <c r="G642" s="302">
        <v>1.3153107177666166</v>
      </c>
      <c r="H642" s="302">
        <v>0.12672241743341447</v>
      </c>
      <c r="I642" s="302">
        <v>0.23937004818969954</v>
      </c>
      <c r="J642" s="302">
        <f>SUM(G642:I642)</f>
        <v>1.6814031833897305</v>
      </c>
      <c r="K642" s="303"/>
      <c r="L642" s="302">
        <v>1.2353106911576688</v>
      </c>
      <c r="M642" s="302">
        <v>0.26428828957684908</v>
      </c>
      <c r="N642" s="302">
        <v>0.27192048438799477</v>
      </c>
      <c r="O642" s="302">
        <f t="shared" si="282"/>
        <v>1.7715194651225126</v>
      </c>
    </row>
    <row r="643" spans="1:15" s="236" customFormat="1" x14ac:dyDescent="0.2">
      <c r="A643" s="237" t="str">
        <f>name!E$9</f>
        <v>Caring, leisure and other service occupations</v>
      </c>
      <c r="B643" s="302">
        <v>1.7439439475700775</v>
      </c>
      <c r="C643" s="302">
        <v>0.61504074791830188</v>
      </c>
      <c r="D643" s="302">
        <v>0.18821228494974368</v>
      </c>
      <c r="E643" s="302">
        <f t="shared" si="280"/>
        <v>2.5471969804381231</v>
      </c>
      <c r="F643" s="303"/>
      <c r="G643" s="302">
        <v>2.4493453451602063</v>
      </c>
      <c r="H643" s="302">
        <v>0.69482303059224937</v>
      </c>
      <c r="I643" s="302">
        <v>0.29248516529918334</v>
      </c>
      <c r="J643" s="302">
        <f t="shared" ref="J643:J646" si="283">SUM(G643:I643)</f>
        <v>3.4366535410516388</v>
      </c>
      <c r="K643" s="303"/>
      <c r="L643" s="302">
        <v>2.5201605149231496</v>
      </c>
      <c r="M643" s="302">
        <v>0.76073603256437305</v>
      </c>
      <c r="N643" s="302">
        <v>0.35105841978880631</v>
      </c>
      <c r="O643" s="302">
        <f t="shared" si="282"/>
        <v>3.6319549672763292</v>
      </c>
    </row>
    <row r="644" spans="1:15" s="236" customFormat="1" x14ac:dyDescent="0.2">
      <c r="A644" s="237" t="str">
        <f>name!E$10</f>
        <v>Sales and customer service occupations</v>
      </c>
      <c r="B644" s="302">
        <v>1.6290673618986593</v>
      </c>
      <c r="C644" s="302">
        <v>1.8981579322049866</v>
      </c>
      <c r="D644" s="302">
        <v>0.39648232363976632</v>
      </c>
      <c r="E644" s="302">
        <f t="shared" si="280"/>
        <v>3.9237076177434123</v>
      </c>
      <c r="F644" s="303"/>
      <c r="G644" s="302">
        <v>2.4267571579767826</v>
      </c>
      <c r="H644" s="302">
        <v>3.2719362450516121</v>
      </c>
      <c r="I644" s="302">
        <v>0.60618145920676891</v>
      </c>
      <c r="J644" s="302">
        <f t="shared" si="283"/>
        <v>6.304874862235164</v>
      </c>
      <c r="K644" s="303"/>
      <c r="L644" s="302">
        <v>3.0057627535969673</v>
      </c>
      <c r="M644" s="302">
        <v>3.7407305355210121</v>
      </c>
      <c r="N644" s="302">
        <v>0.56206121135310982</v>
      </c>
      <c r="O644" s="302">
        <f t="shared" si="282"/>
        <v>7.3085545004710895</v>
      </c>
    </row>
    <row r="645" spans="1:15" s="236" customFormat="1" x14ac:dyDescent="0.2">
      <c r="A645" s="237" t="str">
        <f>name!E$11</f>
        <v>Process, plant and machine operatives</v>
      </c>
      <c r="B645" s="302">
        <v>10.168664872450259</v>
      </c>
      <c r="C645" s="302">
        <v>0.21570918892970814</v>
      </c>
      <c r="D645" s="302">
        <v>0.11757472799718403</v>
      </c>
      <c r="E645" s="302">
        <f t="shared" si="280"/>
        <v>10.501948789377151</v>
      </c>
      <c r="F645" s="303"/>
      <c r="G645" s="302">
        <v>12.267664836961014</v>
      </c>
      <c r="H645" s="302">
        <v>0.46356604619725467</v>
      </c>
      <c r="I645" s="302">
        <v>0.26840876625609744</v>
      </c>
      <c r="J645" s="302">
        <f t="shared" si="283"/>
        <v>12.999639649414366</v>
      </c>
      <c r="K645" s="303"/>
      <c r="L645" s="302">
        <v>14.551858546574376</v>
      </c>
      <c r="M645" s="302">
        <v>0.59285171694696237</v>
      </c>
      <c r="N645" s="302">
        <v>0.23352651093505664</v>
      </c>
      <c r="O645" s="302">
        <f t="shared" si="282"/>
        <v>15.378236774456395</v>
      </c>
    </row>
    <row r="646" spans="1:15" s="236" customFormat="1" x14ac:dyDescent="0.2">
      <c r="A646" s="237" t="str">
        <f>name!E$12</f>
        <v>Elementary occupations</v>
      </c>
      <c r="B646" s="302">
        <v>9.0459374303390696</v>
      </c>
      <c r="C646" s="302">
        <v>0.50886069510443532</v>
      </c>
      <c r="D646" s="302">
        <v>4.8667689424117484E-2</v>
      </c>
      <c r="E646" s="302">
        <f t="shared" si="280"/>
        <v>9.6034658148676222</v>
      </c>
      <c r="F646" s="303"/>
      <c r="G646" s="302">
        <v>10.128560265917031</v>
      </c>
      <c r="H646" s="302">
        <v>0.67765742843744137</v>
      </c>
      <c r="I646" s="302">
        <v>6.9201964759324941E-2</v>
      </c>
      <c r="J646" s="302">
        <f t="shared" si="283"/>
        <v>10.875419659113797</v>
      </c>
      <c r="K646" s="303"/>
      <c r="L646" s="302">
        <v>8.3570848238114301</v>
      </c>
      <c r="M646" s="302">
        <v>0.62974177115994623</v>
      </c>
      <c r="N646" s="302">
        <v>5.6410845071770362E-2</v>
      </c>
      <c r="O646" s="302">
        <f t="shared" si="282"/>
        <v>9.0432374400431463</v>
      </c>
    </row>
    <row r="647" spans="1:15" s="236" customFormat="1" x14ac:dyDescent="0.2">
      <c r="A647" s="237"/>
      <c r="B647" s="302"/>
      <c r="C647" s="302"/>
      <c r="D647" s="302"/>
      <c r="E647" s="302"/>
      <c r="F647" s="303"/>
      <c r="G647" s="302"/>
      <c r="H647" s="302"/>
      <c r="I647" s="302"/>
      <c r="J647" s="302"/>
      <c r="K647" s="303"/>
      <c r="L647" s="302"/>
      <c r="M647" s="302"/>
      <c r="N647" s="302"/>
      <c r="O647" s="302"/>
    </row>
    <row r="648" spans="1:15" s="236" customFormat="1" x14ac:dyDescent="0.2">
      <c r="A648" s="244" t="s">
        <v>32</v>
      </c>
      <c r="B648" s="311">
        <f>SUM(B638:B646)</f>
        <v>35.207999999622437</v>
      </c>
      <c r="C648" s="311">
        <f t="shared" ref="C648:E648" si="284">SUM(C638:C646)</f>
        <v>4.2060000000565223</v>
      </c>
      <c r="D648" s="311">
        <f t="shared" si="284"/>
        <v>1.5110000000186803</v>
      </c>
      <c r="E648" s="311">
        <f t="shared" si="284"/>
        <v>40.924999999697633</v>
      </c>
      <c r="F648" s="311"/>
      <c r="G648" s="311">
        <f t="shared" ref="G648:J648" si="285">SUM(G638:G646)</f>
        <v>47.773000000339863</v>
      </c>
      <c r="H648" s="311">
        <f t="shared" si="285"/>
        <v>6.9890000000421129</v>
      </c>
      <c r="I648" s="311">
        <f t="shared" si="285"/>
        <v>2.6090000000320654</v>
      </c>
      <c r="J648" s="311">
        <f t="shared" si="285"/>
        <v>57.371000000414035</v>
      </c>
      <c r="K648" s="311"/>
      <c r="L648" s="311">
        <f t="shared" ref="L648:O648" si="286">SUM(L638:L646)</f>
        <v>52.283000000324137</v>
      </c>
      <c r="M648" s="311">
        <f t="shared" si="286"/>
        <v>8.0189999999905481</v>
      </c>
      <c r="N648" s="311">
        <f t="shared" si="286"/>
        <v>2.5630000000640227</v>
      </c>
      <c r="O648" s="311">
        <f t="shared" si="286"/>
        <v>62.8650000003787</v>
      </c>
    </row>
    <row r="649" spans="1:15" s="236" customFormat="1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40"/>
    </row>
    <row r="650" spans="1:15" s="236" customFormat="1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40"/>
      <c r="O650" s="251" t="s">
        <v>35</v>
      </c>
    </row>
    <row r="651" spans="1:15" s="236" customFormat="1" x14ac:dyDescent="0.2">
      <c r="A651" s="242"/>
      <c r="B651" s="242"/>
      <c r="C651" s="242"/>
      <c r="D651" s="242"/>
      <c r="E651" s="242"/>
      <c r="F651" s="242"/>
      <c r="G651" s="242"/>
      <c r="H651" s="242"/>
      <c r="I651" s="242"/>
      <c r="J651" s="242"/>
      <c r="K651" s="242"/>
      <c r="L651" s="242"/>
      <c r="M651" s="242"/>
      <c r="N651" s="242"/>
      <c r="O651" s="242"/>
    </row>
    <row r="652" spans="1:15" s="236" customFormat="1" x14ac:dyDescent="0.2">
      <c r="A652" s="241" t="str">
        <f>name!A41</f>
        <v>Postal and courier</v>
      </c>
      <c r="B652" s="374">
        <f>$B$6</f>
        <v>2015</v>
      </c>
      <c r="C652" s="374"/>
      <c r="D652" s="374"/>
      <c r="E652" s="374"/>
      <c r="F652" s="263"/>
      <c r="G652" s="374">
        <f>$G$6</f>
        <v>2020</v>
      </c>
      <c r="H652" s="374"/>
      <c r="I652" s="374"/>
      <c r="J652" s="374"/>
      <c r="K652" s="263"/>
      <c r="L652" s="374">
        <f>$L$6</f>
        <v>2035</v>
      </c>
      <c r="M652" s="374"/>
      <c r="N652" s="374"/>
      <c r="O652" s="374"/>
    </row>
    <row r="653" spans="1:15" s="236" customFormat="1" x14ac:dyDescent="0.2">
      <c r="A653" s="254"/>
      <c r="B653" s="268" t="str">
        <f>$B$7</f>
        <v>FT</v>
      </c>
      <c r="C653" s="268" t="str">
        <f>$C$7</f>
        <v>PT</v>
      </c>
      <c r="D653" s="268" t="str">
        <f>$D$7</f>
        <v>SE</v>
      </c>
      <c r="E653" s="268" t="str">
        <f>$E$7</f>
        <v>Total</v>
      </c>
      <c r="F653" s="268"/>
      <c r="G653" s="268" t="str">
        <f>$G$7</f>
        <v>FT</v>
      </c>
      <c r="H653" s="268" t="str">
        <f>$H$7</f>
        <v>PT</v>
      </c>
      <c r="I653" s="268" t="str">
        <f>$I$7</f>
        <v>SE</v>
      </c>
      <c r="J653" s="268" t="str">
        <f>$J$7</f>
        <v>Total</v>
      </c>
      <c r="K653" s="268"/>
      <c r="L653" s="268" t="str">
        <f>$L$7</f>
        <v>FT</v>
      </c>
      <c r="M653" s="268" t="str">
        <f>$M$7</f>
        <v>PT</v>
      </c>
      <c r="N653" s="268" t="str">
        <f>$N$7</f>
        <v>SE</v>
      </c>
      <c r="O653" s="268" t="str">
        <f>$O$7</f>
        <v>Total</v>
      </c>
    </row>
    <row r="654" spans="1:15" s="236" customFormat="1" x14ac:dyDescent="0.2">
      <c r="A654" s="258"/>
      <c r="B654" s="239"/>
      <c r="C654" s="239"/>
      <c r="D654" s="239"/>
      <c r="E654" s="239"/>
      <c r="F654" s="239"/>
      <c r="G654" s="239"/>
      <c r="H654" s="239"/>
      <c r="I654" s="239"/>
      <c r="J654" s="239"/>
      <c r="K654" s="239"/>
      <c r="L654" s="239"/>
      <c r="M654" s="239"/>
      <c r="N654" s="239"/>
      <c r="O654" s="239"/>
    </row>
    <row r="655" spans="1:15" s="236" customFormat="1" x14ac:dyDescent="0.2">
      <c r="A655" s="237" t="str">
        <f>name!E$4</f>
        <v>Managers, directors and senior officials</v>
      </c>
      <c r="B655" s="302">
        <v>1.8355957978979982</v>
      </c>
      <c r="C655" s="302">
        <v>0.1197670384715064</v>
      </c>
      <c r="D655" s="302">
        <v>0.10064177055294787</v>
      </c>
      <c r="E655" s="302">
        <f>SUM(B655:D655)</f>
        <v>2.0560046069224525</v>
      </c>
      <c r="F655" s="303"/>
      <c r="G655" s="302">
        <v>2.8036763279124353</v>
      </c>
      <c r="H655" s="302">
        <v>0.30999851016242647</v>
      </c>
      <c r="I655" s="302">
        <v>0.41768917556849805</v>
      </c>
      <c r="J655" s="302">
        <f>SUM(G655:I655)</f>
        <v>3.5313640136433597</v>
      </c>
      <c r="K655" s="303"/>
      <c r="L655" s="302">
        <v>3.5064646104752577</v>
      </c>
      <c r="M655" s="302">
        <v>0.47545902107440724</v>
      </c>
      <c r="N655" s="302">
        <v>0.35961608970127235</v>
      </c>
      <c r="O655" s="302">
        <f>SUM(L655:N655)</f>
        <v>4.3415397212509372</v>
      </c>
    </row>
    <row r="656" spans="1:15" s="236" customFormat="1" x14ac:dyDescent="0.2">
      <c r="A656" s="237" t="str">
        <f>name!E$5</f>
        <v>Professional occupations</v>
      </c>
      <c r="B656" s="302">
        <v>1.0699596595648577</v>
      </c>
      <c r="C656" s="302">
        <v>0.11351522337728442</v>
      </c>
      <c r="D656" s="302">
        <v>4.0893974021165652E-2</v>
      </c>
      <c r="E656" s="302">
        <f t="shared" ref="E656:E663" si="287">SUM(B656:D656)</f>
        <v>1.2243688569633078</v>
      </c>
      <c r="F656" s="303"/>
      <c r="G656" s="302">
        <v>1.8917032611192794</v>
      </c>
      <c r="H656" s="302">
        <v>0.29666800862851128</v>
      </c>
      <c r="I656" s="302">
        <v>0.10800593593658393</v>
      </c>
      <c r="J656" s="302">
        <f t="shared" ref="J656:J658" si="288">SUM(G656:I656)</f>
        <v>2.296377205684375</v>
      </c>
      <c r="K656" s="303"/>
      <c r="L656" s="302">
        <v>2.4628158645691354</v>
      </c>
      <c r="M656" s="302">
        <v>0.49342179504586248</v>
      </c>
      <c r="N656" s="302">
        <v>8.6333844985521713E-2</v>
      </c>
      <c r="O656" s="302">
        <f t="shared" ref="O656:O663" si="289">SUM(L656:N656)</f>
        <v>3.0425715046005197</v>
      </c>
    </row>
    <row r="657" spans="1:15" s="236" customFormat="1" x14ac:dyDescent="0.2">
      <c r="A657" s="237" t="str">
        <f>name!E$6</f>
        <v>Associate professional occupations</v>
      </c>
      <c r="B657" s="302">
        <v>1.1632874981145629</v>
      </c>
      <c r="C657" s="302">
        <v>0.19698648465796026</v>
      </c>
      <c r="D657" s="302">
        <v>2.2157063944156861E-2</v>
      </c>
      <c r="E657" s="302">
        <f t="shared" si="287"/>
        <v>1.38243104671668</v>
      </c>
      <c r="F657" s="303"/>
      <c r="G657" s="302">
        <v>1.7769042666484056</v>
      </c>
      <c r="H657" s="302">
        <v>0.35843995926007249</v>
      </c>
      <c r="I657" s="302">
        <v>7.4283411738001515E-2</v>
      </c>
      <c r="J657" s="302">
        <f t="shared" si="288"/>
        <v>2.2096276376464794</v>
      </c>
      <c r="K657" s="303"/>
      <c r="L657" s="302">
        <v>1.9129803192250583</v>
      </c>
      <c r="M657" s="302">
        <v>0.4934646310404962</v>
      </c>
      <c r="N657" s="302">
        <v>6.79582387270279E-2</v>
      </c>
      <c r="O657" s="302">
        <f t="shared" si="289"/>
        <v>2.4744031889925826</v>
      </c>
    </row>
    <row r="658" spans="1:15" s="236" customFormat="1" x14ac:dyDescent="0.2">
      <c r="A658" s="237" t="str">
        <f>name!E$7</f>
        <v>Administrative and secretarial occupations</v>
      </c>
      <c r="B658" s="302">
        <v>2.7398678110205101</v>
      </c>
      <c r="C658" s="302">
        <v>1.9825964663048354</v>
      </c>
      <c r="D658" s="302">
        <v>1.4747392549610326E-2</v>
      </c>
      <c r="E658" s="302">
        <f t="shared" si="287"/>
        <v>4.7372116698749558</v>
      </c>
      <c r="F658" s="303"/>
      <c r="G658" s="302">
        <v>3.6529236572024057</v>
      </c>
      <c r="H658" s="302">
        <v>2.8380764306500637</v>
      </c>
      <c r="I658" s="302">
        <v>5.8876320849582157E-2</v>
      </c>
      <c r="J658" s="302">
        <f t="shared" si="288"/>
        <v>6.549876408702052</v>
      </c>
      <c r="K658" s="303"/>
      <c r="L658" s="302">
        <v>3.8356031048285684</v>
      </c>
      <c r="M658" s="302">
        <v>2.9759501575723095</v>
      </c>
      <c r="N658" s="302">
        <v>5.7841984028267394E-2</v>
      </c>
      <c r="O658" s="302">
        <f t="shared" si="289"/>
        <v>6.8693952464291455</v>
      </c>
    </row>
    <row r="659" spans="1:15" s="236" customFormat="1" x14ac:dyDescent="0.2">
      <c r="A659" s="237" t="str">
        <f>name!E$8</f>
        <v>Skilled trades occupations</v>
      </c>
      <c r="B659" s="302">
        <v>0.46636856289371409</v>
      </c>
      <c r="C659" s="302">
        <v>0.60904293962250278</v>
      </c>
      <c r="D659" s="302">
        <v>0.18458476356402098</v>
      </c>
      <c r="E659" s="302">
        <f t="shared" si="287"/>
        <v>1.259996266080238</v>
      </c>
      <c r="F659" s="303"/>
      <c r="G659" s="302">
        <v>0.475070037894332</v>
      </c>
      <c r="H659" s="302">
        <v>1.112867753294897</v>
      </c>
      <c r="I659" s="302">
        <v>0.27537859938162224</v>
      </c>
      <c r="J659" s="302">
        <f>SUM(G659:I659)</f>
        <v>1.8633163905708512</v>
      </c>
      <c r="K659" s="303"/>
      <c r="L659" s="302">
        <v>0.57397867336471431</v>
      </c>
      <c r="M659" s="302">
        <v>1.4525821270374333</v>
      </c>
      <c r="N659" s="302">
        <v>0.23816660692492064</v>
      </c>
      <c r="O659" s="302">
        <f t="shared" si="289"/>
        <v>2.2647274073270682</v>
      </c>
    </row>
    <row r="660" spans="1:15" s="236" customFormat="1" x14ac:dyDescent="0.2">
      <c r="A660" s="237" t="str">
        <f>name!E$9</f>
        <v>Caring, leisure and other service occupations</v>
      </c>
      <c r="B660" s="302">
        <v>0.33835239681977969</v>
      </c>
      <c r="C660" s="302">
        <v>0.22217983762122601</v>
      </c>
      <c r="D660" s="302">
        <v>7.7432742730898256E-3</v>
      </c>
      <c r="E660" s="302">
        <f t="shared" si="287"/>
        <v>0.5682755087140956</v>
      </c>
      <c r="F660" s="303"/>
      <c r="G660" s="302">
        <v>0.42509828127367505</v>
      </c>
      <c r="H660" s="302">
        <v>0.34663398564372211</v>
      </c>
      <c r="I660" s="302">
        <v>5.9301859988094396E-2</v>
      </c>
      <c r="J660" s="302">
        <f t="shared" ref="J660:J663" si="290">SUM(G660:I660)</f>
        <v>0.8310341269054915</v>
      </c>
      <c r="K660" s="303"/>
      <c r="L660" s="302">
        <v>0.59918581015763162</v>
      </c>
      <c r="M660" s="302">
        <v>0.40262045473831909</v>
      </c>
      <c r="N660" s="302">
        <v>6.3185331176507348E-2</v>
      </c>
      <c r="O660" s="302">
        <f t="shared" si="289"/>
        <v>1.0649915960724581</v>
      </c>
    </row>
    <row r="661" spans="1:15" s="236" customFormat="1" x14ac:dyDescent="0.2">
      <c r="A661" s="237" t="str">
        <f>name!E$10</f>
        <v>Sales and customer service occupations</v>
      </c>
      <c r="B661" s="302">
        <v>1.0056220201681225</v>
      </c>
      <c r="C661" s="302">
        <v>0.512871581869494</v>
      </c>
      <c r="D661" s="302">
        <v>1.114620821548316E-2</v>
      </c>
      <c r="E661" s="302">
        <f t="shared" si="287"/>
        <v>1.5296398102530997</v>
      </c>
      <c r="F661" s="303"/>
      <c r="G661" s="302">
        <v>1.3401899356147946</v>
      </c>
      <c r="H661" s="302">
        <v>0.73274591885910745</v>
      </c>
      <c r="I661" s="302">
        <v>3.4567296227606022E-2</v>
      </c>
      <c r="J661" s="302">
        <f t="shared" si="290"/>
        <v>2.1075031507015081</v>
      </c>
      <c r="K661" s="303"/>
      <c r="L661" s="302">
        <v>1.7277712321904453</v>
      </c>
      <c r="M661" s="302">
        <v>1.0978158414341275</v>
      </c>
      <c r="N661" s="302">
        <v>3.4001537081940314E-2</v>
      </c>
      <c r="O661" s="302">
        <f t="shared" si="289"/>
        <v>2.8595886107065129</v>
      </c>
    </row>
    <row r="662" spans="1:15" s="236" customFormat="1" x14ac:dyDescent="0.2">
      <c r="A662" s="237" t="str">
        <f>name!E$11</f>
        <v>Process, plant and machine operatives</v>
      </c>
      <c r="B662" s="302">
        <v>2.5748005355251471</v>
      </c>
      <c r="C662" s="302">
        <v>0.30356547997689964</v>
      </c>
      <c r="D662" s="302">
        <v>0.22606297178354451</v>
      </c>
      <c r="E662" s="302">
        <f t="shared" si="287"/>
        <v>3.104428987285591</v>
      </c>
      <c r="F662" s="303"/>
      <c r="G662" s="302">
        <v>2.6923199808368068</v>
      </c>
      <c r="H662" s="302">
        <v>0.71508374072761727</v>
      </c>
      <c r="I662" s="302">
        <v>0.54362603209321514</v>
      </c>
      <c r="J662" s="302">
        <f t="shared" si="290"/>
        <v>3.9510297536576395</v>
      </c>
      <c r="K662" s="303"/>
      <c r="L662" s="302">
        <v>3.1289344822948602</v>
      </c>
      <c r="M662" s="302">
        <v>1.1320463762635837</v>
      </c>
      <c r="N662" s="302">
        <v>0.58217386095430379</v>
      </c>
      <c r="O662" s="302">
        <f t="shared" si="289"/>
        <v>4.8431547195127473</v>
      </c>
    </row>
    <row r="663" spans="1:15" s="236" customFormat="1" x14ac:dyDescent="0.2">
      <c r="A663" s="237" t="str">
        <f>name!E$12</f>
        <v>Elementary occupations</v>
      </c>
      <c r="B663" s="302">
        <v>5.6241457178694851</v>
      </c>
      <c r="C663" s="302">
        <v>1.9794749482381924</v>
      </c>
      <c r="D663" s="302">
        <v>0.10302258108901929</v>
      </c>
      <c r="E663" s="302">
        <f t="shared" si="287"/>
        <v>7.7066432471966966</v>
      </c>
      <c r="F663" s="303"/>
      <c r="G663" s="302">
        <v>6.2121142516062982</v>
      </c>
      <c r="H663" s="302">
        <v>2.9604856929914272</v>
      </c>
      <c r="I663" s="302">
        <v>0.25727136823389962</v>
      </c>
      <c r="J663" s="302">
        <f t="shared" si="290"/>
        <v>9.4298713128316241</v>
      </c>
      <c r="K663" s="303"/>
      <c r="L663" s="302">
        <v>6.0182659029595627</v>
      </c>
      <c r="M663" s="302">
        <v>3.0156395957339424</v>
      </c>
      <c r="N663" s="302">
        <v>0.24972250643950361</v>
      </c>
      <c r="O663" s="302">
        <f t="shared" si="289"/>
        <v>9.2836280051330089</v>
      </c>
    </row>
    <row r="664" spans="1:15" s="236" customFormat="1" x14ac:dyDescent="0.2">
      <c r="A664" s="237"/>
      <c r="B664" s="302"/>
      <c r="C664" s="302"/>
      <c r="D664" s="302"/>
      <c r="E664" s="302"/>
      <c r="F664" s="303"/>
      <c r="G664" s="302"/>
      <c r="H664" s="302"/>
      <c r="I664" s="302"/>
      <c r="J664" s="302"/>
      <c r="K664" s="303"/>
      <c r="L664" s="302"/>
      <c r="M664" s="302"/>
      <c r="N664" s="302"/>
      <c r="O664" s="302"/>
    </row>
    <row r="665" spans="1:15" s="236" customFormat="1" x14ac:dyDescent="0.2">
      <c r="A665" s="244" t="s">
        <v>32</v>
      </c>
      <c r="B665" s="311">
        <f>SUM(B655:B663)</f>
        <v>16.817999999874175</v>
      </c>
      <c r="C665" s="311">
        <f t="shared" ref="C665:E665" si="291">SUM(C655:C663)</f>
        <v>6.0400000001399015</v>
      </c>
      <c r="D665" s="311">
        <f t="shared" si="291"/>
        <v>0.71099999999303853</v>
      </c>
      <c r="E665" s="311">
        <f t="shared" si="291"/>
        <v>23.569000000007115</v>
      </c>
      <c r="F665" s="311"/>
      <c r="G665" s="311">
        <f t="shared" ref="G665:J665" si="292">SUM(G655:G663)</f>
        <v>21.270000000108432</v>
      </c>
      <c r="H665" s="311">
        <f t="shared" si="292"/>
        <v>9.6710000002178447</v>
      </c>
      <c r="I665" s="311">
        <f t="shared" si="292"/>
        <v>1.8290000000171029</v>
      </c>
      <c r="J665" s="311">
        <f t="shared" si="292"/>
        <v>32.77000000034338</v>
      </c>
      <c r="K665" s="311"/>
      <c r="L665" s="311">
        <f t="shared" ref="L665:O665" si="293">SUM(L655:L663)</f>
        <v>23.766000000065233</v>
      </c>
      <c r="M665" s="311">
        <f t="shared" si="293"/>
        <v>11.538999999940481</v>
      </c>
      <c r="N665" s="311">
        <f t="shared" si="293"/>
        <v>1.7390000000192651</v>
      </c>
      <c r="O665" s="311">
        <f t="shared" si="293"/>
        <v>37.04400000002498</v>
      </c>
    </row>
    <row r="666" spans="1:15" s="236" customFormat="1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40"/>
    </row>
    <row r="667" spans="1:15" s="236" customFormat="1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40"/>
      <c r="O667" s="251" t="s">
        <v>35</v>
      </c>
    </row>
    <row r="668" spans="1:15" s="236" customFormat="1" x14ac:dyDescent="0.2">
      <c r="A668" s="242"/>
      <c r="B668" s="242"/>
      <c r="C668" s="242"/>
      <c r="D668" s="242"/>
      <c r="E668" s="242"/>
      <c r="F668" s="242"/>
      <c r="G668" s="242"/>
      <c r="H668" s="242"/>
      <c r="I668" s="242"/>
      <c r="J668" s="242"/>
      <c r="K668" s="242"/>
      <c r="L668" s="242"/>
      <c r="M668" s="242"/>
      <c r="N668" s="242"/>
      <c r="O668" s="242"/>
    </row>
    <row r="669" spans="1:15" s="236" customFormat="1" x14ac:dyDescent="0.2">
      <c r="A669" s="241" t="str">
        <f>name!A42</f>
        <v>Accommodation</v>
      </c>
      <c r="B669" s="374">
        <f>$B$6</f>
        <v>2015</v>
      </c>
      <c r="C669" s="374"/>
      <c r="D669" s="374"/>
      <c r="E669" s="374"/>
      <c r="F669" s="263"/>
      <c r="G669" s="374">
        <f>$G$6</f>
        <v>2020</v>
      </c>
      <c r="H669" s="374"/>
      <c r="I669" s="374"/>
      <c r="J669" s="374"/>
      <c r="K669" s="263"/>
      <c r="L669" s="374">
        <f>$L$6</f>
        <v>2035</v>
      </c>
      <c r="M669" s="374"/>
      <c r="N669" s="374"/>
      <c r="O669" s="374"/>
    </row>
    <row r="670" spans="1:15" s="236" customFormat="1" x14ac:dyDescent="0.2">
      <c r="A670" s="254"/>
      <c r="B670" s="268" t="str">
        <f>$B$7</f>
        <v>FT</v>
      </c>
      <c r="C670" s="268" t="str">
        <f>$C$7</f>
        <v>PT</v>
      </c>
      <c r="D670" s="268" t="str">
        <f>$D$7</f>
        <v>SE</v>
      </c>
      <c r="E670" s="268" t="str">
        <f>$E$7</f>
        <v>Total</v>
      </c>
      <c r="F670" s="268"/>
      <c r="G670" s="268" t="str">
        <f>$G$7</f>
        <v>FT</v>
      </c>
      <c r="H670" s="268" t="str">
        <f>$H$7</f>
        <v>PT</v>
      </c>
      <c r="I670" s="268" t="str">
        <f>$I$7</f>
        <v>SE</v>
      </c>
      <c r="J670" s="268" t="str">
        <f>$J$7</f>
        <v>Total</v>
      </c>
      <c r="K670" s="268"/>
      <c r="L670" s="268" t="str">
        <f>$L$7</f>
        <v>FT</v>
      </c>
      <c r="M670" s="268" t="str">
        <f>$M$7</f>
        <v>PT</v>
      </c>
      <c r="N670" s="268" t="str">
        <f>$N$7</f>
        <v>SE</v>
      </c>
      <c r="O670" s="268" t="str">
        <f>$O$7</f>
        <v>Total</v>
      </c>
    </row>
    <row r="671" spans="1:15" s="236" customFormat="1" x14ac:dyDescent="0.2">
      <c r="A671" s="258"/>
      <c r="B671" s="239"/>
      <c r="C671" s="239"/>
      <c r="D671" s="239"/>
      <c r="E671" s="239"/>
      <c r="F671" s="239"/>
      <c r="G671" s="239"/>
      <c r="H671" s="239"/>
      <c r="I671" s="239"/>
      <c r="J671" s="239"/>
      <c r="K671" s="239"/>
      <c r="L671" s="239"/>
      <c r="M671" s="239"/>
      <c r="N671" s="239"/>
      <c r="O671" s="239"/>
    </row>
    <row r="672" spans="1:15" s="236" customFormat="1" x14ac:dyDescent="0.2">
      <c r="A672" s="237" t="str">
        <f>name!E$4</f>
        <v>Managers, directors and senior officials</v>
      </c>
      <c r="B672" s="302">
        <v>2.0715041255381408</v>
      </c>
      <c r="C672" s="302">
        <v>0.50536037536647105</v>
      </c>
      <c r="D672" s="302">
        <v>1.5927706857771597</v>
      </c>
      <c r="E672" s="302">
        <f>SUM(B672:D672)</f>
        <v>4.1696351866817718</v>
      </c>
      <c r="F672" s="303"/>
      <c r="G672" s="302">
        <v>2.1249248052035115</v>
      </c>
      <c r="H672" s="302">
        <v>0.94638836772535118</v>
      </c>
      <c r="I672" s="302">
        <v>1.0974367453259102</v>
      </c>
      <c r="J672" s="302">
        <f>SUM(G672:I672)</f>
        <v>4.1687499182547727</v>
      </c>
      <c r="K672" s="303"/>
      <c r="L672" s="302">
        <v>2.6481645155226481</v>
      </c>
      <c r="M672" s="302">
        <v>1.8592163033754021</v>
      </c>
      <c r="N672" s="302">
        <v>1.3931268706127036</v>
      </c>
      <c r="O672" s="302">
        <f>SUM(L672:N672)</f>
        <v>5.9005076895107536</v>
      </c>
    </row>
    <row r="673" spans="1:15" s="236" customFormat="1" x14ac:dyDescent="0.2">
      <c r="A673" s="237" t="str">
        <f>name!E$5</f>
        <v>Professional occupations</v>
      </c>
      <c r="B673" s="302">
        <v>0.62047619962238942</v>
      </c>
      <c r="C673" s="302">
        <v>0.13772675999714243</v>
      </c>
      <c r="D673" s="302">
        <v>0.10373769706280969</v>
      </c>
      <c r="E673" s="302">
        <f t="shared" ref="E673:E680" si="294">SUM(B673:D673)</f>
        <v>0.86194065668234154</v>
      </c>
      <c r="F673" s="303"/>
      <c r="G673" s="302">
        <v>0.78376762519549592</v>
      </c>
      <c r="H673" s="302">
        <v>0.29378625197556085</v>
      </c>
      <c r="I673" s="302">
        <v>7.0122871000144513E-2</v>
      </c>
      <c r="J673" s="302">
        <f t="shared" ref="J673:J675" si="295">SUM(G673:I673)</f>
        <v>1.1476767481712011</v>
      </c>
      <c r="K673" s="303"/>
      <c r="L673" s="302">
        <v>0.90656270052803511</v>
      </c>
      <c r="M673" s="302">
        <v>0.4786086915656364</v>
      </c>
      <c r="N673" s="302">
        <v>3.9343283837756232E-2</v>
      </c>
      <c r="O673" s="302">
        <f t="shared" ref="O673:O680" si="296">SUM(L673:N673)</f>
        <v>1.4245146759314278</v>
      </c>
    </row>
    <row r="674" spans="1:15" s="236" customFormat="1" x14ac:dyDescent="0.2">
      <c r="A674" s="237" t="str">
        <f>name!E$6</f>
        <v>Associate professional occupations</v>
      </c>
      <c r="B674" s="302">
        <v>0.47848329625036123</v>
      </c>
      <c r="C674" s="302">
        <v>0.30286839922909525</v>
      </c>
      <c r="D674" s="302">
        <v>7.7852450300233647E-2</v>
      </c>
      <c r="E674" s="302">
        <f t="shared" si="294"/>
        <v>0.85920414577969018</v>
      </c>
      <c r="F674" s="303"/>
      <c r="G674" s="302">
        <v>0.55065349172007461</v>
      </c>
      <c r="H674" s="302">
        <v>0.49410274117651826</v>
      </c>
      <c r="I674" s="302">
        <v>4.1540746480406704E-2</v>
      </c>
      <c r="J674" s="302">
        <f t="shared" si="295"/>
        <v>1.0862969793769996</v>
      </c>
      <c r="K674" s="303"/>
      <c r="L674" s="302">
        <v>0.60518123902642629</v>
      </c>
      <c r="M674" s="302">
        <v>0.67693417780842813</v>
      </c>
      <c r="N674" s="302">
        <v>3.6152055097874947E-2</v>
      </c>
      <c r="O674" s="302">
        <f t="shared" si="296"/>
        <v>1.3182674719327292</v>
      </c>
    </row>
    <row r="675" spans="1:15" s="236" customFormat="1" x14ac:dyDescent="0.2">
      <c r="A675" s="237" t="str">
        <f>name!E$7</f>
        <v>Administrative and secretarial occupations</v>
      </c>
      <c r="B675" s="302">
        <v>1.0367248096654036</v>
      </c>
      <c r="C675" s="302">
        <v>0.5111473780474699</v>
      </c>
      <c r="D675" s="302">
        <v>4.131993234240057E-2</v>
      </c>
      <c r="E675" s="302">
        <f t="shared" si="294"/>
        <v>1.5891921200552741</v>
      </c>
      <c r="F675" s="303"/>
      <c r="G675" s="302">
        <v>1.0182255183772484</v>
      </c>
      <c r="H675" s="302">
        <v>0.75264393725113332</v>
      </c>
      <c r="I675" s="302">
        <v>2.358644187517793E-2</v>
      </c>
      <c r="J675" s="302">
        <f t="shared" si="295"/>
        <v>1.7944558975035596</v>
      </c>
      <c r="K675" s="303"/>
      <c r="L675" s="302">
        <v>1.1794641800421877</v>
      </c>
      <c r="M675" s="302">
        <v>1.1356316634941761</v>
      </c>
      <c r="N675" s="302">
        <v>2.4014908056899292E-2</v>
      </c>
      <c r="O675" s="302">
        <f t="shared" si="296"/>
        <v>2.339110751593263</v>
      </c>
    </row>
    <row r="676" spans="1:15" s="236" customFormat="1" x14ac:dyDescent="0.2">
      <c r="A676" s="237" t="str">
        <f>name!E$8</f>
        <v>Skilled trades occupations</v>
      </c>
      <c r="B676" s="302">
        <v>1.2605408714703084</v>
      </c>
      <c r="C676" s="302">
        <v>1.1362029510516463</v>
      </c>
      <c r="D676" s="302">
        <v>0.48621540539443653</v>
      </c>
      <c r="E676" s="302">
        <f t="shared" si="294"/>
        <v>2.8829592279163911</v>
      </c>
      <c r="F676" s="303"/>
      <c r="G676" s="302">
        <v>0.9846574695919631</v>
      </c>
      <c r="H676" s="302">
        <v>1.1361945503238058</v>
      </c>
      <c r="I676" s="302">
        <v>0.32839493957773391</v>
      </c>
      <c r="J676" s="302">
        <f>SUM(G676:I676)</f>
        <v>2.4492469594935029</v>
      </c>
      <c r="K676" s="303"/>
      <c r="L676" s="302">
        <v>0.76088199090952768</v>
      </c>
      <c r="M676" s="302">
        <v>1.2728702139131949</v>
      </c>
      <c r="N676" s="302">
        <v>0.45391351555721798</v>
      </c>
      <c r="O676" s="302">
        <f t="shared" si="296"/>
        <v>2.4876657203799404</v>
      </c>
    </row>
    <row r="677" spans="1:15" s="236" customFormat="1" x14ac:dyDescent="0.2">
      <c r="A677" s="237" t="str">
        <f>name!E$9</f>
        <v>Caring, leisure and other service occupations</v>
      </c>
      <c r="B677" s="302">
        <v>0.6912203744148494</v>
      </c>
      <c r="C677" s="302">
        <v>0.54560482565800317</v>
      </c>
      <c r="D677" s="302">
        <v>0.15811211353242283</v>
      </c>
      <c r="E677" s="302">
        <f t="shared" si="294"/>
        <v>1.3949373136052754</v>
      </c>
      <c r="F677" s="303"/>
      <c r="G677" s="302">
        <v>0.62633423021934997</v>
      </c>
      <c r="H677" s="302">
        <v>0.68661335930690626</v>
      </c>
      <c r="I677" s="302">
        <v>0.12171814707999055</v>
      </c>
      <c r="J677" s="302">
        <f t="shared" ref="J677:J680" si="297">SUM(G677:I677)</f>
        <v>1.4346657366062467</v>
      </c>
      <c r="K677" s="303"/>
      <c r="L677" s="302">
        <v>0.76164554656407257</v>
      </c>
      <c r="M677" s="302">
        <v>0.88911214192885057</v>
      </c>
      <c r="N677" s="302">
        <v>0.20955555095039025</v>
      </c>
      <c r="O677" s="302">
        <f t="shared" si="296"/>
        <v>1.8603132394433133</v>
      </c>
    </row>
    <row r="678" spans="1:15" s="236" customFormat="1" x14ac:dyDescent="0.2">
      <c r="A678" s="237" t="str">
        <f>name!E$10</f>
        <v>Sales and customer service occupations</v>
      </c>
      <c r="B678" s="302">
        <v>0.67293157694772876</v>
      </c>
      <c r="C678" s="302">
        <v>1.4690811853062058</v>
      </c>
      <c r="D678" s="302">
        <v>0.63502467847085609</v>
      </c>
      <c r="E678" s="302">
        <f t="shared" si="294"/>
        <v>2.7770374407247904</v>
      </c>
      <c r="F678" s="303"/>
      <c r="G678" s="302">
        <v>0.60624617837920303</v>
      </c>
      <c r="H678" s="302">
        <v>1.9963250855829533</v>
      </c>
      <c r="I678" s="302">
        <v>0.27872653734106229</v>
      </c>
      <c r="J678" s="302">
        <f t="shared" si="297"/>
        <v>2.8812978013032184</v>
      </c>
      <c r="K678" s="303"/>
      <c r="L678" s="302">
        <v>0.75008690076614837</v>
      </c>
      <c r="M678" s="302">
        <v>3.3184614845550819</v>
      </c>
      <c r="N678" s="302">
        <v>0.23218183772521286</v>
      </c>
      <c r="O678" s="302">
        <f t="shared" si="296"/>
        <v>4.3007302230464433</v>
      </c>
    </row>
    <row r="679" spans="1:15" s="236" customFormat="1" x14ac:dyDescent="0.2">
      <c r="A679" s="237" t="str">
        <f>name!E$11</f>
        <v>Process, plant and machine operatives</v>
      </c>
      <c r="B679" s="302">
        <v>0.27155296822741898</v>
      </c>
      <c r="C679" s="302">
        <v>0.62360992357207379</v>
      </c>
      <c r="D679" s="302">
        <v>4.2784425482598823E-2</v>
      </c>
      <c r="E679" s="302">
        <f t="shared" si="294"/>
        <v>0.93794731728209157</v>
      </c>
      <c r="F679" s="303"/>
      <c r="G679" s="302">
        <v>0.19926435241149493</v>
      </c>
      <c r="H679" s="302">
        <v>0.72629399272634354</v>
      </c>
      <c r="I679" s="302">
        <v>2.4794301771457507E-2</v>
      </c>
      <c r="J679" s="302">
        <f t="shared" si="297"/>
        <v>0.95035264690929588</v>
      </c>
      <c r="K679" s="303"/>
      <c r="L679" s="302">
        <v>0.29122059411094126</v>
      </c>
      <c r="M679" s="302">
        <v>1.2594464505198006</v>
      </c>
      <c r="N679" s="302">
        <v>5.0182034556804436E-2</v>
      </c>
      <c r="O679" s="302">
        <f t="shared" si="296"/>
        <v>1.6008490791875465</v>
      </c>
    </row>
    <row r="680" spans="1:15" s="236" customFormat="1" x14ac:dyDescent="0.2">
      <c r="A680" s="237" t="str">
        <f>name!E$12</f>
        <v>Elementary occupations</v>
      </c>
      <c r="B680" s="302">
        <v>4.8095657778526757</v>
      </c>
      <c r="C680" s="302">
        <v>7.5533982021607855</v>
      </c>
      <c r="D680" s="302">
        <v>0.25018261172245204</v>
      </c>
      <c r="E680" s="302">
        <f t="shared" si="294"/>
        <v>12.613146591735914</v>
      </c>
      <c r="F680" s="303"/>
      <c r="G680" s="302">
        <v>3.6889263289307004</v>
      </c>
      <c r="H680" s="302">
        <v>8.8896517144275133</v>
      </c>
      <c r="I680" s="302">
        <v>0.11767926953497265</v>
      </c>
      <c r="J680" s="302">
        <f t="shared" si="297"/>
        <v>12.696257312893186</v>
      </c>
      <c r="K680" s="303"/>
      <c r="L680" s="302">
        <v>4.8857923324818797</v>
      </c>
      <c r="M680" s="302">
        <v>10.054718872674069</v>
      </c>
      <c r="N680" s="302">
        <v>0.26052994358539594</v>
      </c>
      <c r="O680" s="302">
        <f t="shared" si="296"/>
        <v>15.201041148741346</v>
      </c>
    </row>
    <row r="681" spans="1:15" s="236" customFormat="1" x14ac:dyDescent="0.2">
      <c r="A681" s="237"/>
      <c r="B681" s="302"/>
      <c r="C681" s="302"/>
      <c r="D681" s="302"/>
      <c r="E681" s="302"/>
      <c r="F681" s="303"/>
      <c r="G681" s="302"/>
      <c r="H681" s="302"/>
      <c r="I681" s="302"/>
      <c r="J681" s="302"/>
      <c r="K681" s="303"/>
      <c r="L681" s="302"/>
      <c r="M681" s="302"/>
      <c r="N681" s="302"/>
      <c r="O681" s="302"/>
    </row>
    <row r="682" spans="1:15" s="236" customFormat="1" x14ac:dyDescent="0.2">
      <c r="A682" s="244" t="s">
        <v>32</v>
      </c>
      <c r="B682" s="311">
        <f>SUM(B672:B680)</f>
        <v>11.912999999989276</v>
      </c>
      <c r="C682" s="311">
        <f t="shared" ref="C682:E682" si="298">SUM(C672:C680)</f>
        <v>12.785000000388894</v>
      </c>
      <c r="D682" s="311">
        <f t="shared" si="298"/>
        <v>3.3880000000853689</v>
      </c>
      <c r="E682" s="311">
        <f t="shared" si="298"/>
        <v>28.086000000463542</v>
      </c>
      <c r="F682" s="311"/>
      <c r="G682" s="311">
        <f t="shared" ref="G682:J682" si="299">SUM(G672:G680)</f>
        <v>10.583000000029042</v>
      </c>
      <c r="H682" s="311">
        <f t="shared" si="299"/>
        <v>15.922000000496086</v>
      </c>
      <c r="I682" s="311">
        <f t="shared" si="299"/>
        <v>2.1039999999868564</v>
      </c>
      <c r="J682" s="311">
        <f t="shared" si="299"/>
        <v>28.609000000511983</v>
      </c>
      <c r="K682" s="311"/>
      <c r="L682" s="311">
        <f t="shared" ref="L682:O682" si="300">SUM(L672:L680)</f>
        <v>12.788999999951866</v>
      </c>
      <c r="M682" s="311">
        <f t="shared" si="300"/>
        <v>20.944999999834639</v>
      </c>
      <c r="N682" s="311">
        <f t="shared" si="300"/>
        <v>2.6989999999802556</v>
      </c>
      <c r="O682" s="311">
        <f t="shared" si="300"/>
        <v>36.432999999766764</v>
      </c>
    </row>
    <row r="683" spans="1:15" s="236" customFormat="1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40"/>
    </row>
    <row r="684" spans="1:15" s="236" customFormat="1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40"/>
      <c r="O684" s="251" t="s">
        <v>35</v>
      </c>
    </row>
    <row r="685" spans="1:15" s="236" customFormat="1" x14ac:dyDescent="0.2">
      <c r="A685" s="242"/>
      <c r="B685" s="242"/>
      <c r="C685" s="242"/>
      <c r="D685" s="242"/>
      <c r="E685" s="242"/>
      <c r="F685" s="242"/>
      <c r="G685" s="242"/>
      <c r="H685" s="242"/>
      <c r="I685" s="242"/>
      <c r="J685" s="242"/>
      <c r="K685" s="242"/>
      <c r="L685" s="242"/>
      <c r="M685" s="242"/>
      <c r="N685" s="242"/>
      <c r="O685" s="242"/>
    </row>
    <row r="686" spans="1:15" s="236" customFormat="1" x14ac:dyDescent="0.2">
      <c r="A686" s="241" t="str">
        <f>name!A43</f>
        <v>Food and beverage services</v>
      </c>
      <c r="B686" s="374">
        <f>$B$6</f>
        <v>2015</v>
      </c>
      <c r="C686" s="374"/>
      <c r="D686" s="374"/>
      <c r="E686" s="374"/>
      <c r="F686" s="263"/>
      <c r="G686" s="374">
        <f>$G$6</f>
        <v>2020</v>
      </c>
      <c r="H686" s="374"/>
      <c r="I686" s="374"/>
      <c r="J686" s="374"/>
      <c r="K686" s="263"/>
      <c r="L686" s="374">
        <f>$L$6</f>
        <v>2035</v>
      </c>
      <c r="M686" s="374"/>
      <c r="N686" s="374"/>
      <c r="O686" s="374"/>
    </row>
    <row r="687" spans="1:15" s="236" customFormat="1" x14ac:dyDescent="0.2">
      <c r="A687" s="254"/>
      <c r="B687" s="268" t="str">
        <f>$B$7</f>
        <v>FT</v>
      </c>
      <c r="C687" s="268" t="str">
        <f>$C$7</f>
        <v>PT</v>
      </c>
      <c r="D687" s="268" t="str">
        <f>$D$7</f>
        <v>SE</v>
      </c>
      <c r="E687" s="268" t="str">
        <f>$E$7</f>
        <v>Total</v>
      </c>
      <c r="F687" s="268"/>
      <c r="G687" s="268" t="str">
        <f>$G$7</f>
        <v>FT</v>
      </c>
      <c r="H687" s="268" t="str">
        <f>$H$7</f>
        <v>PT</v>
      </c>
      <c r="I687" s="268" t="str">
        <f>$I$7</f>
        <v>SE</v>
      </c>
      <c r="J687" s="268" t="str">
        <f>$J$7</f>
        <v>Total</v>
      </c>
      <c r="K687" s="268"/>
      <c r="L687" s="268" t="str">
        <f>$L$7</f>
        <v>FT</v>
      </c>
      <c r="M687" s="268" t="str">
        <f>$M$7</f>
        <v>PT</v>
      </c>
      <c r="N687" s="268" t="str">
        <f>$N$7</f>
        <v>SE</v>
      </c>
      <c r="O687" s="268" t="str">
        <f>$O$7</f>
        <v>Total</v>
      </c>
    </row>
    <row r="688" spans="1:15" s="236" customFormat="1" x14ac:dyDescent="0.2">
      <c r="A688" s="258"/>
      <c r="B688" s="239"/>
      <c r="C688" s="239"/>
      <c r="D688" s="239"/>
      <c r="E688" s="239"/>
      <c r="F688" s="239"/>
      <c r="G688" s="239"/>
      <c r="H688" s="239"/>
      <c r="I688" s="239"/>
      <c r="J688" s="239"/>
      <c r="K688" s="239"/>
      <c r="L688" s="239"/>
      <c r="M688" s="239"/>
      <c r="N688" s="239"/>
      <c r="O688" s="239"/>
    </row>
    <row r="689" spans="1:15" s="236" customFormat="1" x14ac:dyDescent="0.2">
      <c r="A689" s="237" t="str">
        <f>name!E$4</f>
        <v>Managers, directors and senior officials</v>
      </c>
      <c r="B689" s="302">
        <v>5.5928498119603631</v>
      </c>
      <c r="C689" s="302">
        <v>3.3574521396464956</v>
      </c>
      <c r="D689" s="302">
        <v>3.1189152297725466</v>
      </c>
      <c r="E689" s="302">
        <f>SUM(B689:D689)</f>
        <v>12.069217181379406</v>
      </c>
      <c r="F689" s="303"/>
      <c r="G689" s="302">
        <v>8.4717850991469739</v>
      </c>
      <c r="H689" s="302">
        <v>5.2411871120907678</v>
      </c>
      <c r="I689" s="302">
        <v>1.6823836738779432</v>
      </c>
      <c r="J689" s="302">
        <f>SUM(G689:I689)</f>
        <v>15.395355885115684</v>
      </c>
      <c r="K689" s="303"/>
      <c r="L689" s="302">
        <v>8.9868036538777929</v>
      </c>
      <c r="M689" s="302">
        <v>8.5860698714843373</v>
      </c>
      <c r="N689" s="302">
        <v>1.6935143749051926</v>
      </c>
      <c r="O689" s="302">
        <f>SUM(L689:N689)</f>
        <v>19.266387900267322</v>
      </c>
    </row>
    <row r="690" spans="1:15" s="236" customFormat="1" x14ac:dyDescent="0.2">
      <c r="A690" s="237" t="str">
        <f>name!E$5</f>
        <v>Professional occupations</v>
      </c>
      <c r="B690" s="302">
        <v>1.6324242462598197</v>
      </c>
      <c r="C690" s="302">
        <v>0.81394380511061259</v>
      </c>
      <c r="D690" s="302">
        <v>0.22859568686811443</v>
      </c>
      <c r="E690" s="302">
        <f t="shared" ref="E690:E697" si="301">SUM(B690:D690)</f>
        <v>2.6749637382385467</v>
      </c>
      <c r="F690" s="303"/>
      <c r="G690" s="302">
        <v>3.0871114775719386</v>
      </c>
      <c r="H690" s="302">
        <v>1.5212549967304199</v>
      </c>
      <c r="I690" s="302">
        <v>0.11115914564012232</v>
      </c>
      <c r="J690" s="302">
        <f t="shared" ref="J690:J692" si="302">SUM(G690:I690)</f>
        <v>4.7195256199424804</v>
      </c>
      <c r="K690" s="303"/>
      <c r="L690" s="302">
        <v>3.0301360004659466</v>
      </c>
      <c r="M690" s="302">
        <v>1.9397696258888761</v>
      </c>
      <c r="N690" s="302">
        <v>5.0953943993890222E-2</v>
      </c>
      <c r="O690" s="302">
        <f t="shared" ref="O690:O697" si="303">SUM(L690:N690)</f>
        <v>5.0208595703487129</v>
      </c>
    </row>
    <row r="691" spans="1:15" s="236" customFormat="1" x14ac:dyDescent="0.2">
      <c r="A691" s="237" t="str">
        <f>name!E$6</f>
        <v>Associate professional occupations</v>
      </c>
      <c r="B691" s="302">
        <v>1.2634077746157761</v>
      </c>
      <c r="C691" s="302">
        <v>1.6606770567902267</v>
      </c>
      <c r="D691" s="302">
        <v>0.15140435402825425</v>
      </c>
      <c r="E691" s="302">
        <f t="shared" si="301"/>
        <v>3.075489185434257</v>
      </c>
      <c r="F691" s="303"/>
      <c r="G691" s="302">
        <v>2.1698766514431846</v>
      </c>
      <c r="H691" s="302">
        <v>2.3484766600601832</v>
      </c>
      <c r="I691" s="302">
        <v>6.4506722817290502E-2</v>
      </c>
      <c r="J691" s="302">
        <f t="shared" si="302"/>
        <v>4.5828600343206585</v>
      </c>
      <c r="K691" s="303"/>
      <c r="L691" s="302">
        <v>2.0165148415957437</v>
      </c>
      <c r="M691" s="302">
        <v>2.2705166456095096</v>
      </c>
      <c r="N691" s="302">
        <v>4.4884938596561771E-2</v>
      </c>
      <c r="O691" s="302">
        <f t="shared" si="303"/>
        <v>4.3319164258018148</v>
      </c>
    </row>
    <row r="692" spans="1:15" s="236" customFormat="1" x14ac:dyDescent="0.2">
      <c r="A692" s="237" t="str">
        <f>name!E$7</f>
        <v>Administrative and secretarial occupations</v>
      </c>
      <c r="B692" s="302">
        <v>2.6254754715684321</v>
      </c>
      <c r="C692" s="302">
        <v>2.3655687668703775</v>
      </c>
      <c r="D692" s="302">
        <v>9.3590767327840052E-2</v>
      </c>
      <c r="E692" s="302">
        <f t="shared" si="301"/>
        <v>5.0846350057666498</v>
      </c>
      <c r="F692" s="303"/>
      <c r="G692" s="302">
        <v>3.9583213941263513</v>
      </c>
      <c r="H692" s="302">
        <v>3.0472550002514414</v>
      </c>
      <c r="I692" s="302">
        <v>3.7713570594223832E-2</v>
      </c>
      <c r="J692" s="302">
        <f t="shared" si="302"/>
        <v>7.0432899649720158</v>
      </c>
      <c r="K692" s="303"/>
      <c r="L692" s="302">
        <v>3.9280596148838729</v>
      </c>
      <c r="M692" s="302">
        <v>3.2791083368727216</v>
      </c>
      <c r="N692" s="302">
        <v>3.3468572494159188E-2</v>
      </c>
      <c r="O692" s="302">
        <f t="shared" si="303"/>
        <v>7.2406365242507533</v>
      </c>
    </row>
    <row r="693" spans="1:15" s="236" customFormat="1" x14ac:dyDescent="0.2">
      <c r="A693" s="237" t="str">
        <f>name!E$8</f>
        <v>Skilled trades occupations</v>
      </c>
      <c r="B693" s="302">
        <v>3.3705166575265624</v>
      </c>
      <c r="C693" s="302">
        <v>7.2692478095961981</v>
      </c>
      <c r="D693" s="302">
        <v>0.97945970551155936</v>
      </c>
      <c r="E693" s="302">
        <f t="shared" si="301"/>
        <v>11.619224172634318</v>
      </c>
      <c r="F693" s="303"/>
      <c r="G693" s="302">
        <v>3.8834217065692629</v>
      </c>
      <c r="H693" s="302">
        <v>5.8725671432558997</v>
      </c>
      <c r="I693" s="302">
        <v>0.51138577380728489</v>
      </c>
      <c r="J693" s="302">
        <f>SUM(G693:I693)</f>
        <v>10.267374623632447</v>
      </c>
      <c r="K693" s="303"/>
      <c r="L693" s="302">
        <v>2.5384809917625222</v>
      </c>
      <c r="M693" s="302">
        <v>5.0396636690177168</v>
      </c>
      <c r="N693" s="302">
        <v>0.55771251310025594</v>
      </c>
      <c r="O693" s="302">
        <f t="shared" si="303"/>
        <v>8.1358571738804955</v>
      </c>
    </row>
    <row r="694" spans="1:15" s="236" customFormat="1" x14ac:dyDescent="0.2">
      <c r="A694" s="237" t="str">
        <f>name!E$9</f>
        <v>Caring, leisure and other service occupations</v>
      </c>
      <c r="B694" s="302">
        <v>1.7366666787931231</v>
      </c>
      <c r="C694" s="302">
        <v>2.3272461790636014</v>
      </c>
      <c r="D694" s="302">
        <v>0.26623461647474606</v>
      </c>
      <c r="E694" s="302">
        <f t="shared" si="301"/>
        <v>4.3301474743314703</v>
      </c>
      <c r="F694" s="303"/>
      <c r="G694" s="302">
        <v>2.4334858203669487</v>
      </c>
      <c r="H694" s="302">
        <v>2.6242454260993044</v>
      </c>
      <c r="I694" s="302">
        <v>0.18188495349942077</v>
      </c>
      <c r="J694" s="302">
        <f t="shared" ref="J694:J697" si="304">SUM(G694:I694)</f>
        <v>5.2396161999656741</v>
      </c>
      <c r="K694" s="303"/>
      <c r="L694" s="302">
        <v>2.5272557349326243</v>
      </c>
      <c r="M694" s="302">
        <v>2.4966504157510099</v>
      </c>
      <c r="N694" s="302">
        <v>0.25247831960078904</v>
      </c>
      <c r="O694" s="302">
        <f t="shared" si="303"/>
        <v>5.276384470284424</v>
      </c>
    </row>
    <row r="695" spans="1:15" s="236" customFormat="1" x14ac:dyDescent="0.2">
      <c r="A695" s="237" t="str">
        <f>name!E$10</f>
        <v>Sales and customer service occupations</v>
      </c>
      <c r="B695" s="302">
        <v>1.7803945865385753</v>
      </c>
      <c r="C695" s="302">
        <v>7.4240855499176837</v>
      </c>
      <c r="D695" s="302">
        <v>1.3589543851673502</v>
      </c>
      <c r="E695" s="302">
        <f t="shared" si="301"/>
        <v>10.563434521623609</v>
      </c>
      <c r="F695" s="303"/>
      <c r="G695" s="302">
        <v>2.4007185506460442</v>
      </c>
      <c r="H695" s="302">
        <v>8.576550486771028</v>
      </c>
      <c r="I695" s="302">
        <v>0.4456862081216062</v>
      </c>
      <c r="J695" s="302">
        <f t="shared" si="304"/>
        <v>11.422955245538677</v>
      </c>
      <c r="K695" s="303"/>
      <c r="L695" s="302">
        <v>2.5721736122740135</v>
      </c>
      <c r="M695" s="302">
        <v>10.458243285616891</v>
      </c>
      <c r="N695" s="302">
        <v>0.29910374685691749</v>
      </c>
      <c r="O695" s="302">
        <f t="shared" si="303"/>
        <v>13.329520644747824</v>
      </c>
    </row>
    <row r="696" spans="1:15" s="236" customFormat="1" x14ac:dyDescent="0.2">
      <c r="A696" s="237" t="str">
        <f>name!E$11</f>
        <v>Process, plant and machine operatives</v>
      </c>
      <c r="B696" s="302">
        <v>0.72651681934734813</v>
      </c>
      <c r="C696" s="302">
        <v>4.5899620422464107</v>
      </c>
      <c r="D696" s="302">
        <v>0.14722874516256046</v>
      </c>
      <c r="E696" s="302">
        <f t="shared" si="301"/>
        <v>5.4637076067563193</v>
      </c>
      <c r="F696" s="303"/>
      <c r="G696" s="302">
        <v>0.79104417792417647</v>
      </c>
      <c r="H696" s="302">
        <v>4.5089777861176614</v>
      </c>
      <c r="I696" s="302">
        <v>4.7346403400560233E-2</v>
      </c>
      <c r="J696" s="302">
        <f t="shared" si="304"/>
        <v>5.3473683674423977</v>
      </c>
      <c r="K696" s="303"/>
      <c r="L696" s="302">
        <v>0.96883362847002019</v>
      </c>
      <c r="M696" s="302">
        <v>5.6318069111026379</v>
      </c>
      <c r="N696" s="302">
        <v>7.7133106349439984E-2</v>
      </c>
      <c r="O696" s="302">
        <f t="shared" si="303"/>
        <v>6.6777736459220982</v>
      </c>
    </row>
    <row r="697" spans="1:15" s="236" customFormat="1" x14ac:dyDescent="0.2">
      <c r="A697" s="237" t="str">
        <f>name!E$12</f>
        <v>Elementary occupations</v>
      </c>
      <c r="B697" s="302">
        <v>13.503747953330409</v>
      </c>
      <c r="C697" s="302">
        <v>35.235816652273684</v>
      </c>
      <c r="D697" s="302">
        <v>0.84161650982331981</v>
      </c>
      <c r="E697" s="302">
        <f t="shared" si="301"/>
        <v>49.581181115427412</v>
      </c>
      <c r="F697" s="303"/>
      <c r="G697" s="302">
        <v>14.933235122317308</v>
      </c>
      <c r="H697" s="302">
        <v>35.855485390440734</v>
      </c>
      <c r="I697" s="302">
        <v>0.22393354822558093</v>
      </c>
      <c r="J697" s="302">
        <f t="shared" si="304"/>
        <v>51.012654060983621</v>
      </c>
      <c r="K697" s="303"/>
      <c r="L697" s="302">
        <v>17.145741921582612</v>
      </c>
      <c r="M697" s="302">
        <v>29.420171238276801</v>
      </c>
      <c r="N697" s="302">
        <v>0.40375048408032971</v>
      </c>
      <c r="O697" s="302">
        <f t="shared" si="303"/>
        <v>46.969663643939739</v>
      </c>
    </row>
    <row r="698" spans="1:15" s="236" customFormat="1" x14ac:dyDescent="0.2">
      <c r="A698" s="237"/>
      <c r="B698" s="302"/>
      <c r="C698" s="302"/>
      <c r="D698" s="302"/>
      <c r="E698" s="302"/>
      <c r="F698" s="303"/>
      <c r="G698" s="302"/>
      <c r="H698" s="302"/>
      <c r="I698" s="302"/>
      <c r="J698" s="302"/>
      <c r="K698" s="303"/>
      <c r="L698" s="302"/>
      <c r="M698" s="302"/>
      <c r="N698" s="302"/>
      <c r="O698" s="302"/>
    </row>
    <row r="699" spans="1:15" s="236" customFormat="1" x14ac:dyDescent="0.2">
      <c r="A699" s="244" t="s">
        <v>32</v>
      </c>
      <c r="B699" s="311">
        <f>SUM(B689:B697)</f>
        <v>32.231999999940413</v>
      </c>
      <c r="C699" s="311">
        <f t="shared" ref="C699:E699" si="305">SUM(C689:C697)</f>
        <v>65.044000001515286</v>
      </c>
      <c r="D699" s="311">
        <f t="shared" si="305"/>
        <v>7.1860000001362909</v>
      </c>
      <c r="E699" s="311">
        <f t="shared" si="305"/>
        <v>104.46200000159199</v>
      </c>
      <c r="F699" s="311"/>
      <c r="G699" s="311">
        <f t="shared" ref="G699:J699" si="306">SUM(G689:G697)</f>
        <v>42.129000000112192</v>
      </c>
      <c r="H699" s="311">
        <f t="shared" si="306"/>
        <v>69.59600000181743</v>
      </c>
      <c r="I699" s="311">
        <f t="shared" si="306"/>
        <v>3.3059999999840333</v>
      </c>
      <c r="J699" s="311">
        <f t="shared" si="306"/>
        <v>115.03100000191365</v>
      </c>
      <c r="K699" s="311"/>
      <c r="L699" s="311">
        <f t="shared" ref="L699:O699" si="307">SUM(L689:L697)</f>
        <v>43.713999999845143</v>
      </c>
      <c r="M699" s="311">
        <f t="shared" si="307"/>
        <v>69.121999999620499</v>
      </c>
      <c r="N699" s="311">
        <f t="shared" si="307"/>
        <v>3.4129999999775356</v>
      </c>
      <c r="O699" s="311">
        <f t="shared" si="307"/>
        <v>116.24899999944319</v>
      </c>
    </row>
    <row r="700" spans="1:15" s="236" customFormat="1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40"/>
    </row>
    <row r="701" spans="1:15" s="236" customFormat="1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40"/>
      <c r="O701" s="251" t="s">
        <v>35</v>
      </c>
    </row>
    <row r="702" spans="1:15" s="236" customFormat="1" x14ac:dyDescent="0.2">
      <c r="A702" s="242"/>
      <c r="B702" s="242"/>
      <c r="C702" s="242"/>
      <c r="D702" s="242"/>
      <c r="E702" s="242"/>
      <c r="F702" s="242"/>
      <c r="G702" s="242"/>
      <c r="H702" s="242"/>
      <c r="I702" s="242"/>
      <c r="J702" s="242"/>
      <c r="K702" s="242"/>
      <c r="L702" s="242"/>
      <c r="M702" s="242"/>
      <c r="N702" s="242"/>
      <c r="O702" s="242"/>
    </row>
    <row r="703" spans="1:15" s="236" customFormat="1" x14ac:dyDescent="0.2">
      <c r="A703" s="241" t="str">
        <f>name!A44</f>
        <v>Publishing activities</v>
      </c>
      <c r="B703" s="374">
        <f>$B$6</f>
        <v>2015</v>
      </c>
      <c r="C703" s="374"/>
      <c r="D703" s="374"/>
      <c r="E703" s="374"/>
      <c r="F703" s="263"/>
      <c r="G703" s="374">
        <f>$G$6</f>
        <v>2020</v>
      </c>
      <c r="H703" s="374"/>
      <c r="I703" s="374"/>
      <c r="J703" s="374"/>
      <c r="K703" s="263"/>
      <c r="L703" s="374">
        <f>$L$6</f>
        <v>2035</v>
      </c>
      <c r="M703" s="374"/>
      <c r="N703" s="374"/>
      <c r="O703" s="374"/>
    </row>
    <row r="704" spans="1:15" s="236" customFormat="1" x14ac:dyDescent="0.2">
      <c r="A704" s="254"/>
      <c r="B704" s="268" t="str">
        <f>$B$7</f>
        <v>FT</v>
      </c>
      <c r="C704" s="268" t="str">
        <f>$C$7</f>
        <v>PT</v>
      </c>
      <c r="D704" s="268" t="str">
        <f>$D$7</f>
        <v>SE</v>
      </c>
      <c r="E704" s="268" t="str">
        <f>$E$7</f>
        <v>Total</v>
      </c>
      <c r="F704" s="268"/>
      <c r="G704" s="268" t="str">
        <f>$G$7</f>
        <v>FT</v>
      </c>
      <c r="H704" s="268" t="str">
        <f>$H$7</f>
        <v>PT</v>
      </c>
      <c r="I704" s="268" t="str">
        <f>$I$7</f>
        <v>SE</v>
      </c>
      <c r="J704" s="268" t="str">
        <f>$J$7</f>
        <v>Total</v>
      </c>
      <c r="K704" s="268"/>
      <c r="L704" s="268" t="str">
        <f>$L$7</f>
        <v>FT</v>
      </c>
      <c r="M704" s="268" t="str">
        <f>$M$7</f>
        <v>PT</v>
      </c>
      <c r="N704" s="268" t="str">
        <f>$N$7</f>
        <v>SE</v>
      </c>
      <c r="O704" s="268" t="str">
        <f>$O$7</f>
        <v>Total</v>
      </c>
    </row>
    <row r="705" spans="1:15" s="236" customFormat="1" x14ac:dyDescent="0.2">
      <c r="A705" s="258"/>
      <c r="B705" s="239"/>
      <c r="C705" s="239"/>
      <c r="D705" s="239"/>
      <c r="E705" s="239"/>
      <c r="F705" s="239"/>
      <c r="G705" s="239"/>
      <c r="H705" s="239"/>
      <c r="I705" s="239"/>
      <c r="J705" s="239"/>
      <c r="K705" s="239"/>
      <c r="L705" s="239"/>
      <c r="M705" s="239"/>
      <c r="N705" s="239"/>
      <c r="O705" s="239"/>
    </row>
    <row r="706" spans="1:15" s="236" customFormat="1" x14ac:dyDescent="0.2">
      <c r="A706" s="237" t="str">
        <f>name!E$4</f>
        <v>Managers, directors and senior officials</v>
      </c>
      <c r="B706" s="302">
        <v>0.34768119461488844</v>
      </c>
      <c r="C706" s="302">
        <v>6.4637434354251483E-2</v>
      </c>
      <c r="D706" s="302">
        <v>0.46429188501953594</v>
      </c>
      <c r="E706" s="302">
        <f>SUM(B706:D706)</f>
        <v>0.87661051398867595</v>
      </c>
      <c r="F706" s="303"/>
      <c r="G706" s="302">
        <v>0.49275150751857277</v>
      </c>
      <c r="H706" s="302">
        <v>0.12813012298783286</v>
      </c>
      <c r="I706" s="302">
        <v>0.27017790113436746</v>
      </c>
      <c r="J706" s="302">
        <f>SUM(G706:I706)</f>
        <v>0.89105953164077312</v>
      </c>
      <c r="K706" s="303"/>
      <c r="L706" s="302">
        <v>0.49870849337418988</v>
      </c>
      <c r="M706" s="302">
        <v>0.1834519144460362</v>
      </c>
      <c r="N706" s="302">
        <v>0.29610568581240376</v>
      </c>
      <c r="O706" s="302">
        <f>SUM(L706:N706)</f>
        <v>0.97826609363262995</v>
      </c>
    </row>
    <row r="707" spans="1:15" s="236" customFormat="1" x14ac:dyDescent="0.2">
      <c r="A707" s="237" t="str">
        <f>name!E$5</f>
        <v>Professional occupations</v>
      </c>
      <c r="B707" s="302">
        <v>0.53701722384875417</v>
      </c>
      <c r="C707" s="302">
        <v>6.0944220938117084E-2</v>
      </c>
      <c r="D707" s="302">
        <v>0.57007212333294299</v>
      </c>
      <c r="E707" s="302">
        <f t="shared" ref="E707:E714" si="308">SUM(B707:D707)</f>
        <v>1.1680335681198142</v>
      </c>
      <c r="F707" s="303"/>
      <c r="G707" s="302">
        <v>0.84380857474231474</v>
      </c>
      <c r="H707" s="302">
        <v>0.12902981436025657</v>
      </c>
      <c r="I707" s="302">
        <v>0.27312843017564387</v>
      </c>
      <c r="J707" s="302">
        <f t="shared" ref="J707:J709" si="309">SUM(G707:I707)</f>
        <v>1.2459668192782152</v>
      </c>
      <c r="K707" s="303"/>
      <c r="L707" s="302">
        <v>0.93021233689728389</v>
      </c>
      <c r="M707" s="302">
        <v>0.19579119550602814</v>
      </c>
      <c r="N707" s="302">
        <v>0.21624965650587449</v>
      </c>
      <c r="O707" s="302">
        <f t="shared" ref="O707:O714" si="310">SUM(L707:N707)</f>
        <v>1.3422531889091864</v>
      </c>
    </row>
    <row r="708" spans="1:15" s="236" customFormat="1" x14ac:dyDescent="0.2">
      <c r="A708" s="237" t="str">
        <f>name!E$6</f>
        <v>Associate professional occupations</v>
      </c>
      <c r="B708" s="302">
        <v>0.30526716794949005</v>
      </c>
      <c r="C708" s="302">
        <v>8.7272873766498713E-2</v>
      </c>
      <c r="D708" s="302">
        <v>0.63391197048561199</v>
      </c>
      <c r="E708" s="302">
        <f t="shared" si="308"/>
        <v>1.0264520122016008</v>
      </c>
      <c r="F708" s="303"/>
      <c r="G708" s="302">
        <v>0.44122289116501995</v>
      </c>
      <c r="H708" s="302">
        <v>0.1578645150310066</v>
      </c>
      <c r="I708" s="302">
        <v>0.47710603276144281</v>
      </c>
      <c r="J708" s="302">
        <f t="shared" si="309"/>
        <v>1.0761934389574694</v>
      </c>
      <c r="K708" s="303"/>
      <c r="L708" s="302">
        <v>0.41976276184573996</v>
      </c>
      <c r="M708" s="302">
        <v>0.16247210589892083</v>
      </c>
      <c r="N708" s="302">
        <v>0.47877159001303038</v>
      </c>
      <c r="O708" s="302">
        <f t="shared" si="310"/>
        <v>1.0610064577576912</v>
      </c>
    </row>
    <row r="709" spans="1:15" s="236" customFormat="1" x14ac:dyDescent="0.2">
      <c r="A709" s="237" t="str">
        <f>name!E$7</f>
        <v>Administrative and secretarial occupations</v>
      </c>
      <c r="B709" s="302">
        <v>0.21307568768315829</v>
      </c>
      <c r="C709" s="302">
        <v>0.15818798156615396</v>
      </c>
      <c r="D709" s="302">
        <v>0.10564431827258076</v>
      </c>
      <c r="E709" s="302">
        <f t="shared" si="308"/>
        <v>0.47690798752189301</v>
      </c>
      <c r="F709" s="303"/>
      <c r="G709" s="302">
        <v>0.25386820116565251</v>
      </c>
      <c r="H709" s="302">
        <v>0.23287196427708751</v>
      </c>
      <c r="I709" s="302">
        <v>7.709510234547845E-2</v>
      </c>
      <c r="J709" s="302">
        <f t="shared" si="309"/>
        <v>0.56383526778821846</v>
      </c>
      <c r="K709" s="303"/>
      <c r="L709" s="302">
        <v>0.21511240926365682</v>
      </c>
      <c r="M709" s="302">
        <v>0.17682529373929967</v>
      </c>
      <c r="N709" s="302">
        <v>6.7240861826674631E-2</v>
      </c>
      <c r="O709" s="302">
        <f t="shared" si="310"/>
        <v>0.45917856482963115</v>
      </c>
    </row>
    <row r="710" spans="1:15" s="236" customFormat="1" x14ac:dyDescent="0.2">
      <c r="A710" s="237" t="str">
        <f>name!E$8</f>
        <v>Skilled trades occupations</v>
      </c>
      <c r="B710" s="302">
        <v>0.1540901908703097</v>
      </c>
      <c r="C710" s="302">
        <v>4.3924552447197257E-2</v>
      </c>
      <c r="D710" s="302">
        <v>0.2689878252587562</v>
      </c>
      <c r="E710" s="302">
        <f t="shared" si="308"/>
        <v>0.46700256857626316</v>
      </c>
      <c r="F710" s="303"/>
      <c r="G710" s="302">
        <v>0.15514489854998584</v>
      </c>
      <c r="H710" s="302">
        <v>4.0218943255142678E-2</v>
      </c>
      <c r="I710" s="302">
        <v>0.10441991150146267</v>
      </c>
      <c r="J710" s="302">
        <f>SUM(G710:I710)</f>
        <v>0.29978375330659118</v>
      </c>
      <c r="K710" s="303"/>
      <c r="L710" s="302">
        <v>7.6784856201883009E-2</v>
      </c>
      <c r="M710" s="302">
        <v>5.4477507804416528E-2</v>
      </c>
      <c r="N710" s="302">
        <v>0.11129972804349689</v>
      </c>
      <c r="O710" s="302">
        <f t="shared" si="310"/>
        <v>0.24256209204979642</v>
      </c>
    </row>
    <row r="711" spans="1:15" s="236" customFormat="1" x14ac:dyDescent="0.2">
      <c r="A711" s="237" t="str">
        <f>name!E$9</f>
        <v>Caring, leisure and other service occupations</v>
      </c>
      <c r="B711" s="302">
        <v>2.0710346729485608E-2</v>
      </c>
      <c r="C711" s="302">
        <v>1.6252945565308277E-2</v>
      </c>
      <c r="D711" s="302">
        <v>3.4098440989017889E-2</v>
      </c>
      <c r="E711" s="302">
        <f t="shared" si="308"/>
        <v>7.1061733283811768E-2</v>
      </c>
      <c r="F711" s="303"/>
      <c r="G711" s="302">
        <v>2.4125761264013487E-2</v>
      </c>
      <c r="H711" s="302">
        <v>2.2510945779203734E-2</v>
      </c>
      <c r="I711" s="302">
        <v>3.7832306614992352E-2</v>
      </c>
      <c r="J711" s="302">
        <f t="shared" ref="J711:J714" si="311">SUM(G711:I711)</f>
        <v>8.446901365820958E-2</v>
      </c>
      <c r="K711" s="303"/>
      <c r="L711" s="302">
        <v>3.2978358294474576E-2</v>
      </c>
      <c r="M711" s="302">
        <v>2.4666206128512152E-2</v>
      </c>
      <c r="N711" s="302">
        <v>3.7172242285653287E-2</v>
      </c>
      <c r="O711" s="302">
        <f t="shared" si="310"/>
        <v>9.4816806708640011E-2</v>
      </c>
    </row>
    <row r="712" spans="1:15" s="236" customFormat="1" x14ac:dyDescent="0.2">
      <c r="A712" s="237" t="str">
        <f>name!E$10</f>
        <v>Sales and customer service occupations</v>
      </c>
      <c r="B712" s="302">
        <v>0.10884956309507339</v>
      </c>
      <c r="C712" s="302">
        <v>6.1926165332689721E-2</v>
      </c>
      <c r="D712" s="302">
        <v>9.5937374408786663E-2</v>
      </c>
      <c r="E712" s="302">
        <f t="shared" si="308"/>
        <v>0.26671310283654981</v>
      </c>
      <c r="F712" s="303"/>
      <c r="G712" s="302">
        <v>0.12594256317793856</v>
      </c>
      <c r="H712" s="302">
        <v>8.2895633175777778E-2</v>
      </c>
      <c r="I712" s="302">
        <v>4.6271790150793371E-2</v>
      </c>
      <c r="J712" s="302">
        <f t="shared" si="311"/>
        <v>0.25510998650450972</v>
      </c>
      <c r="K712" s="303"/>
      <c r="L712" s="302">
        <v>0.14394837959809548</v>
      </c>
      <c r="M712" s="302">
        <v>9.8267818015905228E-2</v>
      </c>
      <c r="N712" s="302">
        <v>4.7199792002643411E-2</v>
      </c>
      <c r="O712" s="302">
        <f t="shared" si="310"/>
        <v>0.28941598961664411</v>
      </c>
    </row>
    <row r="713" spans="1:15" s="236" customFormat="1" x14ac:dyDescent="0.2">
      <c r="A713" s="237" t="str">
        <f>name!E$11</f>
        <v>Process, plant and machine operatives</v>
      </c>
      <c r="B713" s="302">
        <v>8.473567677803176E-2</v>
      </c>
      <c r="C713" s="302">
        <v>5.9162951433302066E-2</v>
      </c>
      <c r="D713" s="302">
        <v>6.6928288699015376E-2</v>
      </c>
      <c r="E713" s="302">
        <f t="shared" si="308"/>
        <v>0.21082691691034919</v>
      </c>
      <c r="F713" s="303"/>
      <c r="G713" s="302">
        <v>8.7784862873188277E-2</v>
      </c>
      <c r="H713" s="302">
        <v>7.7792946273144051E-2</v>
      </c>
      <c r="I713" s="302">
        <v>3.651960785984748E-2</v>
      </c>
      <c r="J713" s="302">
        <f t="shared" si="311"/>
        <v>0.20209741700617981</v>
      </c>
      <c r="K713" s="303"/>
      <c r="L713" s="302">
        <v>9.4799402038823977E-2</v>
      </c>
      <c r="M713" s="302">
        <v>9.896116171752492E-2</v>
      </c>
      <c r="N713" s="302">
        <v>2.5669843244899661E-2</v>
      </c>
      <c r="O713" s="302">
        <f t="shared" si="310"/>
        <v>0.21943040700124855</v>
      </c>
    </row>
    <row r="714" spans="1:15" s="236" customFormat="1" x14ac:dyDescent="0.2">
      <c r="A714" s="237" t="str">
        <f>name!E$12</f>
        <v>Elementary occupations</v>
      </c>
      <c r="B714" s="302">
        <v>0.20757294842645274</v>
      </c>
      <c r="C714" s="302">
        <v>0.24169087460025299</v>
      </c>
      <c r="D714" s="302">
        <v>4.0127773573013371E-2</v>
      </c>
      <c r="E714" s="302">
        <f t="shared" si="308"/>
        <v>0.48939159659971915</v>
      </c>
      <c r="F714" s="303"/>
      <c r="G714" s="302">
        <v>0.19935073951144772</v>
      </c>
      <c r="H714" s="302">
        <v>0.2456851148665691</v>
      </c>
      <c r="I714" s="302">
        <v>2.0448917429203427E-2</v>
      </c>
      <c r="J714" s="302">
        <f t="shared" si="311"/>
        <v>0.46548477180722025</v>
      </c>
      <c r="K714" s="303"/>
      <c r="L714" s="302">
        <v>0.15669300245991441</v>
      </c>
      <c r="M714" s="302">
        <v>0.18808679673652068</v>
      </c>
      <c r="N714" s="302">
        <v>2.1290600289022202E-2</v>
      </c>
      <c r="O714" s="302">
        <f t="shared" si="310"/>
        <v>0.36607039948545728</v>
      </c>
    </row>
    <row r="715" spans="1:15" s="236" customFormat="1" x14ac:dyDescent="0.2">
      <c r="A715" s="237"/>
      <c r="B715" s="302"/>
      <c r="C715" s="302"/>
      <c r="D715" s="302"/>
      <c r="E715" s="302"/>
      <c r="F715" s="303"/>
      <c r="G715" s="302"/>
      <c r="H715" s="302"/>
      <c r="I715" s="302"/>
      <c r="J715" s="302"/>
      <c r="K715" s="303"/>
      <c r="L715" s="302"/>
      <c r="M715" s="302"/>
      <c r="N715" s="302"/>
      <c r="O715" s="302"/>
    </row>
    <row r="716" spans="1:15" s="236" customFormat="1" x14ac:dyDescent="0.2">
      <c r="A716" s="244" t="s">
        <v>32</v>
      </c>
      <c r="B716" s="311">
        <f>SUM(B706:B714)</f>
        <v>1.9789999999956442</v>
      </c>
      <c r="C716" s="311">
        <f t="shared" ref="C716:E716" si="312">SUM(C706:C714)</f>
        <v>0.79400000000377158</v>
      </c>
      <c r="D716" s="311">
        <f t="shared" si="312"/>
        <v>2.2800000000392613</v>
      </c>
      <c r="E716" s="311">
        <f t="shared" si="312"/>
        <v>5.0530000000386774</v>
      </c>
      <c r="F716" s="311"/>
      <c r="G716" s="311">
        <f t="shared" ref="G716:J716" si="313">SUM(G706:G714)</f>
        <v>2.6239999999681336</v>
      </c>
      <c r="H716" s="311">
        <f t="shared" si="313"/>
        <v>1.117000000006021</v>
      </c>
      <c r="I716" s="311">
        <f t="shared" si="313"/>
        <v>1.3429999999732321</v>
      </c>
      <c r="J716" s="311">
        <f t="shared" si="313"/>
        <v>5.0839999999473866</v>
      </c>
      <c r="K716" s="311"/>
      <c r="L716" s="311">
        <f t="shared" ref="L716:O716" si="314">SUM(L706:L714)</f>
        <v>2.568999999974062</v>
      </c>
      <c r="M716" s="311">
        <f t="shared" si="314"/>
        <v>1.1829999999931642</v>
      </c>
      <c r="N716" s="311">
        <f t="shared" si="314"/>
        <v>1.3010000000236988</v>
      </c>
      <c r="O716" s="311">
        <f t="shared" si="314"/>
        <v>5.0529999999909254</v>
      </c>
    </row>
    <row r="717" spans="1:15" s="236" customFormat="1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40"/>
    </row>
    <row r="718" spans="1:15" s="236" customFormat="1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40"/>
      <c r="O718" s="251" t="s">
        <v>35</v>
      </c>
    </row>
    <row r="719" spans="1:15" s="236" customFormat="1" x14ac:dyDescent="0.2">
      <c r="A719" s="242"/>
      <c r="B719" s="242"/>
      <c r="C719" s="242"/>
      <c r="D719" s="242"/>
      <c r="E719" s="242"/>
      <c r="F719" s="242"/>
      <c r="G719" s="242"/>
      <c r="H719" s="242"/>
      <c r="I719" s="242"/>
      <c r="J719" s="242"/>
      <c r="K719" s="242"/>
      <c r="L719" s="242"/>
      <c r="M719" s="242"/>
      <c r="N719" s="242"/>
      <c r="O719" s="242"/>
    </row>
    <row r="720" spans="1:15" s="236" customFormat="1" x14ac:dyDescent="0.2">
      <c r="A720" s="241" t="str">
        <f>name!A45</f>
        <v>Film and music</v>
      </c>
      <c r="B720" s="374">
        <f>$B$6</f>
        <v>2015</v>
      </c>
      <c r="C720" s="374"/>
      <c r="D720" s="374"/>
      <c r="E720" s="374"/>
      <c r="F720" s="263"/>
      <c r="G720" s="374">
        <f>$G$6</f>
        <v>2020</v>
      </c>
      <c r="H720" s="374"/>
      <c r="I720" s="374"/>
      <c r="J720" s="374"/>
      <c r="K720" s="263"/>
      <c r="L720" s="374">
        <f>$L$6</f>
        <v>2035</v>
      </c>
      <c r="M720" s="374"/>
      <c r="N720" s="374"/>
      <c r="O720" s="374"/>
    </row>
    <row r="721" spans="1:15" s="236" customFormat="1" x14ac:dyDescent="0.2">
      <c r="A721" s="254"/>
      <c r="B721" s="268" t="str">
        <f>$B$7</f>
        <v>FT</v>
      </c>
      <c r="C721" s="268" t="str">
        <f>$C$7</f>
        <v>PT</v>
      </c>
      <c r="D721" s="268" t="str">
        <f>$D$7</f>
        <v>SE</v>
      </c>
      <c r="E721" s="268" t="str">
        <f>$E$7</f>
        <v>Total</v>
      </c>
      <c r="F721" s="268"/>
      <c r="G721" s="268" t="str">
        <f>$G$7</f>
        <v>FT</v>
      </c>
      <c r="H721" s="268" t="str">
        <f>$H$7</f>
        <v>PT</v>
      </c>
      <c r="I721" s="268" t="str">
        <f>$I$7</f>
        <v>SE</v>
      </c>
      <c r="J721" s="268" t="str">
        <f>$J$7</f>
        <v>Total</v>
      </c>
      <c r="K721" s="268"/>
      <c r="L721" s="268" t="str">
        <f>$L$7</f>
        <v>FT</v>
      </c>
      <c r="M721" s="268" t="str">
        <f>$M$7</f>
        <v>PT</v>
      </c>
      <c r="N721" s="268" t="str">
        <f>$N$7</f>
        <v>SE</v>
      </c>
      <c r="O721" s="268" t="str">
        <f>$O$7</f>
        <v>Total</v>
      </c>
    </row>
    <row r="722" spans="1:15" s="236" customFormat="1" x14ac:dyDescent="0.2">
      <c r="A722" s="258"/>
      <c r="B722" s="239"/>
      <c r="C722" s="239"/>
      <c r="D722" s="239"/>
      <c r="E722" s="239"/>
      <c r="F722" s="239"/>
      <c r="G722" s="239"/>
      <c r="H722" s="239"/>
      <c r="I722" s="239"/>
      <c r="J722" s="239"/>
      <c r="K722" s="239"/>
      <c r="L722" s="239"/>
      <c r="M722" s="239"/>
      <c r="N722" s="239"/>
      <c r="O722" s="239"/>
    </row>
    <row r="723" spans="1:15" s="236" customFormat="1" x14ac:dyDescent="0.2">
      <c r="A723" s="237" t="str">
        <f>name!E$4</f>
        <v>Managers, directors and senior officials</v>
      </c>
      <c r="B723" s="302">
        <v>0.10321700109473704</v>
      </c>
      <c r="C723" s="302">
        <v>2.4647832187870627E-2</v>
      </c>
      <c r="D723" s="302">
        <v>0.13503569728745624</v>
      </c>
      <c r="E723" s="302">
        <f>SUM(B723:D723)</f>
        <v>0.26290053057006391</v>
      </c>
      <c r="F723" s="303"/>
      <c r="G723" s="302">
        <v>4.2014579606495406E-2</v>
      </c>
      <c r="H723" s="302">
        <v>9.0681029831819859E-2</v>
      </c>
      <c r="I723" s="302">
        <v>5.0661990041290024E-2</v>
      </c>
      <c r="J723" s="302">
        <f>SUM(G723:I723)</f>
        <v>0.18335759947960528</v>
      </c>
      <c r="K723" s="303"/>
      <c r="L723" s="302">
        <v>4.4933743901723673E-2</v>
      </c>
      <c r="M723" s="302">
        <v>0.11335909967011198</v>
      </c>
      <c r="N723" s="302">
        <v>6.8433436454215832E-2</v>
      </c>
      <c r="O723" s="302">
        <f>SUM(L723:N723)</f>
        <v>0.2267262800260515</v>
      </c>
    </row>
    <row r="724" spans="1:15" s="236" customFormat="1" x14ac:dyDescent="0.2">
      <c r="A724" s="237" t="str">
        <f>name!E$5</f>
        <v>Professional occupations</v>
      </c>
      <c r="B724" s="302">
        <v>0.14772228597306147</v>
      </c>
      <c r="C724" s="302">
        <v>5.1013312730556183E-2</v>
      </c>
      <c r="D724" s="302">
        <v>0.16766803735512542</v>
      </c>
      <c r="E724" s="302">
        <f t="shared" ref="E724:E731" si="315">SUM(B724:D724)</f>
        <v>0.36640363605874304</v>
      </c>
      <c r="F724" s="303"/>
      <c r="G724" s="302">
        <v>7.1801587771058079E-2</v>
      </c>
      <c r="H724" s="302">
        <v>0.19174596882259359</v>
      </c>
      <c r="I724" s="302">
        <v>5.8387371517979528E-2</v>
      </c>
      <c r="J724" s="302">
        <f t="shared" ref="J724:J726" si="316">SUM(G724:I724)</f>
        <v>0.32193492811163121</v>
      </c>
      <c r="K724" s="303"/>
      <c r="L724" s="302">
        <v>8.7843471318847233E-2</v>
      </c>
      <c r="M724" s="302">
        <v>0.26712047789169413</v>
      </c>
      <c r="N724" s="302">
        <v>4.7843661112929099E-2</v>
      </c>
      <c r="O724" s="302">
        <f t="shared" ref="O724:O731" si="317">SUM(L724:N724)</f>
        <v>0.40280761032347046</v>
      </c>
    </row>
    <row r="725" spans="1:15" s="236" customFormat="1" x14ac:dyDescent="0.2">
      <c r="A725" s="237" t="str">
        <f>name!E$6</f>
        <v>Associate professional occupations</v>
      </c>
      <c r="B725" s="302">
        <v>0.12776442714297714</v>
      </c>
      <c r="C725" s="302">
        <v>6.3279619253448674E-2</v>
      </c>
      <c r="D725" s="302">
        <v>0.40440039864239541</v>
      </c>
      <c r="E725" s="302">
        <f t="shared" si="315"/>
        <v>0.59544444503882121</v>
      </c>
      <c r="F725" s="303"/>
      <c r="G725" s="302">
        <v>5.4588488638775204E-2</v>
      </c>
      <c r="H725" s="302">
        <v>0.18156675989839277</v>
      </c>
      <c r="I725" s="302">
        <v>0.15717441023343506</v>
      </c>
      <c r="J725" s="302">
        <f t="shared" si="316"/>
        <v>0.393329658770603</v>
      </c>
      <c r="K725" s="303"/>
      <c r="L725" s="302">
        <v>5.1389016486746625E-2</v>
      </c>
      <c r="M725" s="302">
        <v>0.18949918386013129</v>
      </c>
      <c r="N725" s="302">
        <v>0.14698949269005424</v>
      </c>
      <c r="O725" s="302">
        <f t="shared" si="317"/>
        <v>0.38787769303693215</v>
      </c>
    </row>
    <row r="726" spans="1:15" s="236" customFormat="1" x14ac:dyDescent="0.2">
      <c r="A726" s="237" t="str">
        <f>name!E$7</f>
        <v>Administrative and secretarial occupations</v>
      </c>
      <c r="B726" s="302">
        <v>0.18983783024902273</v>
      </c>
      <c r="C726" s="302">
        <v>0.19264346856234496</v>
      </c>
      <c r="D726" s="302">
        <v>1.9207747236873178E-2</v>
      </c>
      <c r="E726" s="302">
        <f t="shared" si="315"/>
        <v>0.40168904604824091</v>
      </c>
      <c r="F726" s="303"/>
      <c r="G726" s="302">
        <v>6.2057595659554647E-2</v>
      </c>
      <c r="H726" s="302">
        <v>0.5251672099686876</v>
      </c>
      <c r="I726" s="302">
        <v>7.5941508456381672E-3</v>
      </c>
      <c r="J726" s="302">
        <f t="shared" si="316"/>
        <v>0.59481895647388039</v>
      </c>
      <c r="K726" s="303"/>
      <c r="L726" s="302">
        <v>4.4665694064307072E-2</v>
      </c>
      <c r="M726" s="302">
        <v>0.54362086763386142</v>
      </c>
      <c r="N726" s="302">
        <v>7.134817325789509E-3</v>
      </c>
      <c r="O726" s="302">
        <f t="shared" si="317"/>
        <v>0.59542137902395798</v>
      </c>
    </row>
    <row r="727" spans="1:15" s="236" customFormat="1" x14ac:dyDescent="0.2">
      <c r="A727" s="237" t="str">
        <f>name!E$8</f>
        <v>Skilled trades occupations</v>
      </c>
      <c r="B727" s="302">
        <v>4.4765092298475126E-2</v>
      </c>
      <c r="C727" s="302">
        <v>2.4884014631187661E-2</v>
      </c>
      <c r="D727" s="302">
        <v>0.11858191853500846</v>
      </c>
      <c r="E727" s="302">
        <f t="shared" si="315"/>
        <v>0.18823102546467124</v>
      </c>
      <c r="F727" s="303"/>
      <c r="G727" s="302">
        <v>1.4693436652916992E-2</v>
      </c>
      <c r="H727" s="302">
        <v>4.5434577769376462E-2</v>
      </c>
      <c r="I727" s="302">
        <v>4.3382817636025667E-2</v>
      </c>
      <c r="J727" s="302">
        <f>SUM(G727:I727)</f>
        <v>0.10351083205831912</v>
      </c>
      <c r="K727" s="303"/>
      <c r="L727" s="302">
        <v>1.330180572046641E-2</v>
      </c>
      <c r="M727" s="302">
        <v>6.8732059534435008E-2</v>
      </c>
      <c r="N727" s="302">
        <v>4.3988085682553968E-2</v>
      </c>
      <c r="O727" s="302">
        <f t="shared" si="317"/>
        <v>0.12602195093745538</v>
      </c>
    </row>
    <row r="728" spans="1:15" s="236" customFormat="1" x14ac:dyDescent="0.2">
      <c r="A728" s="237" t="str">
        <f>name!E$9</f>
        <v>Caring, leisure and other service occupations</v>
      </c>
      <c r="B728" s="302">
        <v>0.10760797807763225</v>
      </c>
      <c r="C728" s="302">
        <v>0.11645668728810238</v>
      </c>
      <c r="D728" s="302">
        <v>3.6673452968324326E-2</v>
      </c>
      <c r="E728" s="302">
        <f t="shared" si="315"/>
        <v>0.26073811833405897</v>
      </c>
      <c r="F728" s="303"/>
      <c r="G728" s="302">
        <v>3.3495803359633626E-2</v>
      </c>
      <c r="H728" s="302">
        <v>0.27846532200246688</v>
      </c>
      <c r="I728" s="302">
        <v>1.7733288947708117E-2</v>
      </c>
      <c r="J728" s="302">
        <f t="shared" ref="J728:J731" si="318">SUM(G728:I728)</f>
        <v>0.32969441430980861</v>
      </c>
      <c r="K728" s="303"/>
      <c r="L728" s="302">
        <v>3.4590811885565627E-2</v>
      </c>
      <c r="M728" s="302">
        <v>0.28347003917946251</v>
      </c>
      <c r="N728" s="302">
        <v>2.3802833611214994E-2</v>
      </c>
      <c r="O728" s="302">
        <f t="shared" si="317"/>
        <v>0.34186368467624312</v>
      </c>
    </row>
    <row r="729" spans="1:15" s="236" customFormat="1" x14ac:dyDescent="0.2">
      <c r="A729" s="237" t="str">
        <f>name!E$10</f>
        <v>Sales and customer service occupations</v>
      </c>
      <c r="B729" s="302">
        <v>6.3844570063589456E-2</v>
      </c>
      <c r="C729" s="302">
        <v>4.8668091993226789E-2</v>
      </c>
      <c r="D729" s="302">
        <v>3.0849591116017691E-2</v>
      </c>
      <c r="E729" s="302">
        <f t="shared" si="315"/>
        <v>0.14336225317283394</v>
      </c>
      <c r="F729" s="303"/>
      <c r="G729" s="302">
        <v>2.1527110617973057E-2</v>
      </c>
      <c r="H729" s="302">
        <v>0.11998724300447207</v>
      </c>
      <c r="I729" s="302">
        <v>8.8832554423200344E-3</v>
      </c>
      <c r="J729" s="302">
        <f t="shared" si="318"/>
        <v>0.15039760906476518</v>
      </c>
      <c r="K729" s="303"/>
      <c r="L729" s="302">
        <v>2.1935436903147629E-2</v>
      </c>
      <c r="M729" s="302">
        <v>0.12525937015887847</v>
      </c>
      <c r="N729" s="302">
        <v>9.6326775925380283E-3</v>
      </c>
      <c r="O729" s="302">
        <f t="shared" si="317"/>
        <v>0.15682748465456411</v>
      </c>
    </row>
    <row r="730" spans="1:15" s="236" customFormat="1" x14ac:dyDescent="0.2">
      <c r="A730" s="237" t="str">
        <f>name!E$11</f>
        <v>Process, plant and machine operatives</v>
      </c>
      <c r="B730" s="302">
        <v>1.5602414106493453E-2</v>
      </c>
      <c r="C730" s="302">
        <v>9.7972505744939545E-3</v>
      </c>
      <c r="D730" s="302">
        <v>6.4404224027435055E-3</v>
      </c>
      <c r="E730" s="302">
        <f t="shared" si="315"/>
        <v>3.1840087083730914E-2</v>
      </c>
      <c r="F730" s="303"/>
      <c r="G730" s="302">
        <v>4.9618597976109789E-3</v>
      </c>
      <c r="H730" s="302">
        <v>1.875411492905334E-2</v>
      </c>
      <c r="I730" s="302">
        <v>2.4260049343336611E-3</v>
      </c>
      <c r="J730" s="302">
        <f t="shared" si="318"/>
        <v>2.6141979660997981E-2</v>
      </c>
      <c r="K730" s="303"/>
      <c r="L730" s="302">
        <v>5.0321867843210006E-3</v>
      </c>
      <c r="M730" s="302">
        <v>2.3162105336059433E-2</v>
      </c>
      <c r="N730" s="302">
        <v>2.4865513359351435E-3</v>
      </c>
      <c r="O730" s="302">
        <f t="shared" si="317"/>
        <v>3.0680843456315578E-2</v>
      </c>
    </row>
    <row r="731" spans="1:15" s="236" customFormat="1" x14ac:dyDescent="0.2">
      <c r="A731" s="237" t="str">
        <f>name!E$12</f>
        <v>Elementary occupations</v>
      </c>
      <c r="B731" s="302">
        <v>0.11963840098479113</v>
      </c>
      <c r="C731" s="302">
        <v>0.2106097227858082</v>
      </c>
      <c r="D731" s="302">
        <v>5.2142734477541516E-2</v>
      </c>
      <c r="E731" s="302">
        <f t="shared" si="315"/>
        <v>0.38239085824814084</v>
      </c>
      <c r="F731" s="303"/>
      <c r="G731" s="302">
        <v>3.7859537892950539E-2</v>
      </c>
      <c r="H731" s="302">
        <v>0.41819777378999762</v>
      </c>
      <c r="I731" s="302">
        <v>1.6756710397444533E-2</v>
      </c>
      <c r="J731" s="302">
        <f t="shared" si="318"/>
        <v>0.47281402208039269</v>
      </c>
      <c r="K731" s="303"/>
      <c r="L731" s="302">
        <v>3.6307832935618928E-2</v>
      </c>
      <c r="M731" s="302">
        <v>0.29477679673005652</v>
      </c>
      <c r="N731" s="302">
        <v>1.9688444204749224E-2</v>
      </c>
      <c r="O731" s="302">
        <f t="shared" si="317"/>
        <v>0.35077307387042467</v>
      </c>
    </row>
    <row r="732" spans="1:15" s="236" customFormat="1" x14ac:dyDescent="0.2">
      <c r="A732" s="237"/>
      <c r="B732" s="302"/>
      <c r="C732" s="302"/>
      <c r="D732" s="302"/>
      <c r="E732" s="302"/>
      <c r="F732" s="303"/>
      <c r="G732" s="302"/>
      <c r="H732" s="302"/>
      <c r="I732" s="302"/>
      <c r="J732" s="302"/>
      <c r="K732" s="303"/>
      <c r="L732" s="302"/>
      <c r="M732" s="302"/>
      <c r="N732" s="302"/>
      <c r="O732" s="302"/>
    </row>
    <row r="733" spans="1:15" s="236" customFormat="1" x14ac:dyDescent="0.2">
      <c r="A733" s="244" t="s">
        <v>32</v>
      </c>
      <c r="B733" s="311">
        <f>SUM(B723:B731)</f>
        <v>0.91999999999077975</v>
      </c>
      <c r="C733" s="311">
        <f t="shared" ref="C733:E733" si="319">SUM(C723:C731)</f>
        <v>0.74200000000703947</v>
      </c>
      <c r="D733" s="311">
        <f t="shared" si="319"/>
        <v>0.97100000002148557</v>
      </c>
      <c r="E733" s="311">
        <f t="shared" si="319"/>
        <v>2.633000000019305</v>
      </c>
      <c r="F733" s="311"/>
      <c r="G733" s="311">
        <f t="shared" ref="G733:J733" si="320">SUM(G723:G731)</f>
        <v>0.34299999999696862</v>
      </c>
      <c r="H733" s="311">
        <f t="shared" si="320"/>
        <v>1.8700000000168602</v>
      </c>
      <c r="I733" s="311">
        <f t="shared" si="320"/>
        <v>0.36299999999617483</v>
      </c>
      <c r="J733" s="311">
        <f t="shared" si="320"/>
        <v>2.5760000000100036</v>
      </c>
      <c r="K733" s="311"/>
      <c r="L733" s="311">
        <f t="shared" ref="L733:O733" si="321">SUM(L723:L731)</f>
        <v>0.34000000000074415</v>
      </c>
      <c r="M733" s="311">
        <f t="shared" si="321"/>
        <v>1.9089999999946905</v>
      </c>
      <c r="N733" s="311">
        <f t="shared" si="321"/>
        <v>0.37000000000998007</v>
      </c>
      <c r="O733" s="311">
        <f t="shared" si="321"/>
        <v>2.6190000000054154</v>
      </c>
    </row>
    <row r="734" spans="1:15" s="236" customFormat="1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40"/>
    </row>
    <row r="735" spans="1:15" s="236" customFormat="1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40"/>
      <c r="O735" s="251" t="s">
        <v>35</v>
      </c>
    </row>
    <row r="736" spans="1:15" s="236" customFormat="1" x14ac:dyDescent="0.2">
      <c r="A736" s="242"/>
      <c r="B736" s="242"/>
      <c r="C736" s="242"/>
      <c r="D736" s="242"/>
      <c r="E736" s="242"/>
      <c r="F736" s="242"/>
      <c r="G736" s="242"/>
      <c r="H736" s="242"/>
      <c r="I736" s="242"/>
      <c r="J736" s="242"/>
      <c r="K736" s="242"/>
      <c r="L736" s="242"/>
      <c r="M736" s="242"/>
      <c r="N736" s="242"/>
      <c r="O736" s="242"/>
    </row>
    <row r="737" spans="1:15" s="236" customFormat="1" x14ac:dyDescent="0.2">
      <c r="A737" s="241" t="str">
        <f>name!A46</f>
        <v>Broadcasting</v>
      </c>
      <c r="B737" s="374">
        <f>$B$6</f>
        <v>2015</v>
      </c>
      <c r="C737" s="374"/>
      <c r="D737" s="374"/>
      <c r="E737" s="374"/>
      <c r="F737" s="263"/>
      <c r="G737" s="374">
        <f>$G$6</f>
        <v>2020</v>
      </c>
      <c r="H737" s="374"/>
      <c r="I737" s="374"/>
      <c r="J737" s="374"/>
      <c r="K737" s="263"/>
      <c r="L737" s="374">
        <f>$L$6</f>
        <v>2035</v>
      </c>
      <c r="M737" s="374"/>
      <c r="N737" s="374"/>
      <c r="O737" s="374"/>
    </row>
    <row r="738" spans="1:15" s="236" customFormat="1" x14ac:dyDescent="0.2">
      <c r="A738" s="254"/>
      <c r="B738" s="268" t="str">
        <f>$B$7</f>
        <v>FT</v>
      </c>
      <c r="C738" s="268" t="str">
        <f>$C$7</f>
        <v>PT</v>
      </c>
      <c r="D738" s="268" t="str">
        <f>$D$7</f>
        <v>SE</v>
      </c>
      <c r="E738" s="268" t="str">
        <f>$E$7</f>
        <v>Total</v>
      </c>
      <c r="F738" s="268"/>
      <c r="G738" s="268" t="str">
        <f>$G$7</f>
        <v>FT</v>
      </c>
      <c r="H738" s="268" t="str">
        <f>$H$7</f>
        <v>PT</v>
      </c>
      <c r="I738" s="268" t="str">
        <f>$I$7</f>
        <v>SE</v>
      </c>
      <c r="J738" s="268" t="str">
        <f>$J$7</f>
        <v>Total</v>
      </c>
      <c r="K738" s="268"/>
      <c r="L738" s="268" t="str">
        <f>$L$7</f>
        <v>FT</v>
      </c>
      <c r="M738" s="268" t="str">
        <f>$M$7</f>
        <v>PT</v>
      </c>
      <c r="N738" s="268" t="str">
        <f>$N$7</f>
        <v>SE</v>
      </c>
      <c r="O738" s="268" t="str">
        <f>$O$7</f>
        <v>Total</v>
      </c>
    </row>
    <row r="739" spans="1:15" s="236" customFormat="1" x14ac:dyDescent="0.2">
      <c r="A739" s="258"/>
      <c r="B739" s="239"/>
      <c r="C739" s="239"/>
      <c r="D739" s="239"/>
      <c r="E739" s="239"/>
      <c r="F739" s="239"/>
      <c r="G739" s="239"/>
      <c r="H739" s="239"/>
      <c r="I739" s="239"/>
      <c r="J739" s="239"/>
      <c r="K739" s="239"/>
      <c r="L739" s="239"/>
      <c r="M739" s="239"/>
      <c r="N739" s="239"/>
      <c r="O739" s="239"/>
    </row>
    <row r="740" spans="1:15" s="236" customFormat="1" x14ac:dyDescent="0.2">
      <c r="A740" s="237" t="str">
        <f>name!E$4</f>
        <v>Managers, directors and senior officials</v>
      </c>
      <c r="B740" s="302">
        <v>3.9519837210302756E-2</v>
      </c>
      <c r="C740" s="302">
        <v>4.0387817049105422E-3</v>
      </c>
      <c r="D740" s="302">
        <v>2.2157263345609642E-2</v>
      </c>
      <c r="E740" s="302">
        <f>SUM(B740:D740)</f>
        <v>6.571588226082295E-2</v>
      </c>
      <c r="F740" s="303"/>
      <c r="G740" s="302">
        <v>5.8253122404254516E-2</v>
      </c>
      <c r="H740" s="302">
        <v>1.9104924970842412E-2</v>
      </c>
      <c r="I740" s="302">
        <v>2.9313858325074424E-2</v>
      </c>
      <c r="J740" s="302">
        <f>SUM(G740:I740)</f>
        <v>0.10667190570017135</v>
      </c>
      <c r="K740" s="303"/>
      <c r="L740" s="302">
        <v>5.7934404774440063E-2</v>
      </c>
      <c r="M740" s="302">
        <v>2.6887917631239922E-2</v>
      </c>
      <c r="N740" s="302">
        <v>2.5151456997248332E-2</v>
      </c>
      <c r="O740" s="302">
        <f>SUM(L740:N740)</f>
        <v>0.10997377940292831</v>
      </c>
    </row>
    <row r="741" spans="1:15" s="236" customFormat="1" x14ac:dyDescent="0.2">
      <c r="A741" s="237" t="str">
        <f>name!E$5</f>
        <v>Professional occupations</v>
      </c>
      <c r="B741" s="302">
        <v>5.2656302551776335E-2</v>
      </c>
      <c r="C741" s="302">
        <v>6.9042210212676746E-3</v>
      </c>
      <c r="D741" s="302">
        <v>5.4852169233822107E-2</v>
      </c>
      <c r="E741" s="302">
        <f t="shared" ref="E741:E748" si="322">SUM(B741:D741)</f>
        <v>0.11441269280686611</v>
      </c>
      <c r="F741" s="303"/>
      <c r="G741" s="302">
        <v>8.5476344686835473E-2</v>
      </c>
      <c r="H741" s="302">
        <v>3.6359171235847247E-2</v>
      </c>
      <c r="I741" s="302">
        <v>5.8655098801178272E-2</v>
      </c>
      <c r="J741" s="302">
        <f t="shared" ref="J741:J743" si="323">SUM(G741:I741)</f>
        <v>0.18049061472386099</v>
      </c>
      <c r="K741" s="303"/>
      <c r="L741" s="302">
        <v>9.1229152002519784E-2</v>
      </c>
      <c r="M741" s="302">
        <v>5.2115965064434847E-2</v>
      </c>
      <c r="N741" s="302">
        <v>4.8076678967619975E-2</v>
      </c>
      <c r="O741" s="302">
        <f t="shared" ref="O741:O748" si="324">SUM(L741:N741)</f>
        <v>0.1914217960345746</v>
      </c>
    </row>
    <row r="742" spans="1:15" s="236" customFormat="1" x14ac:dyDescent="0.2">
      <c r="A742" s="237" t="str">
        <f>name!E$6</f>
        <v>Associate professional occupations</v>
      </c>
      <c r="B742" s="302">
        <v>4.0971342115788602E-2</v>
      </c>
      <c r="C742" s="302">
        <v>1.0757760370866301E-2</v>
      </c>
      <c r="D742" s="302">
        <v>0.10289657928355131</v>
      </c>
      <c r="E742" s="302">
        <f t="shared" si="322"/>
        <v>0.15462568177020622</v>
      </c>
      <c r="F742" s="303"/>
      <c r="G742" s="302">
        <v>6.2332052929839905E-2</v>
      </c>
      <c r="H742" s="302">
        <v>4.1107024441695159E-2</v>
      </c>
      <c r="I742" s="302">
        <v>0.16897728226747938</v>
      </c>
      <c r="J742" s="302">
        <f t="shared" si="323"/>
        <v>0.27241635963901445</v>
      </c>
      <c r="K742" s="303"/>
      <c r="L742" s="302">
        <v>6.0850501431007266E-2</v>
      </c>
      <c r="M742" s="302">
        <v>3.9072558732087828E-2</v>
      </c>
      <c r="N742" s="302">
        <v>0.16036505556091371</v>
      </c>
      <c r="O742" s="302">
        <f t="shared" si="324"/>
        <v>0.26028811572400878</v>
      </c>
    </row>
    <row r="743" spans="1:15" s="236" customFormat="1" x14ac:dyDescent="0.2">
      <c r="A743" s="237" t="str">
        <f>name!E$7</f>
        <v>Administrative and secretarial occupations</v>
      </c>
      <c r="B743" s="302">
        <v>1.9049884412363976E-2</v>
      </c>
      <c r="C743" s="302">
        <v>1.4586626427219276E-2</v>
      </c>
      <c r="D743" s="302">
        <v>3.7334945593987335E-3</v>
      </c>
      <c r="E743" s="302">
        <f t="shared" si="322"/>
        <v>3.7370005398981984E-2</v>
      </c>
      <c r="F743" s="303"/>
      <c r="G743" s="302">
        <v>2.448206769282564E-2</v>
      </c>
      <c r="H743" s="302">
        <v>5.8385842441139257E-2</v>
      </c>
      <c r="I743" s="302">
        <v>8.9046126049698443E-3</v>
      </c>
      <c r="J743" s="302">
        <f t="shared" si="323"/>
        <v>9.1772522738934742E-2</v>
      </c>
      <c r="K743" s="303"/>
      <c r="L743" s="302">
        <v>2.1868600180908866E-2</v>
      </c>
      <c r="M743" s="302">
        <v>5.2394730737813415E-2</v>
      </c>
      <c r="N743" s="302">
        <v>7.4491340401098066E-3</v>
      </c>
      <c r="O743" s="302">
        <f t="shared" si="324"/>
        <v>8.1712464958832082E-2</v>
      </c>
    </row>
    <row r="744" spans="1:15" s="236" customFormat="1" x14ac:dyDescent="0.2">
      <c r="A744" s="237" t="str">
        <f>name!E$8</f>
        <v>Skilled trades occupations</v>
      </c>
      <c r="B744" s="302">
        <v>3.5299374878326489E-2</v>
      </c>
      <c r="C744" s="302">
        <v>8.3975040342892382E-3</v>
      </c>
      <c r="D744" s="302">
        <v>2.7957823846494392E-2</v>
      </c>
      <c r="E744" s="302">
        <f t="shared" si="322"/>
        <v>7.1654702759110123E-2</v>
      </c>
      <c r="F744" s="303"/>
      <c r="G744" s="302">
        <v>4.0422399250125092E-2</v>
      </c>
      <c r="H744" s="302">
        <v>1.979413098249173E-2</v>
      </c>
      <c r="I744" s="302">
        <v>4.835154392669317E-2</v>
      </c>
      <c r="J744" s="302">
        <f>SUM(G744:I744)</f>
        <v>0.10856807415931</v>
      </c>
      <c r="K744" s="303"/>
      <c r="L744" s="302">
        <v>3.0093065821625069E-2</v>
      </c>
      <c r="M744" s="302">
        <v>2.5792802050462495E-2</v>
      </c>
      <c r="N744" s="302">
        <v>4.4905987039653664E-2</v>
      </c>
      <c r="O744" s="302">
        <f t="shared" si="324"/>
        <v>0.10079185491174122</v>
      </c>
    </row>
    <row r="745" spans="1:15" s="236" customFormat="1" x14ac:dyDescent="0.2">
      <c r="A745" s="237" t="str">
        <f>name!E$9</f>
        <v>Caring, leisure and other service occupations</v>
      </c>
      <c r="B745" s="302">
        <v>1.3993267540660085E-2</v>
      </c>
      <c r="C745" s="302">
        <v>1.6278330199928515E-2</v>
      </c>
      <c r="D745" s="302">
        <v>3.7937708561563382E-3</v>
      </c>
      <c r="E745" s="302">
        <f t="shared" si="322"/>
        <v>3.4065368596744937E-2</v>
      </c>
      <c r="F745" s="303"/>
      <c r="G745" s="302">
        <v>1.7196770011750288E-2</v>
      </c>
      <c r="H745" s="302">
        <v>4.9892972049306802E-2</v>
      </c>
      <c r="I745" s="302">
        <v>1.2205269820752967E-2</v>
      </c>
      <c r="J745" s="302">
        <f t="shared" ref="J745:J748" si="325">SUM(G745:I745)</f>
        <v>7.9295011881810054E-2</v>
      </c>
      <c r="K745" s="303"/>
      <c r="L745" s="302">
        <v>1.8677036207505958E-2</v>
      </c>
      <c r="M745" s="302">
        <v>5.2456605375059626E-2</v>
      </c>
      <c r="N745" s="302">
        <v>1.1691223448266296E-2</v>
      </c>
      <c r="O745" s="302">
        <f t="shared" si="324"/>
        <v>8.2824865030831876E-2</v>
      </c>
    </row>
    <row r="746" spans="1:15" s="236" customFormat="1" x14ac:dyDescent="0.2">
      <c r="A746" s="237" t="str">
        <f>name!E$10</f>
        <v>Sales and customer service occupations</v>
      </c>
      <c r="B746" s="302">
        <v>1.2235278422774389E-2</v>
      </c>
      <c r="C746" s="302">
        <v>1.058900218238225E-2</v>
      </c>
      <c r="D746" s="302">
        <v>4.4157994668396813E-3</v>
      </c>
      <c r="E746" s="302">
        <f t="shared" si="322"/>
        <v>2.7240080071996318E-2</v>
      </c>
      <c r="F746" s="303"/>
      <c r="G746" s="302">
        <v>1.5150586758513707E-2</v>
      </c>
      <c r="H746" s="302">
        <v>3.3498025273158864E-2</v>
      </c>
      <c r="I746" s="302">
        <v>4.4441841577482974E-3</v>
      </c>
      <c r="J746" s="302">
        <f t="shared" si="325"/>
        <v>5.3092796189420872E-2</v>
      </c>
      <c r="K746" s="303"/>
      <c r="L746" s="302">
        <v>1.6995243622196229E-2</v>
      </c>
      <c r="M746" s="302">
        <v>3.2493234065847185E-2</v>
      </c>
      <c r="N746" s="302">
        <v>3.1989939906246559E-3</v>
      </c>
      <c r="O746" s="302">
        <f t="shared" si="324"/>
        <v>5.2687471678668073E-2</v>
      </c>
    </row>
    <row r="747" spans="1:15" s="236" customFormat="1" x14ac:dyDescent="0.2">
      <c r="A747" s="237" t="str">
        <f>name!E$11</f>
        <v>Process, plant and machine operatives</v>
      </c>
      <c r="B747" s="302">
        <v>3.7398602005325383E-3</v>
      </c>
      <c r="C747" s="302">
        <v>1.9168902821844512E-3</v>
      </c>
      <c r="D747" s="302">
        <v>1.6784128748288079E-3</v>
      </c>
      <c r="E747" s="302">
        <f t="shared" si="322"/>
        <v>7.3351633575457981E-3</v>
      </c>
      <c r="F747" s="303"/>
      <c r="G747" s="302">
        <v>3.931616888231548E-3</v>
      </c>
      <c r="H747" s="302">
        <v>5.5092928458546761E-3</v>
      </c>
      <c r="I747" s="302">
        <v>1.5387935132565621E-3</v>
      </c>
      <c r="J747" s="302">
        <f t="shared" si="325"/>
        <v>1.0979703247342786E-2</v>
      </c>
      <c r="K747" s="303"/>
      <c r="L747" s="302">
        <v>3.3763602655023121E-3</v>
      </c>
      <c r="M747" s="302">
        <v>7.4363945160116048E-3</v>
      </c>
      <c r="N747" s="302">
        <v>1.3731277267954921E-3</v>
      </c>
      <c r="O747" s="302">
        <f t="shared" si="324"/>
        <v>1.2185882508309409E-2</v>
      </c>
    </row>
    <row r="748" spans="1:15" s="236" customFormat="1" x14ac:dyDescent="0.2">
      <c r="A748" s="237" t="str">
        <f>name!E$12</f>
        <v>Elementary occupations</v>
      </c>
      <c r="B748" s="302">
        <v>1.053485266711672E-2</v>
      </c>
      <c r="C748" s="302">
        <v>2.1530883777322308E-2</v>
      </c>
      <c r="D748" s="302">
        <v>4.5146865406464213E-3</v>
      </c>
      <c r="E748" s="302">
        <f t="shared" si="322"/>
        <v>3.6580422985085445E-2</v>
      </c>
      <c r="F748" s="303"/>
      <c r="G748" s="302">
        <v>1.1755039374202983E-2</v>
      </c>
      <c r="H748" s="302">
        <v>6.0348615761927113E-2</v>
      </c>
      <c r="I748" s="302">
        <v>4.6093565731053577E-3</v>
      </c>
      <c r="J748" s="302">
        <f t="shared" si="325"/>
        <v>7.671301170923546E-2</v>
      </c>
      <c r="K748" s="303"/>
      <c r="L748" s="302">
        <v>9.9756356925578965E-3</v>
      </c>
      <c r="M748" s="302">
        <v>5.234979182724929E-2</v>
      </c>
      <c r="N748" s="302">
        <v>3.7883422372010853E-3</v>
      </c>
      <c r="O748" s="302">
        <f t="shared" si="324"/>
        <v>6.6113769757008278E-2</v>
      </c>
    </row>
    <row r="749" spans="1:15" s="236" customFormat="1" x14ac:dyDescent="0.2">
      <c r="A749" s="237"/>
      <c r="B749" s="302"/>
      <c r="C749" s="302"/>
      <c r="D749" s="302"/>
      <c r="E749" s="302"/>
      <c r="F749" s="303"/>
      <c r="G749" s="302"/>
      <c r="H749" s="302"/>
      <c r="I749" s="302"/>
      <c r="J749" s="302"/>
      <c r="K749" s="303"/>
      <c r="L749" s="302"/>
      <c r="M749" s="302"/>
      <c r="N749" s="302"/>
      <c r="O749" s="302"/>
    </row>
    <row r="750" spans="1:15" s="236" customFormat="1" x14ac:dyDescent="0.2">
      <c r="A750" s="244" t="s">
        <v>32</v>
      </c>
      <c r="B750" s="311">
        <f>SUM(B740:B748)</f>
        <v>0.22799999999964188</v>
      </c>
      <c r="C750" s="311">
        <f t="shared" ref="C750:E750" si="326">SUM(C740:C748)</f>
        <v>9.5000000000370538E-2</v>
      </c>
      <c r="D750" s="311">
        <f t="shared" si="326"/>
        <v>0.22600000000734743</v>
      </c>
      <c r="E750" s="311">
        <f t="shared" si="326"/>
        <v>0.54900000000735993</v>
      </c>
      <c r="F750" s="311"/>
      <c r="G750" s="311">
        <f t="shared" ref="G750:J750" si="327">SUM(G740:G748)</f>
        <v>0.31899999999657919</v>
      </c>
      <c r="H750" s="311">
        <f t="shared" si="327"/>
        <v>0.32400000000226326</v>
      </c>
      <c r="I750" s="311">
        <f t="shared" si="327"/>
        <v>0.33699999999025826</v>
      </c>
      <c r="J750" s="311">
        <f t="shared" si="327"/>
        <v>0.97999999998910081</v>
      </c>
      <c r="K750" s="311"/>
      <c r="L750" s="311">
        <f t="shared" ref="L750:O750" si="328">SUM(L740:L748)</f>
        <v>0.31099999999826339</v>
      </c>
      <c r="M750" s="311">
        <f t="shared" si="328"/>
        <v>0.34100000000020619</v>
      </c>
      <c r="N750" s="311">
        <f t="shared" si="328"/>
        <v>0.30600000000843303</v>
      </c>
      <c r="O750" s="311">
        <f t="shared" si="328"/>
        <v>0.95800000000690266</v>
      </c>
    </row>
    <row r="751" spans="1:15" s="236" customFormat="1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40"/>
    </row>
    <row r="752" spans="1:15" s="236" customFormat="1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40"/>
      <c r="O752" s="251" t="s">
        <v>35</v>
      </c>
    </row>
    <row r="753" spans="1:15" s="236" customFormat="1" x14ac:dyDescent="0.2">
      <c r="A753" s="242"/>
      <c r="B753" s="242"/>
      <c r="C753" s="242"/>
      <c r="D753" s="242"/>
      <c r="E753" s="242"/>
      <c r="F753" s="242"/>
      <c r="G753" s="242"/>
      <c r="H753" s="242"/>
      <c r="I753" s="242"/>
      <c r="J753" s="242"/>
      <c r="K753" s="242"/>
      <c r="L753" s="242"/>
      <c r="M753" s="242"/>
      <c r="N753" s="242"/>
      <c r="O753" s="242"/>
    </row>
    <row r="754" spans="1:15" s="236" customFormat="1" x14ac:dyDescent="0.2">
      <c r="A754" s="241" t="str">
        <f>name!A47</f>
        <v>Telecommunications</v>
      </c>
      <c r="B754" s="374">
        <f>$B$6</f>
        <v>2015</v>
      </c>
      <c r="C754" s="374"/>
      <c r="D754" s="374"/>
      <c r="E754" s="374"/>
      <c r="F754" s="263"/>
      <c r="G754" s="374">
        <f>$G$6</f>
        <v>2020</v>
      </c>
      <c r="H754" s="374"/>
      <c r="I754" s="374"/>
      <c r="J754" s="374"/>
      <c r="K754" s="263"/>
      <c r="L754" s="374">
        <f>$L$6</f>
        <v>2035</v>
      </c>
      <c r="M754" s="374"/>
      <c r="N754" s="374"/>
      <c r="O754" s="374"/>
    </row>
    <row r="755" spans="1:15" s="236" customFormat="1" x14ac:dyDescent="0.2">
      <c r="A755" s="254"/>
      <c r="B755" s="268" t="str">
        <f>$B$7</f>
        <v>FT</v>
      </c>
      <c r="C755" s="268" t="str">
        <f>$C$7</f>
        <v>PT</v>
      </c>
      <c r="D755" s="268" t="str">
        <f>$D$7</f>
        <v>SE</v>
      </c>
      <c r="E755" s="268" t="str">
        <f>$E$7</f>
        <v>Total</v>
      </c>
      <c r="F755" s="268"/>
      <c r="G755" s="268" t="str">
        <f>$G$7</f>
        <v>FT</v>
      </c>
      <c r="H755" s="268" t="str">
        <f>$H$7</f>
        <v>PT</v>
      </c>
      <c r="I755" s="268" t="str">
        <f>$I$7</f>
        <v>SE</v>
      </c>
      <c r="J755" s="268" t="str">
        <f>$J$7</f>
        <v>Total</v>
      </c>
      <c r="K755" s="268"/>
      <c r="L755" s="268" t="str">
        <f>$L$7</f>
        <v>FT</v>
      </c>
      <c r="M755" s="268" t="str">
        <f>$M$7</f>
        <v>PT</v>
      </c>
      <c r="N755" s="268" t="str">
        <f>$N$7</f>
        <v>SE</v>
      </c>
      <c r="O755" s="268" t="str">
        <f>$O$7</f>
        <v>Total</v>
      </c>
    </row>
    <row r="756" spans="1:15" s="236" customFormat="1" x14ac:dyDescent="0.2">
      <c r="A756" s="258"/>
      <c r="B756" s="239"/>
      <c r="C756" s="239"/>
      <c r="D756" s="239"/>
      <c r="E756" s="239"/>
      <c r="F756" s="239"/>
      <c r="G756" s="239"/>
      <c r="H756" s="239"/>
      <c r="I756" s="239"/>
      <c r="J756" s="239"/>
      <c r="K756" s="239"/>
      <c r="L756" s="239"/>
      <c r="M756" s="239"/>
      <c r="N756" s="239"/>
      <c r="O756" s="239"/>
    </row>
    <row r="757" spans="1:15" s="236" customFormat="1" x14ac:dyDescent="0.2">
      <c r="A757" s="237" t="str">
        <f>name!E$4</f>
        <v>Managers, directors and senior officials</v>
      </c>
      <c r="B757" s="302">
        <v>1.0770624615505473</v>
      </c>
      <c r="C757" s="302">
        <v>0.15394597188621892</v>
      </c>
      <c r="D757" s="302">
        <v>0.13266439570036492</v>
      </c>
      <c r="E757" s="302">
        <f>SUM(B757:D757)</f>
        <v>1.3636728291371312</v>
      </c>
      <c r="F757" s="303"/>
      <c r="G757" s="302">
        <v>1.325322699744149</v>
      </c>
      <c r="H757" s="302">
        <v>0.10575120233801298</v>
      </c>
      <c r="I757" s="302">
        <v>4.7630251212947734E-2</v>
      </c>
      <c r="J757" s="302">
        <f>SUM(G757:I757)</f>
        <v>1.4787041532951097</v>
      </c>
      <c r="K757" s="303"/>
      <c r="L757" s="302">
        <v>1.4616032006975925</v>
      </c>
      <c r="M757" s="302">
        <v>0.11705309107729181</v>
      </c>
      <c r="N757" s="302">
        <v>6.2157949250190962E-2</v>
      </c>
      <c r="O757" s="302">
        <f>SUM(L757:N757)</f>
        <v>1.6408142410250752</v>
      </c>
    </row>
    <row r="758" spans="1:15" s="236" customFormat="1" x14ac:dyDescent="0.2">
      <c r="A758" s="237" t="str">
        <f>name!E$5</f>
        <v>Professional occupations</v>
      </c>
      <c r="B758" s="302">
        <v>1.8437150828479858</v>
      </c>
      <c r="C758" s="302">
        <v>0.10336461716927491</v>
      </c>
      <c r="D758" s="302">
        <v>0.36764488603602985</v>
      </c>
      <c r="E758" s="302">
        <f t="shared" ref="E758:E765" si="329">SUM(B758:D758)</f>
        <v>2.3147245860532903</v>
      </c>
      <c r="F758" s="303"/>
      <c r="G758" s="302">
        <v>2.5565844015080241</v>
      </c>
      <c r="H758" s="302">
        <v>6.5906678649558154E-2</v>
      </c>
      <c r="I758" s="302">
        <v>0.12269913582548211</v>
      </c>
      <c r="J758" s="302">
        <f t="shared" ref="J758:J760" si="330">SUM(G758:I758)</f>
        <v>2.7451902159830648</v>
      </c>
      <c r="K758" s="303"/>
      <c r="L758" s="302">
        <v>3.2881002482759318</v>
      </c>
      <c r="M758" s="302">
        <v>8.4980878577572014E-2</v>
      </c>
      <c r="N758" s="302">
        <v>0.12010129384921325</v>
      </c>
      <c r="O758" s="302">
        <f t="shared" ref="O758:O765" si="331">SUM(L758:N758)</f>
        <v>3.4931824207027171</v>
      </c>
    </row>
    <row r="759" spans="1:15" s="236" customFormat="1" x14ac:dyDescent="0.2">
      <c r="A759" s="237" t="str">
        <f>name!E$6</f>
        <v>Associate professional occupations</v>
      </c>
      <c r="B759" s="302">
        <v>0.81522809278942165</v>
      </c>
      <c r="C759" s="302">
        <v>0.16139543083776869</v>
      </c>
      <c r="D759" s="302">
        <v>8.322022073118529E-2</v>
      </c>
      <c r="E759" s="302">
        <f t="shared" si="329"/>
        <v>1.0598437443583757</v>
      </c>
      <c r="F759" s="303"/>
      <c r="G759" s="302">
        <v>1.0147895047235491</v>
      </c>
      <c r="H759" s="302">
        <v>8.8979861107943259E-2</v>
      </c>
      <c r="I759" s="302">
        <v>2.398815847468018E-2</v>
      </c>
      <c r="J759" s="302">
        <f t="shared" si="330"/>
        <v>1.1277575243061726</v>
      </c>
      <c r="K759" s="303"/>
      <c r="L759" s="302">
        <v>1.0955215086791228</v>
      </c>
      <c r="M759" s="302">
        <v>8.7793665241868338E-2</v>
      </c>
      <c r="N759" s="302">
        <v>3.0109709180614654E-2</v>
      </c>
      <c r="O759" s="302">
        <f t="shared" si="331"/>
        <v>1.2134248831016057</v>
      </c>
    </row>
    <row r="760" spans="1:15" s="236" customFormat="1" x14ac:dyDescent="0.2">
      <c r="A760" s="237" t="str">
        <f>name!E$7</f>
        <v>Administrative and secretarial occupations</v>
      </c>
      <c r="B760" s="302">
        <v>0.3655189310450625</v>
      </c>
      <c r="C760" s="302">
        <v>0.22063753942605963</v>
      </c>
      <c r="D760" s="302">
        <v>4.646646905161933E-2</v>
      </c>
      <c r="E760" s="302">
        <f t="shared" si="329"/>
        <v>0.63262293952274151</v>
      </c>
      <c r="F760" s="303"/>
      <c r="G760" s="302">
        <v>0.38757663192512176</v>
      </c>
      <c r="H760" s="302">
        <v>0.10308353792592428</v>
      </c>
      <c r="I760" s="302">
        <v>6.038315409258083E-3</v>
      </c>
      <c r="J760" s="302">
        <f t="shared" si="330"/>
        <v>0.49669848526030413</v>
      </c>
      <c r="K760" s="303"/>
      <c r="L760" s="302">
        <v>0.41494782982232142</v>
      </c>
      <c r="M760" s="302">
        <v>9.0126754879735205E-2</v>
      </c>
      <c r="N760" s="302">
        <v>7.2584081601507165E-3</v>
      </c>
      <c r="O760" s="302">
        <f t="shared" si="331"/>
        <v>0.51233299286220724</v>
      </c>
    </row>
    <row r="761" spans="1:15" s="236" customFormat="1" x14ac:dyDescent="0.2">
      <c r="A761" s="237" t="str">
        <f>name!E$8</f>
        <v>Skilled trades occupations</v>
      </c>
      <c r="B761" s="302">
        <v>0.78601842779182651</v>
      </c>
      <c r="C761" s="302">
        <v>8.1121057561322693E-2</v>
      </c>
      <c r="D761" s="302">
        <v>0.10028083256588147</v>
      </c>
      <c r="E761" s="302">
        <f t="shared" si="329"/>
        <v>0.96742031791903071</v>
      </c>
      <c r="F761" s="303"/>
      <c r="G761" s="302">
        <v>0.74700029045516936</v>
      </c>
      <c r="H761" s="302">
        <v>2.7521507127323475E-2</v>
      </c>
      <c r="I761" s="302">
        <v>2.7886215699407687E-2</v>
      </c>
      <c r="J761" s="302">
        <f>SUM(G761:I761)</f>
        <v>0.80240801328190048</v>
      </c>
      <c r="K761" s="303"/>
      <c r="L761" s="302">
        <v>0.52399471251943441</v>
      </c>
      <c r="M761" s="302">
        <v>2.791647855760452E-2</v>
      </c>
      <c r="N761" s="302">
        <v>4.1000131142659893E-2</v>
      </c>
      <c r="O761" s="302">
        <f t="shared" si="331"/>
        <v>0.59291132221969878</v>
      </c>
    </row>
    <row r="762" spans="1:15" s="236" customFormat="1" x14ac:dyDescent="0.2">
      <c r="A762" s="237" t="str">
        <f>name!E$9</f>
        <v>Caring, leisure and other service occupations</v>
      </c>
      <c r="B762" s="302">
        <v>9.1866391068692044E-2</v>
      </c>
      <c r="C762" s="302">
        <v>5.1152891504825444E-2</v>
      </c>
      <c r="D762" s="302">
        <v>1.4069191833475405E-2</v>
      </c>
      <c r="E762" s="302">
        <f t="shared" si="329"/>
        <v>0.15708847440699289</v>
      </c>
      <c r="F762" s="303"/>
      <c r="G762" s="302">
        <v>0.10636203571000023</v>
      </c>
      <c r="H762" s="302">
        <v>2.1187159861225581E-2</v>
      </c>
      <c r="I762" s="302">
        <v>2.3035141711247081E-3</v>
      </c>
      <c r="J762" s="302">
        <f t="shared" ref="J762:J765" si="332">SUM(G762:I762)</f>
        <v>0.12985270974235052</v>
      </c>
      <c r="K762" s="303"/>
      <c r="L762" s="302">
        <v>0.1550912682247152</v>
      </c>
      <c r="M762" s="302">
        <v>1.9322184969276068E-2</v>
      </c>
      <c r="N762" s="302">
        <v>4.593593695648269E-3</v>
      </c>
      <c r="O762" s="302">
        <f t="shared" si="331"/>
        <v>0.17900704688963953</v>
      </c>
    </row>
    <row r="763" spans="1:15" s="236" customFormat="1" x14ac:dyDescent="0.2">
      <c r="A763" s="237" t="str">
        <f>name!E$10</f>
        <v>Sales and customer service occupations</v>
      </c>
      <c r="B763" s="302">
        <v>0.5051840625857672</v>
      </c>
      <c r="C763" s="302">
        <v>0.74374055197433864</v>
      </c>
      <c r="D763" s="302">
        <v>3.6731992587674213E-2</v>
      </c>
      <c r="E763" s="302">
        <f t="shared" si="329"/>
        <v>1.28565660714778</v>
      </c>
      <c r="F763" s="303"/>
      <c r="G763" s="302">
        <v>0.49292326994575736</v>
      </c>
      <c r="H763" s="302">
        <v>0.35476620966998917</v>
      </c>
      <c r="I763" s="302">
        <v>6.5311123741505469E-3</v>
      </c>
      <c r="J763" s="302">
        <f t="shared" si="332"/>
        <v>0.85422059198989708</v>
      </c>
      <c r="K763" s="303"/>
      <c r="L763" s="302">
        <v>0.69385407807013721</v>
      </c>
      <c r="M763" s="302">
        <v>0.42530349737847944</v>
      </c>
      <c r="N763" s="302">
        <v>7.3673516434967041E-3</v>
      </c>
      <c r="O763" s="302">
        <f t="shared" si="331"/>
        <v>1.1265249270921134</v>
      </c>
    </row>
    <row r="764" spans="1:15" s="236" customFormat="1" x14ac:dyDescent="0.2">
      <c r="A764" s="237" t="str">
        <f>name!E$11</f>
        <v>Process, plant and machine operatives</v>
      </c>
      <c r="B764" s="302">
        <v>5.8268020990501185E-2</v>
      </c>
      <c r="C764" s="302">
        <v>7.143592134441408E-2</v>
      </c>
      <c r="D764" s="302">
        <v>2.7565598378289907E-2</v>
      </c>
      <c r="E764" s="302">
        <f t="shared" si="329"/>
        <v>0.15726954071320517</v>
      </c>
      <c r="F764" s="303"/>
      <c r="G764" s="302">
        <v>4.9943555005256712E-2</v>
      </c>
      <c r="H764" s="302">
        <v>2.7079693994264048E-2</v>
      </c>
      <c r="I764" s="302">
        <v>7.5449161909700579E-3</v>
      </c>
      <c r="J764" s="302">
        <f t="shared" si="332"/>
        <v>8.4568165190490818E-2</v>
      </c>
      <c r="K764" s="303"/>
      <c r="L764" s="302">
        <v>5.3533281984946272E-2</v>
      </c>
      <c r="M764" s="302">
        <v>4.776430636765127E-2</v>
      </c>
      <c r="N764" s="302">
        <v>1.6004659289629127E-2</v>
      </c>
      <c r="O764" s="302">
        <f t="shared" si="331"/>
        <v>0.11730224764222667</v>
      </c>
    </row>
    <row r="765" spans="1:15" s="236" customFormat="1" x14ac:dyDescent="0.2">
      <c r="A765" s="237" t="str">
        <f>name!E$12</f>
        <v>Elementary occupations</v>
      </c>
      <c r="B765" s="302">
        <v>4.513852934051827E-2</v>
      </c>
      <c r="C765" s="302">
        <v>8.6206018305533996E-2</v>
      </c>
      <c r="D765" s="302">
        <v>6.9356413134561049E-2</v>
      </c>
      <c r="E765" s="302">
        <f t="shared" si="329"/>
        <v>0.20070096078061334</v>
      </c>
      <c r="F765" s="303"/>
      <c r="G765" s="302">
        <v>3.8497610853475507E-2</v>
      </c>
      <c r="H765" s="302">
        <v>3.4724149329629458E-2</v>
      </c>
      <c r="I765" s="302">
        <v>1.637838064033606E-2</v>
      </c>
      <c r="J765" s="302">
        <f t="shared" si="332"/>
        <v>8.9600140823441032E-2</v>
      </c>
      <c r="K765" s="303"/>
      <c r="L765" s="302">
        <v>3.1353871606912775E-2</v>
      </c>
      <c r="M765" s="302">
        <v>3.0739142953626435E-2</v>
      </c>
      <c r="N765" s="302">
        <v>2.2406903789647103E-2</v>
      </c>
      <c r="O765" s="302">
        <f t="shared" si="331"/>
        <v>8.4499918350186318E-2</v>
      </c>
    </row>
    <row r="766" spans="1:15" s="236" customFormat="1" x14ac:dyDescent="0.2">
      <c r="A766" s="237"/>
      <c r="B766" s="302"/>
      <c r="C766" s="302"/>
      <c r="D766" s="302"/>
      <c r="E766" s="302"/>
      <c r="F766" s="303"/>
      <c r="G766" s="302"/>
      <c r="H766" s="302"/>
      <c r="I766" s="302"/>
      <c r="J766" s="302"/>
      <c r="K766" s="303"/>
      <c r="L766" s="302"/>
      <c r="M766" s="302"/>
      <c r="N766" s="302"/>
      <c r="O766" s="302"/>
    </row>
    <row r="767" spans="1:15" s="236" customFormat="1" x14ac:dyDescent="0.2">
      <c r="A767" s="244" t="s">
        <v>32</v>
      </c>
      <c r="B767" s="311">
        <f>SUM(B757:B765)</f>
        <v>5.5880000000103225</v>
      </c>
      <c r="C767" s="311">
        <f t="shared" ref="C767:E767" si="333">SUM(C757:C765)</f>
        <v>1.6730000000097571</v>
      </c>
      <c r="D767" s="311">
        <f t="shared" si="333"/>
        <v>0.87800000001908152</v>
      </c>
      <c r="E767" s="311">
        <f t="shared" si="333"/>
        <v>8.1390000000391609</v>
      </c>
      <c r="F767" s="311"/>
      <c r="G767" s="311">
        <f t="shared" ref="G767:J767" si="334">SUM(G757:G765)</f>
        <v>6.718999999870503</v>
      </c>
      <c r="H767" s="311">
        <f t="shared" si="334"/>
        <v>0.82900000000387042</v>
      </c>
      <c r="I767" s="311">
        <f t="shared" si="334"/>
        <v>0.26099999999835721</v>
      </c>
      <c r="J767" s="311">
        <f t="shared" si="334"/>
        <v>7.8089999998727313</v>
      </c>
      <c r="K767" s="311"/>
      <c r="L767" s="311">
        <f t="shared" ref="L767:O767" si="335">SUM(L757:L765)</f>
        <v>7.7179999998811146</v>
      </c>
      <c r="M767" s="311">
        <f t="shared" si="335"/>
        <v>0.93100000000310512</v>
      </c>
      <c r="N767" s="311">
        <f t="shared" si="335"/>
        <v>0.31100000000125072</v>
      </c>
      <c r="O767" s="311">
        <f t="shared" si="335"/>
        <v>8.9599999998854702</v>
      </c>
    </row>
    <row r="768" spans="1:15" s="236" customFormat="1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40"/>
    </row>
    <row r="769" spans="1:15" s="236" customFormat="1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40"/>
      <c r="O769" s="251" t="s">
        <v>35</v>
      </c>
    </row>
    <row r="770" spans="1:15" s="236" customFormat="1" x14ac:dyDescent="0.2">
      <c r="A770" s="242"/>
      <c r="B770" s="242"/>
      <c r="C770" s="242"/>
      <c r="D770" s="242"/>
      <c r="E770" s="242"/>
      <c r="F770" s="242"/>
      <c r="G770" s="242"/>
      <c r="H770" s="242"/>
      <c r="I770" s="242"/>
      <c r="J770" s="242"/>
      <c r="K770" s="242"/>
      <c r="L770" s="242"/>
      <c r="M770" s="242"/>
      <c r="N770" s="242"/>
      <c r="O770" s="242"/>
    </row>
    <row r="771" spans="1:15" s="236" customFormat="1" x14ac:dyDescent="0.2">
      <c r="A771" s="241" t="str">
        <f>name!A48</f>
        <v>Computing services</v>
      </c>
      <c r="B771" s="374">
        <f>$B$6</f>
        <v>2015</v>
      </c>
      <c r="C771" s="374"/>
      <c r="D771" s="374"/>
      <c r="E771" s="374"/>
      <c r="F771" s="263"/>
      <c r="G771" s="374">
        <f>$G$6</f>
        <v>2020</v>
      </c>
      <c r="H771" s="374"/>
      <c r="I771" s="374"/>
      <c r="J771" s="374"/>
      <c r="K771" s="263"/>
      <c r="L771" s="374">
        <f>$L$6</f>
        <v>2035</v>
      </c>
      <c r="M771" s="374"/>
      <c r="N771" s="374"/>
      <c r="O771" s="374"/>
    </row>
    <row r="772" spans="1:15" s="236" customFormat="1" x14ac:dyDescent="0.2">
      <c r="A772" s="254"/>
      <c r="B772" s="268" t="str">
        <f>$B$7</f>
        <v>FT</v>
      </c>
      <c r="C772" s="268" t="str">
        <f>$C$7</f>
        <v>PT</v>
      </c>
      <c r="D772" s="268" t="str">
        <f>$D$7</f>
        <v>SE</v>
      </c>
      <c r="E772" s="268" t="str">
        <f>$E$7</f>
        <v>Total</v>
      </c>
      <c r="F772" s="268"/>
      <c r="G772" s="268" t="str">
        <f>$G$7</f>
        <v>FT</v>
      </c>
      <c r="H772" s="268" t="str">
        <f>$H$7</f>
        <v>PT</v>
      </c>
      <c r="I772" s="268" t="str">
        <f>$I$7</f>
        <v>SE</v>
      </c>
      <c r="J772" s="268" t="str">
        <f>$J$7</f>
        <v>Total</v>
      </c>
      <c r="K772" s="268"/>
      <c r="L772" s="268" t="str">
        <f>$L$7</f>
        <v>FT</v>
      </c>
      <c r="M772" s="268" t="str">
        <f>$M$7</f>
        <v>PT</v>
      </c>
      <c r="N772" s="268" t="str">
        <f>$N$7</f>
        <v>SE</v>
      </c>
      <c r="O772" s="268" t="str">
        <f>$O$7</f>
        <v>Total</v>
      </c>
    </row>
    <row r="773" spans="1:15" s="236" customFormat="1" x14ac:dyDescent="0.2">
      <c r="A773" s="258"/>
      <c r="B773" s="239"/>
      <c r="C773" s="239"/>
      <c r="D773" s="239"/>
      <c r="E773" s="239"/>
      <c r="F773" s="239"/>
      <c r="G773" s="239"/>
      <c r="H773" s="239"/>
      <c r="I773" s="239"/>
      <c r="J773" s="239"/>
      <c r="K773" s="239"/>
      <c r="L773" s="239"/>
      <c r="M773" s="239"/>
      <c r="N773" s="239"/>
      <c r="O773" s="239"/>
    </row>
    <row r="774" spans="1:15" s="236" customFormat="1" x14ac:dyDescent="0.2">
      <c r="A774" s="237" t="str">
        <f>name!E$4</f>
        <v>Managers, directors and senior officials</v>
      </c>
      <c r="B774" s="302">
        <v>4.121851398293507</v>
      </c>
      <c r="C774" s="302">
        <v>0.3164931232805317</v>
      </c>
      <c r="D774" s="302">
        <v>0.55275088915872883</v>
      </c>
      <c r="E774" s="302">
        <f>SUM(B774:D774)</f>
        <v>4.9910954107327674</v>
      </c>
      <c r="F774" s="303"/>
      <c r="G774" s="302">
        <v>4.3367480975284982</v>
      </c>
      <c r="H774" s="302">
        <v>0.68756677787921039</v>
      </c>
      <c r="I774" s="302">
        <v>0.26763385106779081</v>
      </c>
      <c r="J774" s="302">
        <f>SUM(G774:I774)</f>
        <v>5.291948726475499</v>
      </c>
      <c r="K774" s="303"/>
      <c r="L774" s="302">
        <v>4.8223228153261655</v>
      </c>
      <c r="M774" s="302">
        <v>0.8347591435977485</v>
      </c>
      <c r="N774" s="302">
        <v>0.28621159146136327</v>
      </c>
      <c r="O774" s="302">
        <f>SUM(L774:N774)</f>
        <v>5.9432935503852775</v>
      </c>
    </row>
    <row r="775" spans="1:15" s="236" customFormat="1" x14ac:dyDescent="0.2">
      <c r="A775" s="237" t="str">
        <f>name!E$5</f>
        <v>Professional occupations</v>
      </c>
      <c r="B775" s="302">
        <v>13.092477989770906</v>
      </c>
      <c r="C775" s="302">
        <v>0.45274372631627713</v>
      </c>
      <c r="D775" s="302">
        <v>1.3618690064039376</v>
      </c>
      <c r="E775" s="302">
        <f t="shared" ref="E775:E782" si="336">SUM(B775:D775)</f>
        <v>14.90709072249112</v>
      </c>
      <c r="F775" s="303"/>
      <c r="G775" s="302">
        <v>15.657336411999346</v>
      </c>
      <c r="H775" s="302">
        <v>0.87180839602335458</v>
      </c>
      <c r="I775" s="302">
        <v>0.59622043959625592</v>
      </c>
      <c r="J775" s="302">
        <f t="shared" ref="J775:J777" si="337">SUM(G775:I775)</f>
        <v>17.125365247618955</v>
      </c>
      <c r="K775" s="303"/>
      <c r="L775" s="302">
        <v>19.283523840032512</v>
      </c>
      <c r="M775" s="302">
        <v>1.1240661320519685</v>
      </c>
      <c r="N775" s="302">
        <v>0.62621383067521497</v>
      </c>
      <c r="O775" s="302">
        <f t="shared" ref="O775:O782" si="338">SUM(L775:N775)</f>
        <v>21.033803802759696</v>
      </c>
    </row>
    <row r="776" spans="1:15" s="236" customFormat="1" x14ac:dyDescent="0.2">
      <c r="A776" s="237" t="str">
        <f>name!E$6</f>
        <v>Associate professional occupations</v>
      </c>
      <c r="B776" s="302">
        <v>4.0884816503264299</v>
      </c>
      <c r="C776" s="302">
        <v>0.31513241694199062</v>
      </c>
      <c r="D776" s="302">
        <v>0.73709550328241857</v>
      </c>
      <c r="E776" s="302">
        <f t="shared" si="336"/>
        <v>5.1407095705508388</v>
      </c>
      <c r="F776" s="303"/>
      <c r="G776" s="302">
        <v>4.3621077459063731</v>
      </c>
      <c r="H776" s="302">
        <v>0.53434482872949363</v>
      </c>
      <c r="I776" s="302">
        <v>0.36898807502280095</v>
      </c>
      <c r="J776" s="302">
        <f t="shared" si="337"/>
        <v>5.2654406496586681</v>
      </c>
      <c r="K776" s="303"/>
      <c r="L776" s="302">
        <v>4.716983193452692</v>
      </c>
      <c r="M776" s="302">
        <v>0.55482551224402643</v>
      </c>
      <c r="N776" s="302">
        <v>0.4356659271827783</v>
      </c>
      <c r="O776" s="302">
        <f t="shared" si="338"/>
        <v>5.7074746328794976</v>
      </c>
    </row>
    <row r="777" spans="1:15" s="236" customFormat="1" x14ac:dyDescent="0.2">
      <c r="A777" s="237" t="str">
        <f>name!E$7</f>
        <v>Administrative and secretarial occupations</v>
      </c>
      <c r="B777" s="302">
        <v>1.5859439521110947</v>
      </c>
      <c r="C777" s="302">
        <v>0.75022096610786271</v>
      </c>
      <c r="D777" s="302">
        <v>0.10636454397537899</v>
      </c>
      <c r="E777" s="302">
        <f t="shared" si="336"/>
        <v>2.4425294621943365</v>
      </c>
      <c r="F777" s="303"/>
      <c r="G777" s="302">
        <v>1.1971575582837248</v>
      </c>
      <c r="H777" s="302">
        <v>0.98911467909558337</v>
      </c>
      <c r="I777" s="302">
        <v>6.3638249552180851E-2</v>
      </c>
      <c r="J777" s="302">
        <f t="shared" si="337"/>
        <v>2.2499104869314888</v>
      </c>
      <c r="K777" s="303"/>
      <c r="L777" s="302">
        <v>0.93353366168439933</v>
      </c>
      <c r="M777" s="302">
        <v>0.87371762572041756</v>
      </c>
      <c r="N777" s="302">
        <v>3.9187874409100244E-2</v>
      </c>
      <c r="O777" s="302">
        <f t="shared" si="338"/>
        <v>1.8464391618139171</v>
      </c>
    </row>
    <row r="778" spans="1:15" s="236" customFormat="1" x14ac:dyDescent="0.2">
      <c r="A778" s="237" t="str">
        <f>name!E$8</f>
        <v>Skilled trades occupations</v>
      </c>
      <c r="B778" s="302">
        <v>1.2565861217891199</v>
      </c>
      <c r="C778" s="302">
        <v>0.10835857899968318</v>
      </c>
      <c r="D778" s="302">
        <v>0.51981045828391015</v>
      </c>
      <c r="E778" s="302">
        <f t="shared" si="336"/>
        <v>1.8847551590727134</v>
      </c>
      <c r="F778" s="303"/>
      <c r="G778" s="302">
        <v>1.0669204175828093</v>
      </c>
      <c r="H778" s="302">
        <v>0.11017926292012409</v>
      </c>
      <c r="I778" s="302">
        <v>0.17426355700647861</v>
      </c>
      <c r="J778" s="302">
        <f>SUM(G778:I778)</f>
        <v>1.351363237509412</v>
      </c>
      <c r="K778" s="303"/>
      <c r="L778" s="302">
        <v>0.83339162679320034</v>
      </c>
      <c r="M778" s="302">
        <v>0.14962764611431043</v>
      </c>
      <c r="N778" s="302">
        <v>0.32456327779704042</v>
      </c>
      <c r="O778" s="302">
        <f t="shared" si="338"/>
        <v>1.3075825507045513</v>
      </c>
    </row>
    <row r="779" spans="1:15" s="236" customFormat="1" x14ac:dyDescent="0.2">
      <c r="A779" s="237" t="str">
        <f>name!E$9</f>
        <v>Caring, leisure and other service occupations</v>
      </c>
      <c r="B779" s="302">
        <v>0.65966915050231145</v>
      </c>
      <c r="C779" s="302">
        <v>8.735381006828849E-2</v>
      </c>
      <c r="D779" s="302">
        <v>6.8073678626762668E-2</v>
      </c>
      <c r="E779" s="302">
        <f t="shared" si="336"/>
        <v>0.81509663919736264</v>
      </c>
      <c r="F779" s="303"/>
      <c r="G779" s="302">
        <v>0.55797657545521084</v>
      </c>
      <c r="H779" s="302">
        <v>0.12666218068433469</v>
      </c>
      <c r="I779" s="302">
        <v>4.5646627990975401E-2</v>
      </c>
      <c r="J779" s="302">
        <f t="shared" ref="J779:J782" si="339">SUM(G779:I779)</f>
        <v>0.73028538413052091</v>
      </c>
      <c r="K779" s="303"/>
      <c r="L779" s="302">
        <v>0.8267335232818358</v>
      </c>
      <c r="M779" s="302">
        <v>0.14745253962888638</v>
      </c>
      <c r="N779" s="302">
        <v>7.9091409230643298E-2</v>
      </c>
      <c r="O779" s="302">
        <f t="shared" si="338"/>
        <v>1.0532774721413656</v>
      </c>
    </row>
    <row r="780" spans="1:15" s="236" customFormat="1" x14ac:dyDescent="0.2">
      <c r="A780" s="237" t="str">
        <f>name!E$10</f>
        <v>Sales and customer service occupations</v>
      </c>
      <c r="B780" s="302">
        <v>0.57298971440651825</v>
      </c>
      <c r="C780" s="302">
        <v>0.12832106268382756</v>
      </c>
      <c r="D780" s="302">
        <v>5.0959290196879288E-2</v>
      </c>
      <c r="E780" s="302">
        <f t="shared" si="336"/>
        <v>0.75227006728722512</v>
      </c>
      <c r="F780" s="303"/>
      <c r="G780" s="302">
        <v>0.4250062022301313</v>
      </c>
      <c r="H780" s="302">
        <v>0.20340306049954326</v>
      </c>
      <c r="I780" s="302">
        <v>2.137218378377297E-2</v>
      </c>
      <c r="J780" s="302">
        <f t="shared" si="339"/>
        <v>0.64978144651344749</v>
      </c>
      <c r="K780" s="303"/>
      <c r="L780" s="302">
        <v>0.52690134450191517</v>
      </c>
      <c r="M780" s="302">
        <v>0.282751197617292</v>
      </c>
      <c r="N780" s="302">
        <v>2.9029612304802579E-2</v>
      </c>
      <c r="O780" s="302">
        <f t="shared" si="338"/>
        <v>0.83868215442400973</v>
      </c>
    </row>
    <row r="781" spans="1:15" s="236" customFormat="1" x14ac:dyDescent="0.2">
      <c r="A781" s="237" t="str">
        <f>name!E$11</f>
        <v>Process, plant and machine operatives</v>
      </c>
      <c r="B781" s="302">
        <v>0.10291726690953988</v>
      </c>
      <c r="C781" s="302">
        <v>6.4219364808259433E-2</v>
      </c>
      <c r="D781" s="302">
        <v>0.12989246768060231</v>
      </c>
      <c r="E781" s="302">
        <f t="shared" si="336"/>
        <v>0.29702909939840161</v>
      </c>
      <c r="F781" s="303"/>
      <c r="G781" s="302">
        <v>6.9951997402494512E-2</v>
      </c>
      <c r="H781" s="302">
        <v>0.10640156017136121</v>
      </c>
      <c r="I781" s="302">
        <v>5.8360810780529786E-2</v>
      </c>
      <c r="J781" s="302">
        <f t="shared" si="339"/>
        <v>0.23471436835438553</v>
      </c>
      <c r="K781" s="303"/>
      <c r="L781" s="302">
        <v>8.0722424153006359E-2</v>
      </c>
      <c r="M781" s="302">
        <v>0.12538689662529809</v>
      </c>
      <c r="N781" s="302">
        <v>8.7815923721221739E-2</v>
      </c>
      <c r="O781" s="302">
        <f t="shared" si="338"/>
        <v>0.29392524449952617</v>
      </c>
    </row>
    <row r="782" spans="1:15" s="236" customFormat="1" x14ac:dyDescent="0.2">
      <c r="A782" s="237" t="str">
        <f>name!E$12</f>
        <v>Elementary occupations</v>
      </c>
      <c r="B782" s="302">
        <v>0.133082755928637</v>
      </c>
      <c r="C782" s="302">
        <v>4.7156950760314745E-2</v>
      </c>
      <c r="D782" s="302">
        <v>8.6184162474665191E-2</v>
      </c>
      <c r="E782" s="302">
        <f t="shared" si="336"/>
        <v>0.26642386916361693</v>
      </c>
      <c r="F782" s="303"/>
      <c r="G782" s="302">
        <v>9.1794992950419776E-2</v>
      </c>
      <c r="H782" s="302">
        <v>5.4519253945929338E-2</v>
      </c>
      <c r="I782" s="302">
        <v>3.6876205179469365E-2</v>
      </c>
      <c r="J782" s="302">
        <f t="shared" si="339"/>
        <v>0.18319045207581847</v>
      </c>
      <c r="K782" s="303"/>
      <c r="L782" s="302">
        <v>7.088757024472489E-2</v>
      </c>
      <c r="M782" s="302">
        <v>4.1413306405570796E-2</v>
      </c>
      <c r="N782" s="302">
        <v>5.7220553232307396E-2</v>
      </c>
      <c r="O782" s="302">
        <f t="shared" si="338"/>
        <v>0.16952142988260308</v>
      </c>
    </row>
    <row r="783" spans="1:15" s="236" customFormat="1" x14ac:dyDescent="0.2">
      <c r="A783" s="237"/>
      <c r="B783" s="302"/>
      <c r="C783" s="302"/>
      <c r="D783" s="302"/>
      <c r="E783" s="302"/>
      <c r="F783" s="303"/>
      <c r="G783" s="302"/>
      <c r="H783" s="302"/>
      <c r="I783" s="302"/>
      <c r="J783" s="302"/>
      <c r="K783" s="303"/>
      <c r="L783" s="302"/>
      <c r="M783" s="302"/>
      <c r="N783" s="302"/>
      <c r="O783" s="302"/>
    </row>
    <row r="784" spans="1:15" s="236" customFormat="1" x14ac:dyDescent="0.2">
      <c r="A784" s="244" t="s">
        <v>32</v>
      </c>
      <c r="B784" s="311">
        <f>SUM(B774:B782)</f>
        <v>25.614000000038061</v>
      </c>
      <c r="C784" s="311">
        <f t="shared" ref="C784:E784" si="340">SUM(C774:C782)</f>
        <v>2.2699999999670357</v>
      </c>
      <c r="D784" s="311">
        <f t="shared" si="340"/>
        <v>3.6130000000832831</v>
      </c>
      <c r="E784" s="311">
        <f t="shared" si="340"/>
        <v>31.497000000088384</v>
      </c>
      <c r="F784" s="311"/>
      <c r="G784" s="311">
        <f t="shared" ref="G784:J784" si="341">SUM(G774:G782)</f>
        <v>27.764999999339008</v>
      </c>
      <c r="H784" s="311">
        <f t="shared" si="341"/>
        <v>3.6839999999489339</v>
      </c>
      <c r="I784" s="311">
        <f t="shared" si="341"/>
        <v>1.6329999999802545</v>
      </c>
      <c r="J784" s="311">
        <f t="shared" si="341"/>
        <v>33.081999999268191</v>
      </c>
      <c r="K784" s="311"/>
      <c r="L784" s="311">
        <f t="shared" ref="L784:O784" si="342">SUM(L774:L782)</f>
        <v>32.094999999470446</v>
      </c>
      <c r="M784" s="311">
        <f t="shared" si="342"/>
        <v>4.1340000000055186</v>
      </c>
      <c r="N784" s="311">
        <f t="shared" si="342"/>
        <v>1.9650000000144723</v>
      </c>
      <c r="O784" s="311">
        <f t="shared" si="342"/>
        <v>38.193999999490444</v>
      </c>
    </row>
    <row r="785" spans="1:15" s="236" customFormat="1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40"/>
    </row>
    <row r="786" spans="1:15" s="236" customFormat="1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40"/>
      <c r="O786" s="251" t="s">
        <v>35</v>
      </c>
    </row>
    <row r="787" spans="1:15" s="236" customFormat="1" x14ac:dyDescent="0.2">
      <c r="A787" s="242"/>
      <c r="B787" s="242"/>
      <c r="C787" s="242"/>
      <c r="D787" s="242"/>
      <c r="E787" s="242"/>
      <c r="F787" s="242"/>
      <c r="G787" s="242"/>
      <c r="H787" s="242"/>
      <c r="I787" s="242"/>
      <c r="J787" s="242"/>
      <c r="K787" s="242"/>
      <c r="L787" s="242"/>
      <c r="M787" s="242"/>
      <c r="N787" s="242"/>
      <c r="O787" s="242"/>
    </row>
    <row r="788" spans="1:15" s="236" customFormat="1" x14ac:dyDescent="0.2">
      <c r="A788" s="241" t="str">
        <f>name!A49</f>
        <v>Information services</v>
      </c>
      <c r="B788" s="374">
        <f>$B$6</f>
        <v>2015</v>
      </c>
      <c r="C788" s="374"/>
      <c r="D788" s="374"/>
      <c r="E788" s="374"/>
      <c r="F788" s="263"/>
      <c r="G788" s="374">
        <f>$G$6</f>
        <v>2020</v>
      </c>
      <c r="H788" s="374"/>
      <c r="I788" s="374"/>
      <c r="J788" s="374"/>
      <c r="K788" s="263"/>
      <c r="L788" s="374">
        <f>$L$6</f>
        <v>2035</v>
      </c>
      <c r="M788" s="374"/>
      <c r="N788" s="374"/>
      <c r="O788" s="374"/>
    </row>
    <row r="789" spans="1:15" s="236" customFormat="1" x14ac:dyDescent="0.2">
      <c r="A789" s="254"/>
      <c r="B789" s="268" t="str">
        <f>$B$7</f>
        <v>FT</v>
      </c>
      <c r="C789" s="268" t="str">
        <f>$C$7</f>
        <v>PT</v>
      </c>
      <c r="D789" s="268" t="str">
        <f>$D$7</f>
        <v>SE</v>
      </c>
      <c r="E789" s="268" t="str">
        <f>$E$7</f>
        <v>Total</v>
      </c>
      <c r="F789" s="268"/>
      <c r="G789" s="268" t="str">
        <f>$G$7</f>
        <v>FT</v>
      </c>
      <c r="H789" s="268" t="str">
        <f>$H$7</f>
        <v>PT</v>
      </c>
      <c r="I789" s="268" t="str">
        <f>$I$7</f>
        <v>SE</v>
      </c>
      <c r="J789" s="268" t="str">
        <f>$J$7</f>
        <v>Total</v>
      </c>
      <c r="K789" s="268"/>
      <c r="L789" s="268" t="str">
        <f>$L$7</f>
        <v>FT</v>
      </c>
      <c r="M789" s="268" t="str">
        <f>$M$7</f>
        <v>PT</v>
      </c>
      <c r="N789" s="268" t="str">
        <f>$N$7</f>
        <v>SE</v>
      </c>
      <c r="O789" s="268" t="str">
        <f>$O$7</f>
        <v>Total</v>
      </c>
    </row>
    <row r="790" spans="1:15" s="236" customFormat="1" x14ac:dyDescent="0.2">
      <c r="A790" s="258"/>
      <c r="B790" s="239"/>
      <c r="C790" s="239"/>
      <c r="D790" s="239"/>
      <c r="E790" s="239"/>
      <c r="F790" s="239"/>
      <c r="G790" s="239"/>
      <c r="H790" s="239"/>
      <c r="I790" s="239"/>
      <c r="J790" s="239"/>
      <c r="K790" s="239"/>
      <c r="L790" s="239"/>
      <c r="M790" s="239"/>
      <c r="N790" s="239"/>
      <c r="O790" s="239"/>
    </row>
    <row r="791" spans="1:15" s="236" customFormat="1" x14ac:dyDescent="0.2">
      <c r="A791" s="237" t="str">
        <f>name!E$4</f>
        <v>Managers, directors and senior officials</v>
      </c>
      <c r="B791" s="302">
        <v>0.61015267475148982</v>
      </c>
      <c r="C791" s="302">
        <v>3.9227056873977324E-2</v>
      </c>
      <c r="D791" s="302">
        <v>0.10609149933365836</v>
      </c>
      <c r="E791" s="302">
        <f>SUM(B791:D791)</f>
        <v>0.75547123095912549</v>
      </c>
      <c r="F791" s="303"/>
      <c r="G791" s="302">
        <v>0.70756728815304903</v>
      </c>
      <c r="H791" s="302">
        <v>6.8423901470383575E-2</v>
      </c>
      <c r="I791" s="302">
        <v>5.5688437630116584E-2</v>
      </c>
      <c r="J791" s="302">
        <f>SUM(G791:I791)</f>
        <v>0.83167962725354916</v>
      </c>
      <c r="K791" s="303"/>
      <c r="L791" s="302">
        <v>0.78690925687474711</v>
      </c>
      <c r="M791" s="302">
        <v>8.5733067073289565E-2</v>
      </c>
      <c r="N791" s="302">
        <v>7.1771297735045175E-2</v>
      </c>
      <c r="O791" s="302">
        <f>SUM(L791:N791)</f>
        <v>0.94441362168308185</v>
      </c>
    </row>
    <row r="792" spans="1:15" s="236" customFormat="1" x14ac:dyDescent="0.2">
      <c r="A792" s="237" t="str">
        <f>name!E$5</f>
        <v>Professional occupations</v>
      </c>
      <c r="B792" s="302">
        <v>1.7423169793073467</v>
      </c>
      <c r="C792" s="302">
        <v>5.0342738378311672E-2</v>
      </c>
      <c r="D792" s="302">
        <v>0.16152632212726215</v>
      </c>
      <c r="E792" s="302">
        <f t="shared" ref="E792:E799" si="343">SUM(B792:D792)</f>
        <v>1.9541860398129205</v>
      </c>
      <c r="F792" s="303"/>
      <c r="G792" s="302">
        <v>2.2751723481878394</v>
      </c>
      <c r="H792" s="302">
        <v>7.6954329357879492E-2</v>
      </c>
      <c r="I792" s="302">
        <v>7.8183738569654271E-2</v>
      </c>
      <c r="J792" s="302">
        <f t="shared" ref="J792:J794" si="344">SUM(G792:I792)</f>
        <v>2.4303104161153732</v>
      </c>
      <c r="K792" s="303"/>
      <c r="L792" s="302">
        <v>2.8391930454719403</v>
      </c>
      <c r="M792" s="302">
        <v>0.10134775882761952</v>
      </c>
      <c r="N792" s="302">
        <v>7.6283491848919235E-2</v>
      </c>
      <c r="O792" s="302">
        <f t="shared" ref="O792:O799" si="345">SUM(L792:N792)</f>
        <v>3.0168242961484788</v>
      </c>
    </row>
    <row r="793" spans="1:15" s="236" customFormat="1" x14ac:dyDescent="0.2">
      <c r="A793" s="237" t="str">
        <f>name!E$6</f>
        <v>Associate professional occupations</v>
      </c>
      <c r="B793" s="302">
        <v>0.64357994649533712</v>
      </c>
      <c r="C793" s="302">
        <v>5.3474220505795221E-2</v>
      </c>
      <c r="D793" s="302">
        <v>0.12480205418935679</v>
      </c>
      <c r="E793" s="302">
        <f t="shared" si="343"/>
        <v>0.82185622119048907</v>
      </c>
      <c r="F793" s="303"/>
      <c r="G793" s="302">
        <v>0.7540157802878471</v>
      </c>
      <c r="H793" s="302">
        <v>7.3119048936135203E-2</v>
      </c>
      <c r="I793" s="302">
        <v>7.2903832633495078E-2</v>
      </c>
      <c r="J793" s="302">
        <f t="shared" si="344"/>
        <v>0.90003866185747738</v>
      </c>
      <c r="K793" s="303"/>
      <c r="L793" s="302">
        <v>0.7891266828290544</v>
      </c>
      <c r="M793" s="302">
        <v>8.2273230699416333E-2</v>
      </c>
      <c r="N793" s="302">
        <v>8.099615085195927E-2</v>
      </c>
      <c r="O793" s="302">
        <f t="shared" si="345"/>
        <v>0.9523960643804299</v>
      </c>
    </row>
    <row r="794" spans="1:15" s="236" customFormat="1" x14ac:dyDescent="0.2">
      <c r="A794" s="237" t="str">
        <f>name!E$7</f>
        <v>Administrative and secretarial occupations</v>
      </c>
      <c r="B794" s="302">
        <v>0.24211336339515843</v>
      </c>
      <c r="C794" s="302">
        <v>0.11101369153357649</v>
      </c>
      <c r="D794" s="302">
        <v>1.8589614771481546E-2</v>
      </c>
      <c r="E794" s="302">
        <f t="shared" si="343"/>
        <v>0.37171666970021644</v>
      </c>
      <c r="F794" s="303"/>
      <c r="G794" s="302">
        <v>0.2135847128685566</v>
      </c>
      <c r="H794" s="302">
        <v>0.1162853444086319</v>
      </c>
      <c r="I794" s="302">
        <v>1.34074211323336E-2</v>
      </c>
      <c r="J794" s="302">
        <f t="shared" si="344"/>
        <v>0.34327747840952211</v>
      </c>
      <c r="K794" s="303"/>
      <c r="L794" s="302">
        <v>0.18145344775817529</v>
      </c>
      <c r="M794" s="302">
        <v>0.10610529114778459</v>
      </c>
      <c r="N794" s="302">
        <v>8.6370274189389792E-3</v>
      </c>
      <c r="O794" s="302">
        <f t="shared" si="345"/>
        <v>0.29619576632489886</v>
      </c>
    </row>
    <row r="795" spans="1:15" s="236" customFormat="1" x14ac:dyDescent="0.2">
      <c r="A795" s="237" t="str">
        <f>name!E$8</f>
        <v>Skilled trades occupations</v>
      </c>
      <c r="B795" s="302">
        <v>0.21996347923634657</v>
      </c>
      <c r="C795" s="302">
        <v>1.8396829967397048E-2</v>
      </c>
      <c r="D795" s="302">
        <v>7.5984955560310083E-2</v>
      </c>
      <c r="E795" s="302">
        <f t="shared" si="343"/>
        <v>0.31434526476405372</v>
      </c>
      <c r="F795" s="303"/>
      <c r="G795" s="302">
        <v>0.19953355687535071</v>
      </c>
      <c r="H795" s="302">
        <v>1.591139945503146E-2</v>
      </c>
      <c r="I795" s="302">
        <v>2.7543448495304861E-2</v>
      </c>
      <c r="J795" s="302">
        <f>SUM(G795:I795)</f>
        <v>0.24298840482568701</v>
      </c>
      <c r="K795" s="303"/>
      <c r="L795" s="302">
        <v>0.1541087729729273</v>
      </c>
      <c r="M795" s="302">
        <v>2.2686413357916425E-2</v>
      </c>
      <c r="N795" s="302">
        <v>4.1278265002473453E-2</v>
      </c>
      <c r="O795" s="302">
        <f t="shared" si="345"/>
        <v>0.21807345133331718</v>
      </c>
    </row>
    <row r="796" spans="1:15" s="236" customFormat="1" x14ac:dyDescent="0.2">
      <c r="A796" s="237" t="str">
        <f>name!E$9</f>
        <v>Caring, leisure and other service occupations</v>
      </c>
      <c r="B796" s="302">
        <v>0.13088602731843033</v>
      </c>
      <c r="C796" s="302">
        <v>5.4157283861652743E-2</v>
      </c>
      <c r="D796" s="302">
        <v>2.7853396306358292E-2</v>
      </c>
      <c r="E796" s="302">
        <f t="shared" si="343"/>
        <v>0.21289670748644138</v>
      </c>
      <c r="F796" s="303"/>
      <c r="G796" s="302">
        <v>0.12658669920665044</v>
      </c>
      <c r="H796" s="302">
        <v>7.0534824860702311E-2</v>
      </c>
      <c r="I796" s="302">
        <v>2.1101875495489888E-2</v>
      </c>
      <c r="J796" s="302">
        <f t="shared" ref="J796:J799" si="346">SUM(G796:I796)</f>
        <v>0.21822339956284265</v>
      </c>
      <c r="K796" s="303"/>
      <c r="L796" s="302">
        <v>0.18893095547604463</v>
      </c>
      <c r="M796" s="302">
        <v>0.10312552268943978</v>
      </c>
      <c r="N796" s="302">
        <v>3.0982708643837311E-2</v>
      </c>
      <c r="O796" s="302">
        <f t="shared" si="345"/>
        <v>0.3230391868093217</v>
      </c>
    </row>
    <row r="797" spans="1:15" s="236" customFormat="1" x14ac:dyDescent="0.2">
      <c r="A797" s="237" t="str">
        <f>name!E$10</f>
        <v>Sales and customer service occupations</v>
      </c>
      <c r="B797" s="302">
        <v>0.10538051544247004</v>
      </c>
      <c r="C797" s="302">
        <v>4.2132605652700952E-2</v>
      </c>
      <c r="D797" s="302">
        <v>1.7837410883583212E-2</v>
      </c>
      <c r="E797" s="302">
        <f t="shared" si="343"/>
        <v>0.16535053197875421</v>
      </c>
      <c r="F797" s="303"/>
      <c r="G797" s="302">
        <v>9.4479950775095037E-2</v>
      </c>
      <c r="H797" s="302">
        <v>5.9292937431214471E-2</v>
      </c>
      <c r="I797" s="302">
        <v>7.8869145737261899E-3</v>
      </c>
      <c r="J797" s="302">
        <f t="shared" si="346"/>
        <v>0.16165980278003572</v>
      </c>
      <c r="K797" s="303"/>
      <c r="L797" s="302">
        <v>0.11644711765083167</v>
      </c>
      <c r="M797" s="302">
        <v>0.10511210037111555</v>
      </c>
      <c r="N797" s="302">
        <v>1.087115267472934E-2</v>
      </c>
      <c r="O797" s="302">
        <f t="shared" si="345"/>
        <v>0.23243037069667657</v>
      </c>
    </row>
    <row r="798" spans="1:15" s="236" customFormat="1" x14ac:dyDescent="0.2">
      <c r="A798" s="237" t="str">
        <f>name!E$11</f>
        <v>Process, plant and machine operatives</v>
      </c>
      <c r="B798" s="302">
        <v>7.4049665234741921E-2</v>
      </c>
      <c r="C798" s="302">
        <v>2.5727367224219672E-2</v>
      </c>
      <c r="D798" s="302">
        <v>1.6765223145236725E-2</v>
      </c>
      <c r="E798" s="302">
        <f t="shared" si="343"/>
        <v>0.11654225560419831</v>
      </c>
      <c r="F798" s="303"/>
      <c r="G798" s="302">
        <v>5.9449412124212911E-2</v>
      </c>
      <c r="H798" s="302">
        <v>3.8659931901685186E-2</v>
      </c>
      <c r="I798" s="302">
        <v>8.1145077977502131E-3</v>
      </c>
      <c r="J798" s="302">
        <f t="shared" si="346"/>
        <v>0.10622385182364832</v>
      </c>
      <c r="K798" s="303"/>
      <c r="L798" s="302">
        <v>5.9207717547017626E-2</v>
      </c>
      <c r="M798" s="302">
        <v>5.2403016817875979E-2</v>
      </c>
      <c r="N798" s="302">
        <v>1.0760170007323254E-2</v>
      </c>
      <c r="O798" s="302">
        <f t="shared" si="345"/>
        <v>0.12237090437221686</v>
      </c>
    </row>
    <row r="799" spans="1:15" s="236" customFormat="1" x14ac:dyDescent="0.2">
      <c r="A799" s="237" t="str">
        <f>name!E$12</f>
        <v>Elementary occupations</v>
      </c>
      <c r="B799" s="302">
        <v>0.39855734883366029</v>
      </c>
      <c r="C799" s="302">
        <v>0.20052820600331275</v>
      </c>
      <c r="D799" s="302">
        <v>4.8549523694399542E-2</v>
      </c>
      <c r="E799" s="302">
        <f t="shared" si="343"/>
        <v>0.64763507853137259</v>
      </c>
      <c r="F799" s="303"/>
      <c r="G799" s="302">
        <v>0.34961025143426605</v>
      </c>
      <c r="H799" s="302">
        <v>0.21781828218088217</v>
      </c>
      <c r="I799" s="302">
        <v>2.5169823668937122E-2</v>
      </c>
      <c r="J799" s="302">
        <f t="shared" si="346"/>
        <v>0.59259835728408539</v>
      </c>
      <c r="K799" s="303"/>
      <c r="L799" s="302">
        <v>0.3716230033338343</v>
      </c>
      <c r="M799" s="302">
        <v>0.17721359901607822</v>
      </c>
      <c r="N799" s="302">
        <v>3.3419735820900277E-2</v>
      </c>
      <c r="O799" s="302">
        <f t="shared" si="345"/>
        <v>0.58225633817081279</v>
      </c>
    </row>
    <row r="800" spans="1:15" s="236" customFormat="1" x14ac:dyDescent="0.2">
      <c r="A800" s="237"/>
      <c r="B800" s="302"/>
      <c r="C800" s="302"/>
      <c r="D800" s="302"/>
      <c r="E800" s="302"/>
      <c r="F800" s="303"/>
      <c r="G800" s="302"/>
      <c r="H800" s="302"/>
      <c r="I800" s="302"/>
      <c r="J800" s="302"/>
      <c r="K800" s="303"/>
      <c r="L800" s="302"/>
      <c r="M800" s="302"/>
      <c r="N800" s="302"/>
      <c r="O800" s="302"/>
    </row>
    <row r="801" spans="1:15" s="236" customFormat="1" x14ac:dyDescent="0.2">
      <c r="A801" s="244" t="s">
        <v>32</v>
      </c>
      <c r="B801" s="311">
        <f>SUM(B791:B799)</f>
        <v>4.1670000000149807</v>
      </c>
      <c r="C801" s="311">
        <f t="shared" ref="C801:E801" si="347">SUM(C791:C799)</f>
        <v>0.59500000000094388</v>
      </c>
      <c r="D801" s="311">
        <f t="shared" si="347"/>
        <v>0.59800000001164677</v>
      </c>
      <c r="E801" s="311">
        <f t="shared" si="347"/>
        <v>5.360000000027572</v>
      </c>
      <c r="F801" s="311"/>
      <c r="G801" s="311">
        <f t="shared" ref="G801:J801" si="348">SUM(G791:G799)</f>
        <v>4.7799999999128673</v>
      </c>
      <c r="H801" s="311">
        <f t="shared" si="348"/>
        <v>0.73700000000254573</v>
      </c>
      <c r="I801" s="311">
        <f t="shared" si="348"/>
        <v>0.30999999999680772</v>
      </c>
      <c r="J801" s="311">
        <f t="shared" si="348"/>
        <v>5.8269999999122213</v>
      </c>
      <c r="K801" s="311"/>
      <c r="L801" s="311">
        <f t="shared" ref="L801:O801" si="349">SUM(L791:L799)</f>
        <v>5.4869999999145733</v>
      </c>
      <c r="M801" s="311">
        <f t="shared" si="349"/>
        <v>0.83600000000053598</v>
      </c>
      <c r="N801" s="311">
        <f t="shared" si="349"/>
        <v>0.3650000000041263</v>
      </c>
      <c r="O801" s="311">
        <f t="shared" si="349"/>
        <v>6.687999999919235</v>
      </c>
    </row>
    <row r="802" spans="1:15" s="236" customFormat="1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40"/>
    </row>
    <row r="803" spans="1:15" s="236" customFormat="1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40"/>
      <c r="O803" s="251" t="s">
        <v>35</v>
      </c>
    </row>
    <row r="804" spans="1:15" s="236" customFormat="1" x14ac:dyDescent="0.2">
      <c r="A804" s="242"/>
      <c r="B804" s="242"/>
      <c r="C804" s="242"/>
      <c r="D804" s="242"/>
      <c r="E804" s="242"/>
      <c r="F804" s="242"/>
      <c r="G804" s="242"/>
      <c r="H804" s="242"/>
      <c r="I804" s="242"/>
      <c r="J804" s="242"/>
      <c r="K804" s="242"/>
      <c r="L804" s="242"/>
      <c r="M804" s="242"/>
      <c r="N804" s="242"/>
      <c r="O804" s="242"/>
    </row>
    <row r="805" spans="1:15" s="236" customFormat="1" x14ac:dyDescent="0.2">
      <c r="A805" s="241" t="str">
        <f>name!A50</f>
        <v>Financial services</v>
      </c>
      <c r="B805" s="374">
        <f>$B$6</f>
        <v>2015</v>
      </c>
      <c r="C805" s="374"/>
      <c r="D805" s="374"/>
      <c r="E805" s="374"/>
      <c r="F805" s="263"/>
      <c r="G805" s="374">
        <f>$G$6</f>
        <v>2020</v>
      </c>
      <c r="H805" s="374"/>
      <c r="I805" s="374"/>
      <c r="J805" s="374"/>
      <c r="K805" s="263"/>
      <c r="L805" s="374">
        <f>$L$6</f>
        <v>2035</v>
      </c>
      <c r="M805" s="374"/>
      <c r="N805" s="374"/>
      <c r="O805" s="374"/>
    </row>
    <row r="806" spans="1:15" s="236" customFormat="1" x14ac:dyDescent="0.2">
      <c r="A806" s="254"/>
      <c r="B806" s="268" t="str">
        <f>$B$7</f>
        <v>FT</v>
      </c>
      <c r="C806" s="268" t="str">
        <f>$C$7</f>
        <v>PT</v>
      </c>
      <c r="D806" s="268" t="str">
        <f>$D$7</f>
        <v>SE</v>
      </c>
      <c r="E806" s="268" t="str">
        <f>$E$7</f>
        <v>Total</v>
      </c>
      <c r="F806" s="268"/>
      <c r="G806" s="268" t="str">
        <f>$G$7</f>
        <v>FT</v>
      </c>
      <c r="H806" s="268" t="str">
        <f>$H$7</f>
        <v>PT</v>
      </c>
      <c r="I806" s="268" t="str">
        <f>$I$7</f>
        <v>SE</v>
      </c>
      <c r="J806" s="268" t="str">
        <f>$J$7</f>
        <v>Total</v>
      </c>
      <c r="K806" s="268"/>
      <c r="L806" s="268" t="str">
        <f>$L$7</f>
        <v>FT</v>
      </c>
      <c r="M806" s="268" t="str">
        <f>$M$7</f>
        <v>PT</v>
      </c>
      <c r="N806" s="268" t="str">
        <f>$N$7</f>
        <v>SE</v>
      </c>
      <c r="O806" s="268" t="str">
        <f>$O$7</f>
        <v>Total</v>
      </c>
    </row>
    <row r="807" spans="1:15" s="236" customFormat="1" x14ac:dyDescent="0.2">
      <c r="A807" s="258"/>
      <c r="B807" s="239"/>
      <c r="C807" s="239"/>
      <c r="D807" s="239"/>
      <c r="E807" s="239"/>
      <c r="F807" s="239"/>
      <c r="G807" s="239"/>
      <c r="H807" s="239"/>
      <c r="I807" s="239"/>
      <c r="J807" s="239"/>
      <c r="K807" s="239"/>
      <c r="L807" s="239"/>
      <c r="M807" s="239"/>
      <c r="N807" s="239"/>
      <c r="O807" s="239"/>
    </row>
    <row r="808" spans="1:15" s="236" customFormat="1" x14ac:dyDescent="0.2">
      <c r="A808" s="237" t="str">
        <f>name!E$4</f>
        <v>Managers, directors and senior officials</v>
      </c>
      <c r="B808" s="302">
        <v>3.3955051474389641</v>
      </c>
      <c r="C808" s="302">
        <v>0.32423226331703742</v>
      </c>
      <c r="D808" s="302">
        <v>0.69432018345476121</v>
      </c>
      <c r="E808" s="302">
        <f>SUM(B808:D808)</f>
        <v>4.4140575942107629</v>
      </c>
      <c r="F808" s="303"/>
      <c r="G808" s="302">
        <v>3.4676485808301867</v>
      </c>
      <c r="H808" s="302">
        <v>0.44622989278482206</v>
      </c>
      <c r="I808" s="302">
        <v>0.13545894262194616</v>
      </c>
      <c r="J808" s="302">
        <f>SUM(G808:I808)</f>
        <v>4.0493374162369555</v>
      </c>
      <c r="K808" s="303"/>
      <c r="L808" s="302">
        <v>3.1281541669179398</v>
      </c>
      <c r="M808" s="302">
        <v>0.50539846294131741</v>
      </c>
      <c r="N808" s="302">
        <v>0.12477084356018057</v>
      </c>
      <c r="O808" s="302">
        <f>SUM(L808:N808)</f>
        <v>3.7583234734194377</v>
      </c>
    </row>
    <row r="809" spans="1:15" s="236" customFormat="1" x14ac:dyDescent="0.2">
      <c r="A809" s="237" t="str">
        <f>name!E$5</f>
        <v>Professional occupations</v>
      </c>
      <c r="B809" s="302">
        <v>3.6455821586583581</v>
      </c>
      <c r="C809" s="302">
        <v>0.19955236371470189</v>
      </c>
      <c r="D809" s="302">
        <v>0.63460342570654138</v>
      </c>
      <c r="E809" s="302">
        <f t="shared" ref="E809:E816" si="350">SUM(B809:D809)</f>
        <v>4.4797379480796016</v>
      </c>
      <c r="F809" s="303"/>
      <c r="G809" s="302">
        <v>4.3205852328729648</v>
      </c>
      <c r="H809" s="302">
        <v>0.2530133815457084</v>
      </c>
      <c r="I809" s="302">
        <v>0.11566322591133563</v>
      </c>
      <c r="J809" s="302">
        <f t="shared" ref="J809:J811" si="351">SUM(G809:I809)</f>
        <v>4.6892618403300084</v>
      </c>
      <c r="K809" s="303"/>
      <c r="L809" s="302">
        <v>4.8630910308282189</v>
      </c>
      <c r="M809" s="302">
        <v>0.28054764731164955</v>
      </c>
      <c r="N809" s="302">
        <v>9.1252896473437983E-2</v>
      </c>
      <c r="O809" s="302">
        <f t="shared" ref="O809:O816" si="352">SUM(L809:N809)</f>
        <v>5.2348915746133065</v>
      </c>
    </row>
    <row r="810" spans="1:15" s="236" customFormat="1" x14ac:dyDescent="0.2">
      <c r="A810" s="237" t="str">
        <f>name!E$6</f>
        <v>Associate professional occupations</v>
      </c>
      <c r="B810" s="302">
        <v>3.4329062696838353</v>
      </c>
      <c r="C810" s="302">
        <v>0.49875895669235887</v>
      </c>
      <c r="D810" s="302">
        <v>0.51466237307861851</v>
      </c>
      <c r="E810" s="302">
        <f t="shared" si="350"/>
        <v>4.4463275994548122</v>
      </c>
      <c r="F810" s="303"/>
      <c r="G810" s="302">
        <v>3.4986235127012502</v>
      </c>
      <c r="H810" s="302">
        <v>0.49239030252019961</v>
      </c>
      <c r="I810" s="302">
        <v>8.5462395580361381E-2</v>
      </c>
      <c r="J810" s="302">
        <f t="shared" si="351"/>
        <v>4.0764762108018111</v>
      </c>
      <c r="K810" s="303"/>
      <c r="L810" s="302">
        <v>3.0277880315273848</v>
      </c>
      <c r="M810" s="302">
        <v>0.50093233668640225</v>
      </c>
      <c r="N810" s="302">
        <v>6.1286001725368196E-2</v>
      </c>
      <c r="O810" s="302">
        <f t="shared" si="352"/>
        <v>3.5900063699391556</v>
      </c>
    </row>
    <row r="811" spans="1:15" s="236" customFormat="1" x14ac:dyDescent="0.2">
      <c r="A811" s="237" t="str">
        <f>name!E$7</f>
        <v>Administrative and secretarial occupations</v>
      </c>
      <c r="B811" s="302">
        <v>4.2739752365225456</v>
      </c>
      <c r="C811" s="302">
        <v>2.6684741247536934</v>
      </c>
      <c r="D811" s="302">
        <v>7.213035749705983E-2</v>
      </c>
      <c r="E811" s="302">
        <f t="shared" si="350"/>
        <v>7.014579718773299</v>
      </c>
      <c r="F811" s="303"/>
      <c r="G811" s="302">
        <v>3.5590353850915091</v>
      </c>
      <c r="H811" s="302">
        <v>2.2456223216737561</v>
      </c>
      <c r="I811" s="302">
        <v>1.8554845549958482E-2</v>
      </c>
      <c r="J811" s="302">
        <f t="shared" si="351"/>
        <v>5.8232125523152245</v>
      </c>
      <c r="K811" s="303"/>
      <c r="L811" s="302">
        <v>2.5685049034083001</v>
      </c>
      <c r="M811" s="302">
        <v>1.6977648709997952</v>
      </c>
      <c r="N811" s="302">
        <v>1.5351910633043633E-2</v>
      </c>
      <c r="O811" s="302">
        <f t="shared" si="352"/>
        <v>4.2816216850411388</v>
      </c>
    </row>
    <row r="812" spans="1:15" s="236" customFormat="1" x14ac:dyDescent="0.2">
      <c r="A812" s="237" t="str">
        <f>name!E$8</f>
        <v>Skilled trades occupations</v>
      </c>
      <c r="B812" s="302">
        <v>0.22703763233637109</v>
      </c>
      <c r="C812" s="302">
        <v>1.9086580095593341E-2</v>
      </c>
      <c r="D812" s="302">
        <v>0.11712975197974683</v>
      </c>
      <c r="E812" s="302">
        <f t="shared" si="350"/>
        <v>0.36325396441171126</v>
      </c>
      <c r="F812" s="303"/>
      <c r="G812" s="302">
        <v>0.16776184718292786</v>
      </c>
      <c r="H812" s="302">
        <v>1.5741271477954139E-2</v>
      </c>
      <c r="I812" s="302">
        <v>1.7643307111126477E-2</v>
      </c>
      <c r="J812" s="302">
        <f>SUM(G812:I812)</f>
        <v>0.20114642577200847</v>
      </c>
      <c r="K812" s="303"/>
      <c r="L812" s="302">
        <v>0.15241952069905215</v>
      </c>
      <c r="M812" s="302">
        <v>2.5440468769431436E-2</v>
      </c>
      <c r="N812" s="302">
        <v>1.6859830137378833E-2</v>
      </c>
      <c r="O812" s="302">
        <f t="shared" si="352"/>
        <v>0.1947198196058624</v>
      </c>
    </row>
    <row r="813" spans="1:15" s="236" customFormat="1" x14ac:dyDescent="0.2">
      <c r="A813" s="237" t="str">
        <f>name!E$9</f>
        <v>Caring, leisure and other service occupations</v>
      </c>
      <c r="B813" s="302">
        <v>3.7931351506809874E-2</v>
      </c>
      <c r="C813" s="302">
        <v>9.1839991089310239E-3</v>
      </c>
      <c r="D813" s="302">
        <v>5.8056002062676915E-2</v>
      </c>
      <c r="E813" s="302">
        <f t="shared" si="350"/>
        <v>0.10517135267841782</v>
      </c>
      <c r="F813" s="303"/>
      <c r="G813" s="302">
        <v>3.1767412133320232E-2</v>
      </c>
      <c r="H813" s="302">
        <v>7.8670230028522314E-3</v>
      </c>
      <c r="I813" s="302">
        <v>1.3928623261076963E-2</v>
      </c>
      <c r="J813" s="302">
        <f t="shared" ref="J813:J816" si="353">SUM(G813:I813)</f>
        <v>5.3563058397249425E-2</v>
      </c>
      <c r="K813" s="303"/>
      <c r="L813" s="302">
        <v>2.9978446471335091E-2</v>
      </c>
      <c r="M813" s="302">
        <v>6.3532055732766889E-3</v>
      </c>
      <c r="N813" s="302">
        <v>1.8621011758719466E-2</v>
      </c>
      <c r="O813" s="302">
        <f t="shared" si="352"/>
        <v>5.4952663803331248E-2</v>
      </c>
    </row>
    <row r="814" spans="1:15" s="236" customFormat="1" x14ac:dyDescent="0.2">
      <c r="A814" s="237" t="str">
        <f>name!E$10</f>
        <v>Sales and customer service occupations</v>
      </c>
      <c r="B814" s="302">
        <v>0.88467400655468553</v>
      </c>
      <c r="C814" s="302">
        <v>0.65773335453929482</v>
      </c>
      <c r="D814" s="302">
        <v>0.44080957378783275</v>
      </c>
      <c r="E814" s="302">
        <f t="shared" si="350"/>
        <v>1.9832169348818132</v>
      </c>
      <c r="F814" s="303"/>
      <c r="G814" s="302">
        <v>0.73831585772003361</v>
      </c>
      <c r="H814" s="302">
        <v>0.63748118030480216</v>
      </c>
      <c r="I814" s="302">
        <v>0.13049435363855172</v>
      </c>
      <c r="J814" s="302">
        <f t="shared" si="353"/>
        <v>1.5062913916633873</v>
      </c>
      <c r="K814" s="303"/>
      <c r="L814" s="302">
        <v>0.75980065971505728</v>
      </c>
      <c r="M814" s="302">
        <v>0.7194187373284332</v>
      </c>
      <c r="N814" s="302">
        <v>9.6374977158907721E-2</v>
      </c>
      <c r="O814" s="302">
        <f t="shared" si="352"/>
        <v>1.5755943742023983</v>
      </c>
    </row>
    <row r="815" spans="1:15" s="236" customFormat="1" x14ac:dyDescent="0.2">
      <c r="A815" s="237" t="str">
        <f>name!E$11</f>
        <v>Process, plant and machine operatives</v>
      </c>
      <c r="B815" s="302">
        <v>6.128063745132574E-2</v>
      </c>
      <c r="C815" s="302">
        <v>1.0278313205329197E-2</v>
      </c>
      <c r="D815" s="302">
        <v>3.0009517168131317E-2</v>
      </c>
      <c r="E815" s="302">
        <f t="shared" si="350"/>
        <v>0.10156846782478625</v>
      </c>
      <c r="F815" s="303"/>
      <c r="G815" s="302">
        <v>4.2988889290369599E-2</v>
      </c>
      <c r="H815" s="302">
        <v>1.3121185492017701E-2</v>
      </c>
      <c r="I815" s="302">
        <v>6.3190470174852012E-3</v>
      </c>
      <c r="J815" s="302">
        <f t="shared" si="353"/>
        <v>6.2429121799872506E-2</v>
      </c>
      <c r="K815" s="303"/>
      <c r="L815" s="302">
        <v>4.2001833443426721E-2</v>
      </c>
      <c r="M815" s="302">
        <v>1.9858100600290442E-2</v>
      </c>
      <c r="N815" s="302">
        <v>7.0952804020081202E-3</v>
      </c>
      <c r="O815" s="302">
        <f t="shared" si="352"/>
        <v>6.8955214445725277E-2</v>
      </c>
    </row>
    <row r="816" spans="1:15" s="236" customFormat="1" x14ac:dyDescent="0.2">
      <c r="A816" s="237" t="str">
        <f>name!E$12</f>
        <v>Elementary occupations</v>
      </c>
      <c r="B816" s="302">
        <v>0.13410755975543731</v>
      </c>
      <c r="C816" s="302">
        <v>3.270004460588604E-2</v>
      </c>
      <c r="D816" s="302">
        <v>9.0278815343010993E-2</v>
      </c>
      <c r="E816" s="302">
        <f t="shared" si="350"/>
        <v>0.25708641970433432</v>
      </c>
      <c r="F816" s="303"/>
      <c r="G816" s="302">
        <v>9.7273281874174444E-2</v>
      </c>
      <c r="H816" s="302">
        <v>2.9533441228301722E-2</v>
      </c>
      <c r="I816" s="302">
        <v>2.7475259304991808E-2</v>
      </c>
      <c r="J816" s="302">
        <f t="shared" si="353"/>
        <v>0.15428198240746799</v>
      </c>
      <c r="K816" s="303"/>
      <c r="L816" s="302">
        <v>8.3261406925801265E-2</v>
      </c>
      <c r="M816" s="302">
        <v>2.1286169799611909E-2</v>
      </c>
      <c r="N816" s="302">
        <v>2.7387248158765563E-2</v>
      </c>
      <c r="O816" s="302">
        <f t="shared" si="352"/>
        <v>0.13193482488417874</v>
      </c>
    </row>
    <row r="817" spans="1:15" s="236" customFormat="1" x14ac:dyDescent="0.2">
      <c r="A817" s="237"/>
      <c r="B817" s="302"/>
      <c r="C817" s="302"/>
      <c r="D817" s="302"/>
      <c r="E817" s="302"/>
      <c r="F817" s="303"/>
      <c r="G817" s="302"/>
      <c r="H817" s="302"/>
      <c r="I817" s="302"/>
      <c r="J817" s="302"/>
      <c r="K817" s="303"/>
      <c r="L817" s="302"/>
      <c r="M817" s="302"/>
      <c r="N817" s="302"/>
      <c r="O817" s="302"/>
    </row>
    <row r="818" spans="1:15" s="236" customFormat="1" x14ac:dyDescent="0.2">
      <c r="A818" s="244" t="s">
        <v>32</v>
      </c>
      <c r="B818" s="311">
        <f>SUM(B808:B816)</f>
        <v>16.092999999908333</v>
      </c>
      <c r="C818" s="311">
        <f t="shared" ref="C818:E818" si="354">SUM(C808:C816)</f>
        <v>4.4200000000328261</v>
      </c>
      <c r="D818" s="311">
        <f t="shared" si="354"/>
        <v>2.6520000000783792</v>
      </c>
      <c r="E818" s="311">
        <f t="shared" si="354"/>
        <v>23.165000000019539</v>
      </c>
      <c r="F818" s="311"/>
      <c r="G818" s="311">
        <f t="shared" ref="G818:J818" si="355">SUM(G808:G816)</f>
        <v>15.923999999696736</v>
      </c>
      <c r="H818" s="311">
        <f t="shared" si="355"/>
        <v>4.1410000000304148</v>
      </c>
      <c r="I818" s="311">
        <f t="shared" si="355"/>
        <v>0.55099999999683391</v>
      </c>
      <c r="J818" s="311">
        <f t="shared" si="355"/>
        <v>20.615999999723986</v>
      </c>
      <c r="K818" s="311"/>
      <c r="L818" s="311">
        <f t="shared" ref="L818:O818" si="356">SUM(L808:L816)</f>
        <v>14.654999999936516</v>
      </c>
      <c r="M818" s="311">
        <f t="shared" si="356"/>
        <v>3.7770000000102084</v>
      </c>
      <c r="N818" s="311">
        <f t="shared" si="356"/>
        <v>0.45900000000781016</v>
      </c>
      <c r="O818" s="311">
        <f t="shared" si="356"/>
        <v>18.890999999954538</v>
      </c>
    </row>
    <row r="819" spans="1:15" s="236" customFormat="1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40"/>
    </row>
    <row r="820" spans="1:15" s="236" customFormat="1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40"/>
      <c r="O820" s="251" t="s">
        <v>35</v>
      </c>
    </row>
    <row r="821" spans="1:15" s="236" customFormat="1" x14ac:dyDescent="0.2">
      <c r="A821" s="242"/>
      <c r="B821" s="242"/>
      <c r="C821" s="242"/>
      <c r="D821" s="242"/>
      <c r="E821" s="242"/>
      <c r="F821" s="242"/>
      <c r="G821" s="242"/>
      <c r="H821" s="242"/>
      <c r="I821" s="242"/>
      <c r="J821" s="242"/>
      <c r="K821" s="242"/>
      <c r="L821" s="242"/>
      <c r="M821" s="242"/>
      <c r="N821" s="242"/>
      <c r="O821" s="242"/>
    </row>
    <row r="822" spans="1:15" s="236" customFormat="1" x14ac:dyDescent="0.2">
      <c r="A822" s="241" t="str">
        <f>name!A51</f>
        <v>Insurance and pensions</v>
      </c>
      <c r="B822" s="374">
        <f>$B$6</f>
        <v>2015</v>
      </c>
      <c r="C822" s="374"/>
      <c r="D822" s="374"/>
      <c r="E822" s="374"/>
      <c r="F822" s="263"/>
      <c r="G822" s="374">
        <f>$G$6</f>
        <v>2020</v>
      </c>
      <c r="H822" s="374"/>
      <c r="I822" s="374"/>
      <c r="J822" s="374"/>
      <c r="K822" s="263"/>
      <c r="L822" s="374">
        <f>$L$6</f>
        <v>2035</v>
      </c>
      <c r="M822" s="374"/>
      <c r="N822" s="374"/>
      <c r="O822" s="374"/>
    </row>
    <row r="823" spans="1:15" s="236" customFormat="1" x14ac:dyDescent="0.2">
      <c r="A823" s="254"/>
      <c r="B823" s="268" t="str">
        <f>$B$7</f>
        <v>FT</v>
      </c>
      <c r="C823" s="268" t="str">
        <f>$C$7</f>
        <v>PT</v>
      </c>
      <c r="D823" s="268" t="str">
        <f>$D$7</f>
        <v>SE</v>
      </c>
      <c r="E823" s="268" t="str">
        <f>$E$7</f>
        <v>Total</v>
      </c>
      <c r="F823" s="268"/>
      <c r="G823" s="268" t="str">
        <f>$G$7</f>
        <v>FT</v>
      </c>
      <c r="H823" s="268" t="str">
        <f>$H$7</f>
        <v>PT</v>
      </c>
      <c r="I823" s="268" t="str">
        <f>$I$7</f>
        <v>SE</v>
      </c>
      <c r="J823" s="268" t="str">
        <f>$J$7</f>
        <v>Total</v>
      </c>
      <c r="K823" s="268"/>
      <c r="L823" s="268" t="str">
        <f>$L$7</f>
        <v>FT</v>
      </c>
      <c r="M823" s="268" t="str">
        <f>$M$7</f>
        <v>PT</v>
      </c>
      <c r="N823" s="268" t="str">
        <f>$N$7</f>
        <v>SE</v>
      </c>
      <c r="O823" s="268" t="str">
        <f>$O$7</f>
        <v>Total</v>
      </c>
    </row>
    <row r="824" spans="1:15" s="236" customFormat="1" x14ac:dyDescent="0.2">
      <c r="A824" s="258"/>
      <c r="B824" s="239"/>
      <c r="C824" s="239"/>
      <c r="D824" s="239"/>
      <c r="E824" s="239"/>
      <c r="F824" s="239"/>
      <c r="G824" s="239"/>
      <c r="H824" s="239"/>
      <c r="I824" s="239"/>
      <c r="J824" s="239"/>
      <c r="K824" s="239"/>
      <c r="L824" s="239"/>
      <c r="M824" s="239"/>
      <c r="N824" s="239"/>
      <c r="O824" s="239"/>
    </row>
    <row r="825" spans="1:15" s="236" customFormat="1" x14ac:dyDescent="0.2">
      <c r="A825" s="237" t="str">
        <f>name!E$4</f>
        <v>Managers, directors and senior officials</v>
      </c>
      <c r="B825" s="302">
        <v>0.19234482227106373</v>
      </c>
      <c r="C825" s="302">
        <v>1.2536016426686735E-2</v>
      </c>
      <c r="D825" s="302">
        <v>2.4751872823809792E-2</v>
      </c>
      <c r="E825" s="302">
        <f>SUM(B825:D825)</f>
        <v>0.22963271152156023</v>
      </c>
      <c r="F825" s="303"/>
      <c r="G825" s="302">
        <v>0.43073344306854733</v>
      </c>
      <c r="H825" s="302">
        <v>5.2789405933863331E-2</v>
      </c>
      <c r="I825" s="302">
        <v>1.586171894817192E-2</v>
      </c>
      <c r="J825" s="302">
        <f>SUM(G825:I825)</f>
        <v>0.49938456795058256</v>
      </c>
      <c r="K825" s="303"/>
      <c r="L825" s="302">
        <v>0.41251329643173162</v>
      </c>
      <c r="M825" s="302">
        <v>5.7001496880789614E-2</v>
      </c>
      <c r="N825" s="302">
        <v>1.0693700553332791E-2</v>
      </c>
      <c r="O825" s="302">
        <f>SUM(L825:N825)</f>
        <v>0.48020849386585401</v>
      </c>
    </row>
    <row r="826" spans="1:15" s="236" customFormat="1" x14ac:dyDescent="0.2">
      <c r="A826" s="237" t="str">
        <f>name!E$5</f>
        <v>Professional occupations</v>
      </c>
      <c r="B826" s="302">
        <v>0.36622802254553177</v>
      </c>
      <c r="C826" s="302">
        <v>1.9332857465386245E-2</v>
      </c>
      <c r="D826" s="302">
        <v>2.5496906722900347E-2</v>
      </c>
      <c r="E826" s="302">
        <f t="shared" ref="E826:E833" si="357">SUM(B826:D826)</f>
        <v>0.41105778673381838</v>
      </c>
      <c r="F826" s="303"/>
      <c r="G826" s="302">
        <v>0.94970441700002095</v>
      </c>
      <c r="H826" s="302">
        <v>7.0212149235045748E-2</v>
      </c>
      <c r="I826" s="302">
        <v>1.4303768184523637E-2</v>
      </c>
      <c r="J826" s="302">
        <f t="shared" ref="J826:J828" si="358">SUM(G826:I826)</f>
        <v>1.0342203344195904</v>
      </c>
      <c r="K826" s="303"/>
      <c r="L826" s="302">
        <v>1.0972340168561232</v>
      </c>
      <c r="M826" s="302">
        <v>7.4346662045727985E-2</v>
      </c>
      <c r="N826" s="302">
        <v>7.5320017603709424E-3</v>
      </c>
      <c r="O826" s="302">
        <f t="shared" ref="O826:O833" si="359">SUM(L826:N826)</f>
        <v>1.1791126806622221</v>
      </c>
    </row>
    <row r="827" spans="1:15" s="236" customFormat="1" x14ac:dyDescent="0.2">
      <c r="A827" s="237" t="str">
        <f>name!E$6</f>
        <v>Associate professional occupations</v>
      </c>
      <c r="B827" s="302">
        <v>0.33901567455208104</v>
      </c>
      <c r="C827" s="302">
        <v>3.0149800835077265E-2</v>
      </c>
      <c r="D827" s="302">
        <v>4.4704643063528449E-2</v>
      </c>
      <c r="E827" s="302">
        <f t="shared" si="357"/>
        <v>0.41387011845068677</v>
      </c>
      <c r="F827" s="303"/>
      <c r="G827" s="302">
        <v>0.76005735123741913</v>
      </c>
      <c r="H827" s="302">
        <v>9.5517658710862749E-2</v>
      </c>
      <c r="I827" s="302">
        <v>2.0401433859100905E-2</v>
      </c>
      <c r="J827" s="302">
        <f t="shared" si="358"/>
        <v>0.87597644380738271</v>
      </c>
      <c r="K827" s="303"/>
      <c r="L827" s="302">
        <v>0.64737131773589818</v>
      </c>
      <c r="M827" s="302">
        <v>8.9031146385038659E-2</v>
      </c>
      <c r="N827" s="302">
        <v>8.9853115390153022E-3</v>
      </c>
      <c r="O827" s="302">
        <f t="shared" si="359"/>
        <v>0.74538777565995207</v>
      </c>
    </row>
    <row r="828" spans="1:15" s="236" customFormat="1" x14ac:dyDescent="0.2">
      <c r="A828" s="237" t="str">
        <f>name!E$7</f>
        <v>Administrative and secretarial occupations</v>
      </c>
      <c r="B828" s="302">
        <v>0.52672663492728222</v>
      </c>
      <c r="C828" s="302">
        <v>7.1171467154695481E-2</v>
      </c>
      <c r="D828" s="302">
        <v>1.9001459326555364E-2</v>
      </c>
      <c r="E828" s="302">
        <f t="shared" si="357"/>
        <v>0.61689956140853308</v>
      </c>
      <c r="F828" s="303"/>
      <c r="G828" s="302">
        <v>0.96060693679172227</v>
      </c>
      <c r="H828" s="302">
        <v>0.17335493084118458</v>
      </c>
      <c r="I828" s="302">
        <v>7.5558593324903389E-3</v>
      </c>
      <c r="J828" s="302">
        <f t="shared" si="358"/>
        <v>1.1415177269653971</v>
      </c>
      <c r="K828" s="303"/>
      <c r="L828" s="302">
        <v>0.65842697630165836</v>
      </c>
      <c r="M828" s="302">
        <v>0.12592769682107344</v>
      </c>
      <c r="N828" s="302">
        <v>5.3171124642028087E-3</v>
      </c>
      <c r="O828" s="302">
        <f t="shared" si="359"/>
        <v>0.78967178558693463</v>
      </c>
    </row>
    <row r="829" spans="1:15" s="236" customFormat="1" x14ac:dyDescent="0.2">
      <c r="A829" s="237" t="str">
        <f>name!E$8</f>
        <v>Skilled trades occupations</v>
      </c>
      <c r="B829" s="302">
        <v>1.8514124060275292E-2</v>
      </c>
      <c r="C829" s="302">
        <v>1.7715899831275684E-3</v>
      </c>
      <c r="D829" s="302">
        <v>2.651590169519109E-2</v>
      </c>
      <c r="E829" s="302">
        <f t="shared" si="357"/>
        <v>4.6801615738593955E-2</v>
      </c>
      <c r="F829" s="303"/>
      <c r="G829" s="302">
        <v>3.2381284888956995E-2</v>
      </c>
      <c r="H829" s="302">
        <v>3.9435468691695411E-3</v>
      </c>
      <c r="I829" s="302">
        <v>1.4600315366190424E-2</v>
      </c>
      <c r="J829" s="302">
        <f>SUM(G829:I829)</f>
        <v>5.0925147124316963E-2</v>
      </c>
      <c r="K829" s="303"/>
      <c r="L829" s="302">
        <v>3.384045763980386E-2</v>
      </c>
      <c r="M829" s="302">
        <v>4.611726865719209E-3</v>
      </c>
      <c r="N829" s="302">
        <v>1.0413948473986257E-2</v>
      </c>
      <c r="O829" s="302">
        <f t="shared" si="359"/>
        <v>4.8866132979509327E-2</v>
      </c>
    </row>
    <row r="830" spans="1:15" s="236" customFormat="1" x14ac:dyDescent="0.2">
      <c r="A830" s="237" t="str">
        <f>name!E$9</f>
        <v>Caring, leisure and other service occupations</v>
      </c>
      <c r="B830" s="302">
        <v>7.201200758023131E-2</v>
      </c>
      <c r="C830" s="302">
        <v>1.5832576082877095E-3</v>
      </c>
      <c r="D830" s="302">
        <v>3.0371475482049359E-3</v>
      </c>
      <c r="E830" s="302">
        <f t="shared" si="357"/>
        <v>7.6632412736723957E-2</v>
      </c>
      <c r="F830" s="303"/>
      <c r="G830" s="302">
        <v>0.13685173967512204</v>
      </c>
      <c r="H830" s="302">
        <v>5.917228505502508E-3</v>
      </c>
      <c r="I830" s="302">
        <v>4.6489550135637818E-3</v>
      </c>
      <c r="J830" s="302">
        <f t="shared" ref="J830:J833" si="360">SUM(G830:I830)</f>
        <v>0.14741792319418831</v>
      </c>
      <c r="K830" s="303"/>
      <c r="L830" s="302">
        <v>0.14971069110423546</v>
      </c>
      <c r="M830" s="302">
        <v>4.9685212171197563E-3</v>
      </c>
      <c r="N830" s="302">
        <v>2.5724371659194482E-3</v>
      </c>
      <c r="O830" s="302">
        <f t="shared" si="359"/>
        <v>0.15725164948727469</v>
      </c>
    </row>
    <row r="831" spans="1:15" s="236" customFormat="1" x14ac:dyDescent="0.2">
      <c r="A831" s="237" t="str">
        <f>name!E$10</f>
        <v>Sales and customer service occupations</v>
      </c>
      <c r="B831" s="302">
        <v>0.19053943913321003</v>
      </c>
      <c r="C831" s="302">
        <v>3.2911821825334864E-2</v>
      </c>
      <c r="D831" s="302">
        <v>1.5669492313052657E-2</v>
      </c>
      <c r="E831" s="302">
        <f t="shared" si="357"/>
        <v>0.23912075327159754</v>
      </c>
      <c r="F831" s="303"/>
      <c r="G831" s="302">
        <v>0.34360033388032912</v>
      </c>
      <c r="H831" s="302">
        <v>9.6051717867725442E-2</v>
      </c>
      <c r="I831" s="302">
        <v>6.0747552015848741E-3</v>
      </c>
      <c r="J831" s="302">
        <f t="shared" si="360"/>
        <v>0.4457268069496394</v>
      </c>
      <c r="K831" s="303"/>
      <c r="L831" s="302">
        <v>0.3252150437021899</v>
      </c>
      <c r="M831" s="302">
        <v>0.1013176165668306</v>
      </c>
      <c r="N831" s="302">
        <v>3.0178587371523661E-3</v>
      </c>
      <c r="O831" s="302">
        <f t="shared" si="359"/>
        <v>0.42955051900617286</v>
      </c>
    </row>
    <row r="832" spans="1:15" s="236" customFormat="1" x14ac:dyDescent="0.2">
      <c r="A832" s="237" t="str">
        <f>name!E$11</f>
        <v>Process, plant and machine operatives</v>
      </c>
      <c r="B832" s="302">
        <v>7.0669678481600825E-3</v>
      </c>
      <c r="C832" s="302">
        <v>8.7640472570199395E-4</v>
      </c>
      <c r="D832" s="302">
        <v>3.5423832895541763E-3</v>
      </c>
      <c r="E832" s="302">
        <f t="shared" si="357"/>
        <v>1.1485755863416252E-2</v>
      </c>
      <c r="F832" s="303"/>
      <c r="G832" s="302">
        <v>1.0553155672385173E-2</v>
      </c>
      <c r="H832" s="302">
        <v>2.9539249084003356E-3</v>
      </c>
      <c r="I832" s="302">
        <v>2.2531038057134558E-3</v>
      </c>
      <c r="J832" s="302">
        <f t="shared" si="360"/>
        <v>1.5760184386498965E-2</v>
      </c>
      <c r="K832" s="303"/>
      <c r="L832" s="302">
        <v>9.0104377036319058E-3</v>
      </c>
      <c r="M832" s="302">
        <v>4.1447391720610309E-3</v>
      </c>
      <c r="N832" s="302">
        <v>2.021570654876586E-3</v>
      </c>
      <c r="O832" s="302">
        <f t="shared" si="359"/>
        <v>1.5176747530569521E-2</v>
      </c>
    </row>
    <row r="833" spans="1:15" s="236" customFormat="1" x14ac:dyDescent="0.2">
      <c r="A833" s="237" t="str">
        <f>name!E$12</f>
        <v>Elementary occupations</v>
      </c>
      <c r="B833" s="302">
        <v>1.6552307067615169E-2</v>
      </c>
      <c r="C833" s="302">
        <v>3.6667839762356325E-3</v>
      </c>
      <c r="D833" s="302">
        <v>5.2801932213918587E-3</v>
      </c>
      <c r="E833" s="302">
        <f t="shared" si="357"/>
        <v>2.5499284265242662E-2</v>
      </c>
      <c r="F833" s="303"/>
      <c r="G833" s="302">
        <v>2.6511337726848203E-2</v>
      </c>
      <c r="H833" s="302">
        <v>8.2594371304403839E-3</v>
      </c>
      <c r="I833" s="302">
        <v>3.3000902881682869E-3</v>
      </c>
      <c r="J833" s="302">
        <f t="shared" si="360"/>
        <v>3.8070865145456871E-2</v>
      </c>
      <c r="K833" s="303"/>
      <c r="L833" s="302">
        <v>2.2677762525172278E-2</v>
      </c>
      <c r="M833" s="302">
        <v>5.6503940475545631E-3</v>
      </c>
      <c r="N833" s="302">
        <v>2.4460586518107604E-3</v>
      </c>
      <c r="O833" s="302">
        <f t="shared" si="359"/>
        <v>3.0774215224537601E-2</v>
      </c>
    </row>
    <row r="834" spans="1:15" s="236" customFormat="1" x14ac:dyDescent="0.2">
      <c r="A834" s="237"/>
      <c r="B834" s="302"/>
      <c r="C834" s="302"/>
      <c r="D834" s="302"/>
      <c r="E834" s="302"/>
      <c r="F834" s="303"/>
      <c r="G834" s="302"/>
      <c r="H834" s="302"/>
      <c r="I834" s="302"/>
      <c r="J834" s="302"/>
      <c r="K834" s="303"/>
      <c r="L834" s="302"/>
      <c r="M834" s="302"/>
      <c r="N834" s="302"/>
      <c r="O834" s="302"/>
    </row>
    <row r="835" spans="1:15" s="236" customFormat="1" x14ac:dyDescent="0.2">
      <c r="A835" s="244" t="s">
        <v>32</v>
      </c>
      <c r="B835" s="311">
        <f>SUM(B825:B833)</f>
        <v>1.7289999999854506</v>
      </c>
      <c r="C835" s="311">
        <f t="shared" ref="C835:E835" si="361">SUM(C825:C833)</f>
        <v>0.17400000000053348</v>
      </c>
      <c r="D835" s="311">
        <f t="shared" si="361"/>
        <v>0.16800000000418866</v>
      </c>
      <c r="E835" s="311">
        <f t="shared" si="361"/>
        <v>2.0709999999901729</v>
      </c>
      <c r="F835" s="311"/>
      <c r="G835" s="311">
        <f t="shared" ref="G835:J835" si="362">SUM(G825:G833)</f>
        <v>3.6509999999413507</v>
      </c>
      <c r="H835" s="311">
        <f t="shared" si="362"/>
        <v>0.50900000000219459</v>
      </c>
      <c r="I835" s="311">
        <f t="shared" si="362"/>
        <v>8.899999999950764E-2</v>
      </c>
      <c r="J835" s="311">
        <f t="shared" si="362"/>
        <v>4.2489999999430532</v>
      </c>
      <c r="K835" s="311"/>
      <c r="L835" s="311">
        <f t="shared" ref="L835:O835" si="363">SUM(L825:L833)</f>
        <v>3.3560000000004448</v>
      </c>
      <c r="M835" s="311">
        <f t="shared" si="363"/>
        <v>0.46700000000191483</v>
      </c>
      <c r="N835" s="311">
        <f t="shared" si="363"/>
        <v>5.3000000000667256E-2</v>
      </c>
      <c r="O835" s="311">
        <f t="shared" si="363"/>
        <v>3.8760000000030264</v>
      </c>
    </row>
    <row r="836" spans="1:15" s="236" customFormat="1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40"/>
    </row>
    <row r="837" spans="1:15" s="236" customFormat="1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40"/>
      <c r="O837" s="251" t="s">
        <v>35</v>
      </c>
    </row>
    <row r="838" spans="1:15" s="236" customFormat="1" x14ac:dyDescent="0.2">
      <c r="A838" s="242"/>
      <c r="B838" s="242"/>
      <c r="C838" s="242"/>
      <c r="D838" s="242"/>
      <c r="E838" s="242"/>
      <c r="F838" s="242"/>
      <c r="G838" s="242"/>
      <c r="H838" s="242"/>
      <c r="I838" s="242"/>
      <c r="J838" s="242"/>
      <c r="K838" s="242"/>
      <c r="L838" s="242"/>
      <c r="M838" s="242"/>
      <c r="N838" s="242"/>
      <c r="O838" s="242"/>
    </row>
    <row r="839" spans="1:15" s="236" customFormat="1" x14ac:dyDescent="0.2">
      <c r="A839" s="241" t="str">
        <f>name!A52</f>
        <v>Auxiliary financial services</v>
      </c>
      <c r="B839" s="374">
        <f>$B$6</f>
        <v>2015</v>
      </c>
      <c r="C839" s="374"/>
      <c r="D839" s="374"/>
      <c r="E839" s="374"/>
      <c r="F839" s="263"/>
      <c r="G839" s="374">
        <f>$G$6</f>
        <v>2020</v>
      </c>
      <c r="H839" s="374"/>
      <c r="I839" s="374"/>
      <c r="J839" s="374"/>
      <c r="K839" s="263"/>
      <c r="L839" s="374">
        <f>$L$6</f>
        <v>2035</v>
      </c>
      <c r="M839" s="374"/>
      <c r="N839" s="374"/>
      <c r="O839" s="374"/>
    </row>
    <row r="840" spans="1:15" s="236" customFormat="1" x14ac:dyDescent="0.2">
      <c r="A840" s="254"/>
      <c r="B840" s="268" t="str">
        <f>$B$7</f>
        <v>FT</v>
      </c>
      <c r="C840" s="268" t="str">
        <f>$C$7</f>
        <v>PT</v>
      </c>
      <c r="D840" s="268" t="str">
        <f>$D$7</f>
        <v>SE</v>
      </c>
      <c r="E840" s="268" t="str">
        <f>$E$7</f>
        <v>Total</v>
      </c>
      <c r="F840" s="268"/>
      <c r="G840" s="268" t="str">
        <f>$G$7</f>
        <v>FT</v>
      </c>
      <c r="H840" s="268" t="str">
        <f>$H$7</f>
        <v>PT</v>
      </c>
      <c r="I840" s="268" t="str">
        <f>$I$7</f>
        <v>SE</v>
      </c>
      <c r="J840" s="268" t="str">
        <f>$J$7</f>
        <v>Total</v>
      </c>
      <c r="K840" s="268"/>
      <c r="L840" s="268" t="str">
        <f>$L$7</f>
        <v>FT</v>
      </c>
      <c r="M840" s="268" t="str">
        <f>$M$7</f>
        <v>PT</v>
      </c>
      <c r="N840" s="268" t="str">
        <f>$N$7</f>
        <v>SE</v>
      </c>
      <c r="O840" s="268" t="str">
        <f>$O$7</f>
        <v>Total</v>
      </c>
    </row>
    <row r="841" spans="1:15" s="236" customFormat="1" x14ac:dyDescent="0.2">
      <c r="A841" s="258"/>
      <c r="B841" s="239"/>
      <c r="C841" s="239"/>
      <c r="D841" s="239"/>
      <c r="E841" s="239"/>
      <c r="F841" s="239"/>
      <c r="G841" s="239"/>
      <c r="H841" s="239"/>
      <c r="I841" s="239"/>
      <c r="J841" s="239"/>
      <c r="K841" s="239"/>
      <c r="L841" s="239"/>
      <c r="M841" s="239"/>
      <c r="N841" s="239"/>
      <c r="O841" s="239"/>
    </row>
    <row r="842" spans="1:15" s="236" customFormat="1" x14ac:dyDescent="0.2">
      <c r="A842" s="237" t="str">
        <f>name!E$4</f>
        <v>Managers, directors and senior officials</v>
      </c>
      <c r="B842" s="302">
        <v>1.97742469083491</v>
      </c>
      <c r="C842" s="302">
        <v>0.18039262519338453</v>
      </c>
      <c r="D842" s="302">
        <v>0.57349544823308907</v>
      </c>
      <c r="E842" s="302">
        <f>SUM(B842:D842)</f>
        <v>2.7313127642613839</v>
      </c>
      <c r="F842" s="303"/>
      <c r="G842" s="302">
        <v>2.8770595336025293</v>
      </c>
      <c r="H842" s="302">
        <v>0.26659653079103507</v>
      </c>
      <c r="I842" s="302">
        <v>0.65380006295653992</v>
      </c>
      <c r="J842" s="302">
        <f>SUM(G842:I842)</f>
        <v>3.7974561273501042</v>
      </c>
      <c r="K842" s="303"/>
      <c r="L842" s="302">
        <v>2.6135474810321453</v>
      </c>
      <c r="M842" s="302">
        <v>0.28966107822630094</v>
      </c>
      <c r="N842" s="302">
        <v>0.73999004429905679</v>
      </c>
      <c r="O842" s="302">
        <f>SUM(L842:N842)</f>
        <v>3.6431986035575026</v>
      </c>
    </row>
    <row r="843" spans="1:15" s="236" customFormat="1" x14ac:dyDescent="0.2">
      <c r="A843" s="237" t="str">
        <f>name!E$5</f>
        <v>Professional occupations</v>
      </c>
      <c r="B843" s="302">
        <v>2.271327372584742</v>
      </c>
      <c r="C843" s="302">
        <v>0.16890742937167055</v>
      </c>
      <c r="D843" s="302">
        <v>0.72649961543039443</v>
      </c>
      <c r="E843" s="302">
        <f t="shared" ref="E843:E850" si="364">SUM(B843:D843)</f>
        <v>3.1667344173868068</v>
      </c>
      <c r="F843" s="303"/>
      <c r="G843" s="302">
        <v>3.8471888495666979</v>
      </c>
      <c r="H843" s="302">
        <v>0.22063642869183916</v>
      </c>
      <c r="I843" s="302">
        <v>0.72012482293264224</v>
      </c>
      <c r="J843" s="302">
        <f t="shared" ref="J843:J845" si="365">SUM(G843:I843)</f>
        <v>4.7879501011911794</v>
      </c>
      <c r="K843" s="303"/>
      <c r="L843" s="302">
        <v>4.4590039815766032</v>
      </c>
      <c r="M843" s="302">
        <v>0.23800409646959753</v>
      </c>
      <c r="N843" s="302">
        <v>0.73521659105317805</v>
      </c>
      <c r="O843" s="302">
        <f t="shared" ref="O843:O850" si="366">SUM(L843:N843)</f>
        <v>5.4322246690993792</v>
      </c>
    </row>
    <row r="844" spans="1:15" s="236" customFormat="1" x14ac:dyDescent="0.2">
      <c r="A844" s="237" t="str">
        <f>name!E$6</f>
        <v>Associate professional occupations</v>
      </c>
      <c r="B844" s="302">
        <v>2.6840010900601148</v>
      </c>
      <c r="C844" s="302">
        <v>0.3525970243310384</v>
      </c>
      <c r="D844" s="302">
        <v>1.2559467780466467</v>
      </c>
      <c r="E844" s="302">
        <f t="shared" si="364"/>
        <v>4.2925448924377996</v>
      </c>
      <c r="F844" s="303"/>
      <c r="G844" s="302">
        <v>3.8910578655991643</v>
      </c>
      <c r="H844" s="302">
        <v>0.34056462359434903</v>
      </c>
      <c r="I844" s="302">
        <v>1.1527543241970222</v>
      </c>
      <c r="J844" s="302">
        <f t="shared" si="365"/>
        <v>5.384376813390535</v>
      </c>
      <c r="K844" s="303"/>
      <c r="L844" s="302">
        <v>3.3738820909988534</v>
      </c>
      <c r="M844" s="302">
        <v>0.34426728152513369</v>
      </c>
      <c r="N844" s="302">
        <v>1.0904295277584646</v>
      </c>
      <c r="O844" s="302">
        <f t="shared" si="366"/>
        <v>4.8085789002824519</v>
      </c>
    </row>
    <row r="845" spans="1:15" s="236" customFormat="1" x14ac:dyDescent="0.2">
      <c r="A845" s="237" t="str">
        <f>name!E$7</f>
        <v>Administrative and secretarial occupations</v>
      </c>
      <c r="B845" s="302">
        <v>2.0379569250721477</v>
      </c>
      <c r="C845" s="302">
        <v>1.5560009166049551</v>
      </c>
      <c r="D845" s="302">
        <v>0.45621400834331244</v>
      </c>
      <c r="E845" s="302">
        <f t="shared" si="364"/>
        <v>4.0501718500204156</v>
      </c>
      <c r="F845" s="303"/>
      <c r="G845" s="302">
        <v>2.3797162128299409</v>
      </c>
      <c r="H845" s="302">
        <v>1.1869105347940341</v>
      </c>
      <c r="I845" s="302">
        <v>0.285170422312579</v>
      </c>
      <c r="J845" s="302">
        <f t="shared" si="365"/>
        <v>3.8517971699365541</v>
      </c>
      <c r="K845" s="303"/>
      <c r="L845" s="302">
        <v>1.5203655730241386</v>
      </c>
      <c r="M845" s="302">
        <v>0.913381610852119</v>
      </c>
      <c r="N845" s="302">
        <v>0.19537164852083189</v>
      </c>
      <c r="O845" s="302">
        <f t="shared" si="366"/>
        <v>2.6291188323970895</v>
      </c>
    </row>
    <row r="846" spans="1:15" s="236" customFormat="1" x14ac:dyDescent="0.2">
      <c r="A846" s="237" t="str">
        <f>name!E$8</f>
        <v>Skilled trades occupations</v>
      </c>
      <c r="B846" s="302">
        <v>0.15578203753940337</v>
      </c>
      <c r="C846" s="302">
        <v>6.7040991947767789E-2</v>
      </c>
      <c r="D846" s="302">
        <v>0.27719098419604471</v>
      </c>
      <c r="E846" s="302">
        <f t="shared" si="364"/>
        <v>0.50001401368321585</v>
      </c>
      <c r="F846" s="303"/>
      <c r="G846" s="302">
        <v>0.1629276991322911</v>
      </c>
      <c r="H846" s="302">
        <v>4.9708446148355637E-2</v>
      </c>
      <c r="I846" s="302">
        <v>0.19354199059145821</v>
      </c>
      <c r="J846" s="302">
        <f>SUM(G846:I846)</f>
        <v>0.40617813587210494</v>
      </c>
      <c r="K846" s="303"/>
      <c r="L846" s="302">
        <v>0.14008649001240306</v>
      </c>
      <c r="M846" s="302">
        <v>4.5540307251659716E-2</v>
      </c>
      <c r="N846" s="302">
        <v>0.21247246330187125</v>
      </c>
      <c r="O846" s="302">
        <f t="shared" si="366"/>
        <v>0.39809926056593403</v>
      </c>
    </row>
    <row r="847" spans="1:15" s="236" customFormat="1" x14ac:dyDescent="0.2">
      <c r="A847" s="237" t="str">
        <f>name!E$9</f>
        <v>Caring, leisure and other service occupations</v>
      </c>
      <c r="B847" s="302">
        <v>4.58237670659596E-2</v>
      </c>
      <c r="C847" s="302">
        <v>1.7327797459007799E-2</v>
      </c>
      <c r="D847" s="302">
        <v>0.19966654409313145</v>
      </c>
      <c r="E847" s="302">
        <f t="shared" si="364"/>
        <v>0.26281810861809884</v>
      </c>
      <c r="F847" s="303"/>
      <c r="G847" s="302">
        <v>5.7301702424062601E-2</v>
      </c>
      <c r="H847" s="302">
        <v>1.4790052604474406E-2</v>
      </c>
      <c r="I847" s="302">
        <v>0.13098863289103821</v>
      </c>
      <c r="J847" s="302">
        <f t="shared" ref="J847:J850" si="367">SUM(G847:I847)</f>
        <v>0.20308038791957522</v>
      </c>
      <c r="K847" s="303"/>
      <c r="L847" s="302">
        <v>6.3688245730578769E-2</v>
      </c>
      <c r="M847" s="302">
        <v>1.1815369875314187E-2</v>
      </c>
      <c r="N847" s="302">
        <v>0.190229193343775</v>
      </c>
      <c r="O847" s="302">
        <f t="shared" si="366"/>
        <v>0.26573280894966794</v>
      </c>
    </row>
    <row r="848" spans="1:15" s="236" customFormat="1" x14ac:dyDescent="0.2">
      <c r="A848" s="237" t="str">
        <f>name!E$10</f>
        <v>Sales and customer service occupations</v>
      </c>
      <c r="B848" s="302">
        <v>0.4024362951125372</v>
      </c>
      <c r="C848" s="302">
        <v>0.2667089644627359</v>
      </c>
      <c r="D848" s="302">
        <v>0.25222276290674511</v>
      </c>
      <c r="E848" s="302">
        <f t="shared" si="364"/>
        <v>0.92136802248201821</v>
      </c>
      <c r="F848" s="303"/>
      <c r="G848" s="302">
        <v>0.48169572865101817</v>
      </c>
      <c r="H848" s="302">
        <v>0.28268827785974537</v>
      </c>
      <c r="I848" s="302">
        <v>0.15721258263492899</v>
      </c>
      <c r="J848" s="302">
        <f t="shared" si="367"/>
        <v>0.92159658914569254</v>
      </c>
      <c r="K848" s="303"/>
      <c r="L848" s="302">
        <v>0.44809253148784817</v>
      </c>
      <c r="M848" s="302">
        <v>0.33726844865572114</v>
      </c>
      <c r="N848" s="302">
        <v>0.13568515594720848</v>
      </c>
      <c r="O848" s="302">
        <f t="shared" si="366"/>
        <v>0.92104613609077779</v>
      </c>
    </row>
    <row r="849" spans="1:15" s="236" customFormat="1" x14ac:dyDescent="0.2">
      <c r="A849" s="237" t="str">
        <f>name!E$11</f>
        <v>Process, plant and machine operatives</v>
      </c>
      <c r="B849" s="302">
        <v>7.2682016380257744E-2</v>
      </c>
      <c r="C849" s="302">
        <v>1.0262608701445346E-2</v>
      </c>
      <c r="D849" s="302">
        <v>0.14583210155821585</v>
      </c>
      <c r="E849" s="302">
        <f t="shared" si="364"/>
        <v>0.22877672663991894</v>
      </c>
      <c r="F849" s="303"/>
      <c r="G849" s="302">
        <v>7.269275862518515E-2</v>
      </c>
      <c r="H849" s="302">
        <v>1.0293550259506764E-2</v>
      </c>
      <c r="I849" s="302">
        <v>0.1800673249387896</v>
      </c>
      <c r="J849" s="302">
        <f t="shared" si="367"/>
        <v>0.26305363382348151</v>
      </c>
      <c r="K849" s="303"/>
      <c r="L849" s="302">
        <v>7.6370032885565209E-2</v>
      </c>
      <c r="M849" s="302">
        <v>1.5798025471470255E-2</v>
      </c>
      <c r="N849" s="302">
        <v>0.26038477148115174</v>
      </c>
      <c r="O849" s="302">
        <f t="shared" si="366"/>
        <v>0.3525528298381872</v>
      </c>
    </row>
    <row r="850" spans="1:15" s="236" customFormat="1" x14ac:dyDescent="0.2">
      <c r="A850" s="237" t="str">
        <f>name!E$12</f>
        <v>Elementary occupations</v>
      </c>
      <c r="B850" s="302">
        <v>0.15056580532451849</v>
      </c>
      <c r="C850" s="302">
        <v>6.7761641945545958E-2</v>
      </c>
      <c r="D850" s="302">
        <v>0.16393175725961193</v>
      </c>
      <c r="E850" s="302">
        <f t="shared" si="364"/>
        <v>0.38225920452967638</v>
      </c>
      <c r="F850" s="303"/>
      <c r="G850" s="302">
        <v>0.15335964930214518</v>
      </c>
      <c r="H850" s="302">
        <v>4.7811555269211853E-2</v>
      </c>
      <c r="I850" s="302">
        <v>8.6339836538076892E-2</v>
      </c>
      <c r="J850" s="302">
        <f t="shared" si="367"/>
        <v>0.28751104110943393</v>
      </c>
      <c r="K850" s="303"/>
      <c r="L850" s="302">
        <v>0.12996357315894266</v>
      </c>
      <c r="M850" s="302">
        <v>3.3263781678322397E-2</v>
      </c>
      <c r="N850" s="302">
        <v>0.11622060436413373</v>
      </c>
      <c r="O850" s="302">
        <f t="shared" si="366"/>
        <v>0.27944795920139875</v>
      </c>
    </row>
    <row r="851" spans="1:15" s="236" customFormat="1" x14ac:dyDescent="0.2">
      <c r="A851" s="237"/>
      <c r="B851" s="302"/>
      <c r="C851" s="302"/>
      <c r="D851" s="302"/>
      <c r="E851" s="302"/>
      <c r="F851" s="303"/>
      <c r="G851" s="302"/>
      <c r="H851" s="302"/>
      <c r="I851" s="302"/>
      <c r="J851" s="302"/>
      <c r="K851" s="303"/>
      <c r="L851" s="302"/>
      <c r="M851" s="302"/>
      <c r="N851" s="302"/>
      <c r="O851" s="302"/>
    </row>
    <row r="852" spans="1:15" s="236" customFormat="1" x14ac:dyDescent="0.2">
      <c r="A852" s="244" t="s">
        <v>32</v>
      </c>
      <c r="B852" s="311">
        <f>SUM(B842:B850)</f>
        <v>9.797999999974591</v>
      </c>
      <c r="C852" s="311">
        <f t="shared" ref="C852:E852" si="368">SUM(C842:C850)</f>
        <v>2.6870000000175511</v>
      </c>
      <c r="D852" s="311">
        <f t="shared" si="368"/>
        <v>4.0510000000671917</v>
      </c>
      <c r="E852" s="311">
        <f t="shared" si="368"/>
        <v>16.536000000059335</v>
      </c>
      <c r="F852" s="311"/>
      <c r="G852" s="311">
        <f t="shared" ref="G852:J852" si="369">SUM(G842:G850)</f>
        <v>13.922999999733035</v>
      </c>
      <c r="H852" s="311">
        <f t="shared" si="369"/>
        <v>2.4200000000125508</v>
      </c>
      <c r="I852" s="311">
        <f t="shared" si="369"/>
        <v>3.5599999999930749</v>
      </c>
      <c r="J852" s="311">
        <f t="shared" si="369"/>
        <v>19.902999999738658</v>
      </c>
      <c r="K852" s="311"/>
      <c r="L852" s="311">
        <f t="shared" ref="L852:O852" si="370">SUM(L842:L850)</f>
        <v>12.824999999907076</v>
      </c>
      <c r="M852" s="311">
        <f t="shared" si="370"/>
        <v>2.2290000000056391</v>
      </c>
      <c r="N852" s="311">
        <f t="shared" si="370"/>
        <v>3.6760000000696715</v>
      </c>
      <c r="O852" s="311">
        <f t="shared" si="370"/>
        <v>18.72999999998239</v>
      </c>
    </row>
    <row r="853" spans="1:15" s="236" customFormat="1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40"/>
    </row>
    <row r="854" spans="1:15" s="236" customFormat="1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40"/>
      <c r="O854" s="251" t="s">
        <v>35</v>
      </c>
    </row>
    <row r="855" spans="1:15" s="236" customFormat="1" x14ac:dyDescent="0.2">
      <c r="A855" s="242"/>
      <c r="B855" s="242"/>
      <c r="C855" s="242"/>
      <c r="D855" s="242"/>
      <c r="E855" s="242"/>
      <c r="F855" s="242"/>
      <c r="G855" s="242"/>
      <c r="H855" s="242"/>
      <c r="I855" s="242"/>
      <c r="J855" s="242"/>
      <c r="K855" s="242"/>
      <c r="L855" s="242"/>
      <c r="M855" s="242"/>
      <c r="N855" s="242"/>
      <c r="O855" s="242"/>
    </row>
    <row r="856" spans="1:15" s="236" customFormat="1" x14ac:dyDescent="0.2">
      <c r="A856" s="241" t="str">
        <f>name!A53</f>
        <v>Real estate</v>
      </c>
      <c r="B856" s="374">
        <f>$B$6</f>
        <v>2015</v>
      </c>
      <c r="C856" s="374"/>
      <c r="D856" s="374"/>
      <c r="E856" s="374"/>
      <c r="F856" s="263"/>
      <c r="G856" s="374">
        <f>$G$6</f>
        <v>2020</v>
      </c>
      <c r="H856" s="374"/>
      <c r="I856" s="374"/>
      <c r="J856" s="374"/>
      <c r="K856" s="263"/>
      <c r="L856" s="374">
        <f>$L$6</f>
        <v>2035</v>
      </c>
      <c r="M856" s="374"/>
      <c r="N856" s="374"/>
      <c r="O856" s="374"/>
    </row>
    <row r="857" spans="1:15" s="236" customFormat="1" x14ac:dyDescent="0.2">
      <c r="A857" s="254"/>
      <c r="B857" s="268" t="str">
        <f>$B$7</f>
        <v>FT</v>
      </c>
      <c r="C857" s="268" t="str">
        <f>$C$7</f>
        <v>PT</v>
      </c>
      <c r="D857" s="268" t="str">
        <f>$D$7</f>
        <v>SE</v>
      </c>
      <c r="E857" s="268" t="str">
        <f>$E$7</f>
        <v>Total</v>
      </c>
      <c r="F857" s="268"/>
      <c r="G857" s="268" t="str">
        <f>$G$7</f>
        <v>FT</v>
      </c>
      <c r="H857" s="268" t="str">
        <f>$H$7</f>
        <v>PT</v>
      </c>
      <c r="I857" s="268" t="str">
        <f>$I$7</f>
        <v>SE</v>
      </c>
      <c r="J857" s="268" t="str">
        <f>$J$7</f>
        <v>Total</v>
      </c>
      <c r="K857" s="268"/>
      <c r="L857" s="268" t="str">
        <f>$L$7</f>
        <v>FT</v>
      </c>
      <c r="M857" s="268" t="str">
        <f>$M$7</f>
        <v>PT</v>
      </c>
      <c r="N857" s="268" t="str">
        <f>$N$7</f>
        <v>SE</v>
      </c>
      <c r="O857" s="268" t="str">
        <f>$O$7</f>
        <v>Total</v>
      </c>
    </row>
    <row r="858" spans="1:15" s="236" customFormat="1" x14ac:dyDescent="0.2">
      <c r="A858" s="258"/>
      <c r="B858" s="239"/>
      <c r="C858" s="239"/>
      <c r="D858" s="239"/>
      <c r="E858" s="239"/>
      <c r="F858" s="239"/>
      <c r="G858" s="239"/>
      <c r="H858" s="239"/>
      <c r="I858" s="239"/>
      <c r="J858" s="239"/>
      <c r="K858" s="239"/>
      <c r="L858" s="239"/>
      <c r="M858" s="239"/>
      <c r="N858" s="239"/>
      <c r="O858" s="239"/>
    </row>
    <row r="859" spans="1:15" s="236" customFormat="1" x14ac:dyDescent="0.2">
      <c r="A859" s="237" t="str">
        <f>name!E$4</f>
        <v>Managers, directors and senior officials</v>
      </c>
      <c r="B859" s="302">
        <v>3.4636787360068211</v>
      </c>
      <c r="C859" s="302">
        <v>0.55418591868199152</v>
      </c>
      <c r="D859" s="302">
        <v>1.6124115706394977</v>
      </c>
      <c r="E859" s="302">
        <f>SUM(B859:D859)</f>
        <v>5.630276225328311</v>
      </c>
      <c r="F859" s="303"/>
      <c r="G859" s="302">
        <v>5.4127684878990223</v>
      </c>
      <c r="H859" s="302">
        <v>0.93051217523227026</v>
      </c>
      <c r="I859" s="302">
        <v>3.425252082053079</v>
      </c>
      <c r="J859" s="302">
        <f>SUM(G859:I859)</f>
        <v>9.7685327451843715</v>
      </c>
      <c r="K859" s="303"/>
      <c r="L859" s="302">
        <v>6.1410982873338487</v>
      </c>
      <c r="M859" s="302">
        <v>1.0104370947720824</v>
      </c>
      <c r="N859" s="302">
        <v>4.7064480804335584</v>
      </c>
      <c r="O859" s="302">
        <f>SUM(L859:N859)</f>
        <v>11.85798346253949</v>
      </c>
    </row>
    <row r="860" spans="1:15" s="236" customFormat="1" x14ac:dyDescent="0.2">
      <c r="A860" s="237" t="str">
        <f>name!E$5</f>
        <v>Professional occupations</v>
      </c>
      <c r="B860" s="302">
        <v>3.2728925462058713</v>
      </c>
      <c r="C860" s="302">
        <v>0.61673805048091856</v>
      </c>
      <c r="D860" s="302">
        <v>0.25681512040404331</v>
      </c>
      <c r="E860" s="302">
        <f t="shared" ref="E860:E867" si="371">SUM(B860:D860)</f>
        <v>4.1464457170908338</v>
      </c>
      <c r="F860" s="303"/>
      <c r="G860" s="302">
        <v>5.9344830219261242</v>
      </c>
      <c r="H860" s="302">
        <v>0.85935441325441075</v>
      </c>
      <c r="I860" s="302">
        <v>0.52310923390983521</v>
      </c>
      <c r="J860" s="302">
        <f t="shared" ref="J860:J862" si="372">SUM(G860:I860)</f>
        <v>7.3169466690903704</v>
      </c>
      <c r="K860" s="303"/>
      <c r="L860" s="302">
        <v>7.0184070436606758</v>
      </c>
      <c r="M860" s="302">
        <v>0.9793932255758302</v>
      </c>
      <c r="N860" s="302">
        <v>0.26368111314062137</v>
      </c>
      <c r="O860" s="302">
        <f t="shared" ref="O860:O867" si="373">SUM(L860:N860)</f>
        <v>8.2614813823771271</v>
      </c>
    </row>
    <row r="861" spans="1:15" s="236" customFormat="1" x14ac:dyDescent="0.2">
      <c r="A861" s="237" t="str">
        <f>name!E$6</f>
        <v>Associate professional occupations</v>
      </c>
      <c r="B861" s="302">
        <v>2.740005844100335</v>
      </c>
      <c r="C861" s="302">
        <v>0.75175099373206522</v>
      </c>
      <c r="D861" s="302">
        <v>0.25518140884358864</v>
      </c>
      <c r="E861" s="302">
        <f t="shared" si="371"/>
        <v>3.7469382466759891</v>
      </c>
      <c r="F861" s="303"/>
      <c r="G861" s="302">
        <v>4.5227619274018851</v>
      </c>
      <c r="H861" s="302">
        <v>0.99037657777992039</v>
      </c>
      <c r="I861" s="302">
        <v>0.44910332231394851</v>
      </c>
      <c r="J861" s="302">
        <f t="shared" si="372"/>
        <v>5.9622418274957543</v>
      </c>
      <c r="K861" s="303"/>
      <c r="L861" s="302">
        <v>4.6895392522964565</v>
      </c>
      <c r="M861" s="302">
        <v>1.0023600876150085</v>
      </c>
      <c r="N861" s="302">
        <v>0.27282211491849012</v>
      </c>
      <c r="O861" s="302">
        <f t="shared" si="373"/>
        <v>5.9647214548299559</v>
      </c>
    </row>
    <row r="862" spans="1:15" s="236" customFormat="1" x14ac:dyDescent="0.2">
      <c r="A862" s="237" t="str">
        <f>name!E$7</f>
        <v>Administrative and secretarial occupations</v>
      </c>
      <c r="B862" s="302">
        <v>2.6083019068180113</v>
      </c>
      <c r="C862" s="302">
        <v>3.523002795022713</v>
      </c>
      <c r="D862" s="302">
        <v>0.18920104050954772</v>
      </c>
      <c r="E862" s="302">
        <f t="shared" si="371"/>
        <v>6.3205057423502717</v>
      </c>
      <c r="F862" s="303"/>
      <c r="G862" s="302">
        <v>3.7773329626315442</v>
      </c>
      <c r="H862" s="302">
        <v>2.8102188924172933</v>
      </c>
      <c r="I862" s="302">
        <v>0.12574794822654198</v>
      </c>
      <c r="J862" s="302">
        <f t="shared" si="372"/>
        <v>6.7132998032753797</v>
      </c>
      <c r="K862" s="303"/>
      <c r="L862" s="302">
        <v>2.8873432956976255</v>
      </c>
      <c r="M862" s="302">
        <v>2.1567976478745741</v>
      </c>
      <c r="N862" s="302">
        <v>0.1190308906827343</v>
      </c>
      <c r="O862" s="302">
        <f t="shared" si="373"/>
        <v>5.1631718342549338</v>
      </c>
    </row>
    <row r="863" spans="1:15" s="236" customFormat="1" x14ac:dyDescent="0.2">
      <c r="A863" s="237" t="str">
        <f>name!E$8</f>
        <v>Skilled trades occupations</v>
      </c>
      <c r="B863" s="302">
        <v>1.4252170031695235</v>
      </c>
      <c r="C863" s="302">
        <v>0.15389734672317054</v>
      </c>
      <c r="D863" s="302">
        <v>0.57222430777459088</v>
      </c>
      <c r="E863" s="302">
        <f t="shared" si="371"/>
        <v>2.151338657667285</v>
      </c>
      <c r="F863" s="303"/>
      <c r="G863" s="302">
        <v>1.6205854999828162</v>
      </c>
      <c r="H863" s="302">
        <v>0.17831870020314775</v>
      </c>
      <c r="I863" s="302">
        <v>0.97060382365371267</v>
      </c>
      <c r="J863" s="302">
        <f>SUM(G863:I863)</f>
        <v>2.7695080238396765</v>
      </c>
      <c r="K863" s="303"/>
      <c r="L863" s="302">
        <v>1.8872052727569972</v>
      </c>
      <c r="M863" s="302">
        <v>0.27980976166629967</v>
      </c>
      <c r="N863" s="302">
        <v>0.896564947064035</v>
      </c>
      <c r="O863" s="302">
        <f t="shared" si="373"/>
        <v>3.0635799814873317</v>
      </c>
    </row>
    <row r="864" spans="1:15" s="236" customFormat="1" x14ac:dyDescent="0.2">
      <c r="A864" s="237" t="str">
        <f>name!E$9</f>
        <v>Caring, leisure and other service occupations</v>
      </c>
      <c r="B864" s="302">
        <v>0.56104005451141004</v>
      </c>
      <c r="C864" s="302">
        <v>0.33597788784849969</v>
      </c>
      <c r="D864" s="302">
        <v>0.10256185034321713</v>
      </c>
      <c r="E864" s="302">
        <f t="shared" si="371"/>
        <v>0.99957979270312691</v>
      </c>
      <c r="F864" s="303"/>
      <c r="G864" s="302">
        <v>0.80329183164721862</v>
      </c>
      <c r="H864" s="302">
        <v>0.29977454394652375</v>
      </c>
      <c r="I864" s="302">
        <v>0.18871079994488757</v>
      </c>
      <c r="J864" s="302">
        <f t="shared" ref="J864:J867" si="374">SUM(G864:I864)</f>
        <v>1.29177717553863</v>
      </c>
      <c r="K864" s="303"/>
      <c r="L864" s="302">
        <v>0.92418680537057019</v>
      </c>
      <c r="M864" s="302">
        <v>0.28232336266723418</v>
      </c>
      <c r="N864" s="302">
        <v>0.31625254675586267</v>
      </c>
      <c r="O864" s="302">
        <f t="shared" si="373"/>
        <v>1.5227627147936671</v>
      </c>
    </row>
    <row r="865" spans="1:15" s="236" customFormat="1" x14ac:dyDescent="0.2">
      <c r="A865" s="237" t="str">
        <f>name!E$10</f>
        <v>Sales and customer service occupations</v>
      </c>
      <c r="B865" s="302">
        <v>1.5781330633142536</v>
      </c>
      <c r="C865" s="302">
        <v>0.66868749052502663</v>
      </c>
      <c r="D865" s="302">
        <v>0.42155841183839526</v>
      </c>
      <c r="E865" s="302">
        <f t="shared" si="371"/>
        <v>2.6683789656776753</v>
      </c>
      <c r="F865" s="303"/>
      <c r="G865" s="302">
        <v>2.061177504573497</v>
      </c>
      <c r="H865" s="302">
        <v>0.6868383169487704</v>
      </c>
      <c r="I865" s="302">
        <v>0.70084942937782169</v>
      </c>
      <c r="J865" s="302">
        <f t="shared" si="374"/>
        <v>3.4488652509000892</v>
      </c>
      <c r="K865" s="303"/>
      <c r="L865" s="302">
        <v>2.024813927879713</v>
      </c>
      <c r="M865" s="302">
        <v>0.64839257060149313</v>
      </c>
      <c r="N865" s="302">
        <v>0.66869818307041384</v>
      </c>
      <c r="O865" s="302">
        <f t="shared" si="373"/>
        <v>3.34190468155162</v>
      </c>
    </row>
    <row r="866" spans="1:15" s="236" customFormat="1" x14ac:dyDescent="0.2">
      <c r="A866" s="237" t="str">
        <f>name!E$11</f>
        <v>Process, plant and machine operatives</v>
      </c>
      <c r="B866" s="302">
        <v>0.43101854336875017</v>
      </c>
      <c r="C866" s="302">
        <v>2.6103970957843742E-2</v>
      </c>
      <c r="D866" s="302">
        <v>1.4995084792255989E-2</v>
      </c>
      <c r="E866" s="302">
        <f t="shared" si="371"/>
        <v>0.47211759911884987</v>
      </c>
      <c r="F866" s="303"/>
      <c r="G866" s="302">
        <v>0.46009560620206891</v>
      </c>
      <c r="H866" s="302">
        <v>4.1101282610214215E-2</v>
      </c>
      <c r="I866" s="302">
        <v>4.4407157208783993E-2</v>
      </c>
      <c r="J866" s="302">
        <f t="shared" si="374"/>
        <v>0.54560404602106705</v>
      </c>
      <c r="K866" s="303"/>
      <c r="L866" s="302">
        <v>0.39088168590993655</v>
      </c>
      <c r="M866" s="302">
        <v>3.8993124833851985E-2</v>
      </c>
      <c r="N866" s="302">
        <v>3.8750225045332272E-2</v>
      </c>
      <c r="O866" s="302">
        <f t="shared" si="373"/>
        <v>0.46862503578912079</v>
      </c>
    </row>
    <row r="867" spans="1:15" s="236" customFormat="1" x14ac:dyDescent="0.2">
      <c r="A867" s="237" t="str">
        <f>name!E$12</f>
        <v>Elementary occupations</v>
      </c>
      <c r="B867" s="302">
        <v>0.50371230245272436</v>
      </c>
      <c r="C867" s="302">
        <v>0.45465554606727121</v>
      </c>
      <c r="D867" s="302">
        <v>7.2051204876938474E-2</v>
      </c>
      <c r="E867" s="302">
        <f t="shared" si="371"/>
        <v>1.030419053396934</v>
      </c>
      <c r="F867" s="303"/>
      <c r="G867" s="302">
        <v>0.59150315747334714</v>
      </c>
      <c r="H867" s="302">
        <v>0.31550509762961232</v>
      </c>
      <c r="I867" s="302">
        <v>5.5216203313883244E-2</v>
      </c>
      <c r="J867" s="302">
        <f t="shared" si="374"/>
        <v>0.96222445841684268</v>
      </c>
      <c r="K867" s="303"/>
      <c r="L867" s="302">
        <v>0.53752442901511499</v>
      </c>
      <c r="M867" s="302">
        <v>7.4493124330315408E-2</v>
      </c>
      <c r="N867" s="302">
        <v>4.7751898971599344E-2</v>
      </c>
      <c r="O867" s="302">
        <f t="shared" si="373"/>
        <v>0.65976945231702977</v>
      </c>
    </row>
    <row r="868" spans="1:15" s="236" customFormat="1" x14ac:dyDescent="0.2">
      <c r="A868" s="237"/>
      <c r="B868" s="302"/>
      <c r="C868" s="302"/>
      <c r="D868" s="302"/>
      <c r="E868" s="302"/>
      <c r="F868" s="303"/>
      <c r="G868" s="302"/>
      <c r="H868" s="302"/>
      <c r="I868" s="302"/>
      <c r="J868" s="302"/>
      <c r="K868" s="303"/>
      <c r="L868" s="302"/>
      <c r="M868" s="302"/>
      <c r="N868" s="302"/>
      <c r="O868" s="302"/>
    </row>
    <row r="869" spans="1:15" s="236" customFormat="1" x14ac:dyDescent="0.2">
      <c r="A869" s="244" t="s">
        <v>32</v>
      </c>
      <c r="B869" s="311">
        <f>SUM(B859:B867)</f>
        <v>16.5839999999477</v>
      </c>
      <c r="C869" s="311">
        <f t="shared" ref="C869:E869" si="375">SUM(C859:C867)</f>
        <v>7.0850000000394999</v>
      </c>
      <c r="D869" s="311">
        <f t="shared" si="375"/>
        <v>3.497000000022076</v>
      </c>
      <c r="E869" s="311">
        <f t="shared" si="375"/>
        <v>27.166000000009273</v>
      </c>
      <c r="F869" s="311"/>
      <c r="G869" s="311">
        <f t="shared" ref="G869:J869" si="376">SUM(G859:G867)</f>
        <v>25.183999999737523</v>
      </c>
      <c r="H869" s="311">
        <f t="shared" si="376"/>
        <v>7.1120000000221637</v>
      </c>
      <c r="I869" s="311">
        <f t="shared" si="376"/>
        <v>6.4830000000024954</v>
      </c>
      <c r="J869" s="311">
        <f t="shared" si="376"/>
        <v>38.778999999762178</v>
      </c>
      <c r="K869" s="311"/>
      <c r="L869" s="311">
        <f t="shared" ref="L869:O869" si="377">SUM(L859:L867)</f>
        <v>26.500999999920936</v>
      </c>
      <c r="M869" s="311">
        <f t="shared" si="377"/>
        <v>6.4729999999366905</v>
      </c>
      <c r="N869" s="311">
        <f t="shared" si="377"/>
        <v>7.3300000000826468</v>
      </c>
      <c r="O869" s="311">
        <f t="shared" si="377"/>
        <v>40.303999999940274</v>
      </c>
    </row>
    <row r="870" spans="1:15" s="236" customFormat="1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40"/>
    </row>
    <row r="871" spans="1:15" s="236" customFormat="1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40"/>
      <c r="O871" s="251" t="s">
        <v>35</v>
      </c>
    </row>
    <row r="872" spans="1:15" s="236" customFormat="1" x14ac:dyDescent="0.2">
      <c r="A872" s="242"/>
      <c r="B872" s="242"/>
      <c r="C872" s="242"/>
      <c r="D872" s="242"/>
      <c r="E872" s="242"/>
      <c r="F872" s="242"/>
      <c r="G872" s="242"/>
      <c r="H872" s="242"/>
      <c r="I872" s="242"/>
      <c r="J872" s="242"/>
      <c r="K872" s="242"/>
      <c r="L872" s="242"/>
      <c r="M872" s="242"/>
      <c r="N872" s="242"/>
      <c r="O872" s="242"/>
    </row>
    <row r="873" spans="1:15" s="236" customFormat="1" x14ac:dyDescent="0.2">
      <c r="A873" s="241" t="str">
        <f>name!A54</f>
        <v>Legal and accounting</v>
      </c>
      <c r="B873" s="374">
        <f>$B$6</f>
        <v>2015</v>
      </c>
      <c r="C873" s="374"/>
      <c r="D873" s="374"/>
      <c r="E873" s="374"/>
      <c r="F873" s="263"/>
      <c r="G873" s="374">
        <f>$G$6</f>
        <v>2020</v>
      </c>
      <c r="H873" s="374"/>
      <c r="I873" s="374"/>
      <c r="J873" s="374"/>
      <c r="K873" s="263"/>
      <c r="L873" s="374">
        <f>$L$6</f>
        <v>2035</v>
      </c>
      <c r="M873" s="374"/>
      <c r="N873" s="374"/>
      <c r="O873" s="374"/>
    </row>
    <row r="874" spans="1:15" s="236" customFormat="1" x14ac:dyDescent="0.2">
      <c r="A874" s="254"/>
      <c r="B874" s="268" t="str">
        <f>$B$7</f>
        <v>FT</v>
      </c>
      <c r="C874" s="268" t="str">
        <f>$C$7</f>
        <v>PT</v>
      </c>
      <c r="D874" s="268" t="str">
        <f>$D$7</f>
        <v>SE</v>
      </c>
      <c r="E874" s="268" t="str">
        <f>$E$7</f>
        <v>Total</v>
      </c>
      <c r="F874" s="268"/>
      <c r="G874" s="268" t="str">
        <f>$G$7</f>
        <v>FT</v>
      </c>
      <c r="H874" s="268" t="str">
        <f>$H$7</f>
        <v>PT</v>
      </c>
      <c r="I874" s="268" t="str">
        <f>$I$7</f>
        <v>SE</v>
      </c>
      <c r="J874" s="268" t="str">
        <f>$J$7</f>
        <v>Total</v>
      </c>
      <c r="K874" s="268"/>
      <c r="L874" s="268" t="str">
        <f>$L$7</f>
        <v>FT</v>
      </c>
      <c r="M874" s="268" t="str">
        <f>$M$7</f>
        <v>PT</v>
      </c>
      <c r="N874" s="268" t="str">
        <f>$N$7</f>
        <v>SE</v>
      </c>
      <c r="O874" s="268" t="str">
        <f>$O$7</f>
        <v>Total</v>
      </c>
    </row>
    <row r="875" spans="1:15" s="236" customFormat="1" x14ac:dyDescent="0.2">
      <c r="A875" s="258"/>
      <c r="B875" s="239"/>
      <c r="C875" s="239"/>
      <c r="D875" s="239"/>
      <c r="E875" s="239"/>
      <c r="F875" s="239"/>
      <c r="G875" s="239"/>
      <c r="H875" s="239"/>
      <c r="I875" s="239"/>
      <c r="J875" s="239"/>
      <c r="K875" s="239"/>
      <c r="L875" s="239"/>
      <c r="M875" s="239"/>
      <c r="N875" s="239"/>
      <c r="O875" s="239"/>
    </row>
    <row r="876" spans="1:15" s="236" customFormat="1" x14ac:dyDescent="0.2">
      <c r="A876" s="237" t="str">
        <f>name!E$4</f>
        <v>Managers, directors and senior officials</v>
      </c>
      <c r="B876" s="302">
        <v>2.6390223703153768</v>
      </c>
      <c r="C876" s="302">
        <v>0.45348554572882982</v>
      </c>
      <c r="D876" s="302">
        <v>1.0259113696695268</v>
      </c>
      <c r="E876" s="302">
        <f>SUM(B876:D876)</f>
        <v>4.1184192857137329</v>
      </c>
      <c r="F876" s="303"/>
      <c r="G876" s="302">
        <v>3.2179967210111875</v>
      </c>
      <c r="H876" s="302">
        <v>1.1300995347723977</v>
      </c>
      <c r="I876" s="302">
        <v>1.3369591821526461</v>
      </c>
      <c r="J876" s="302">
        <f>SUM(G876:I876)</f>
        <v>5.6850554379362315</v>
      </c>
      <c r="K876" s="303"/>
      <c r="L876" s="302">
        <v>3.654770885269746</v>
      </c>
      <c r="M876" s="302">
        <v>1.4658195827507334</v>
      </c>
      <c r="N876" s="302">
        <v>1.504552023339818</v>
      </c>
      <c r="O876" s="302">
        <f>SUM(L876:N876)</f>
        <v>6.6251424913602968</v>
      </c>
    </row>
    <row r="877" spans="1:15" s="236" customFormat="1" x14ac:dyDescent="0.2">
      <c r="A877" s="237" t="str">
        <f>name!E$5</f>
        <v>Professional occupations</v>
      </c>
      <c r="B877" s="302">
        <v>7.2606735590388869</v>
      </c>
      <c r="C877" s="302">
        <v>0.93162761842529129</v>
      </c>
      <c r="D877" s="302">
        <v>2.7518312412498096</v>
      </c>
      <c r="E877" s="302">
        <f t="shared" ref="E877:E884" si="378">SUM(B877:D877)</f>
        <v>10.944132418713988</v>
      </c>
      <c r="F877" s="303"/>
      <c r="G877" s="302">
        <v>10.669788158229839</v>
      </c>
      <c r="H877" s="302">
        <v>2.2875856127750911</v>
      </c>
      <c r="I877" s="302">
        <v>2.6225692658346</v>
      </c>
      <c r="J877" s="302">
        <f t="shared" ref="J877:J879" si="379">SUM(G877:I877)</f>
        <v>15.579943036839531</v>
      </c>
      <c r="K877" s="303"/>
      <c r="L877" s="302">
        <v>13.831624388290845</v>
      </c>
      <c r="M877" s="302">
        <v>2.9911320823869043</v>
      </c>
      <c r="N877" s="302">
        <v>2.7225547053293426</v>
      </c>
      <c r="O877" s="302">
        <f t="shared" ref="O877:O884" si="380">SUM(L877:N877)</f>
        <v>19.545311176007093</v>
      </c>
    </row>
    <row r="878" spans="1:15" s="236" customFormat="1" x14ac:dyDescent="0.2">
      <c r="A878" s="237" t="str">
        <f>name!E$6</f>
        <v>Associate professional occupations</v>
      </c>
      <c r="B878" s="302">
        <v>3.4018887859322295</v>
      </c>
      <c r="C878" s="302">
        <v>0.65127556764132544</v>
      </c>
      <c r="D878" s="302">
        <v>1.1280940272790512</v>
      </c>
      <c r="E878" s="302">
        <f t="shared" si="378"/>
        <v>5.181258380852606</v>
      </c>
      <c r="F878" s="303"/>
      <c r="G878" s="302">
        <v>4.5068423538776656</v>
      </c>
      <c r="H878" s="302">
        <v>1.3085159435772871</v>
      </c>
      <c r="I878" s="302">
        <v>1.2431910264913388</v>
      </c>
      <c r="J878" s="302">
        <f t="shared" si="379"/>
        <v>7.0585493239462913</v>
      </c>
      <c r="K878" s="303"/>
      <c r="L878" s="302">
        <v>4.7892790120769826</v>
      </c>
      <c r="M878" s="302">
        <v>1.5490084289850676</v>
      </c>
      <c r="N878" s="302">
        <v>1.4586764207957339</v>
      </c>
      <c r="O878" s="302">
        <f t="shared" si="380"/>
        <v>7.7969638618577841</v>
      </c>
    </row>
    <row r="879" spans="1:15" s="236" customFormat="1" x14ac:dyDescent="0.2">
      <c r="A879" s="237" t="str">
        <f>name!E$7</f>
        <v>Administrative and secretarial occupations</v>
      </c>
      <c r="B879" s="302">
        <v>3.8864358601658826</v>
      </c>
      <c r="C879" s="302">
        <v>2.3872561245521475</v>
      </c>
      <c r="D879" s="302">
        <v>0.71571883089523813</v>
      </c>
      <c r="E879" s="302">
        <f t="shared" si="378"/>
        <v>6.9894108156132679</v>
      </c>
      <c r="F879" s="303"/>
      <c r="G879" s="302">
        <v>4.6997752722598376</v>
      </c>
      <c r="H879" s="302">
        <v>4.3172912267771117</v>
      </c>
      <c r="I879" s="302">
        <v>1.0684532183176505</v>
      </c>
      <c r="J879" s="302">
        <f t="shared" si="379"/>
        <v>10.0855197173546</v>
      </c>
      <c r="K879" s="303"/>
      <c r="L879" s="302">
        <v>3.0766770037171618</v>
      </c>
      <c r="M879" s="302">
        <v>4.2395526183027403</v>
      </c>
      <c r="N879" s="302">
        <v>0.94323071885731846</v>
      </c>
      <c r="O879" s="302">
        <f t="shared" si="380"/>
        <v>8.2594603408772205</v>
      </c>
    </row>
    <row r="880" spans="1:15" s="236" customFormat="1" x14ac:dyDescent="0.2">
      <c r="A880" s="237" t="str">
        <f>name!E$8</f>
        <v>Skilled trades occupations</v>
      </c>
      <c r="B880" s="302">
        <v>0.59907730925734637</v>
      </c>
      <c r="C880" s="302">
        <v>0.14173780651700257</v>
      </c>
      <c r="D880" s="302">
        <v>0.25321162698571464</v>
      </c>
      <c r="E880" s="302">
        <f t="shared" si="378"/>
        <v>0.99402674276006364</v>
      </c>
      <c r="F880" s="303"/>
      <c r="G880" s="302">
        <v>0.49387704844537206</v>
      </c>
      <c r="H880" s="302">
        <v>0.11579466806780669</v>
      </c>
      <c r="I880" s="302">
        <v>0.24578324242746291</v>
      </c>
      <c r="J880" s="302">
        <f>SUM(G880:I880)</f>
        <v>0.85545495894064172</v>
      </c>
      <c r="K880" s="303"/>
      <c r="L880" s="302">
        <v>0.55607763869623705</v>
      </c>
      <c r="M880" s="302">
        <v>0.18139203245154301</v>
      </c>
      <c r="N880" s="302">
        <v>0.33808104568656289</v>
      </c>
      <c r="O880" s="302">
        <f t="shared" si="380"/>
        <v>1.075550716834343</v>
      </c>
    </row>
    <row r="881" spans="1:15" s="236" customFormat="1" x14ac:dyDescent="0.2">
      <c r="A881" s="237" t="str">
        <f>name!E$9</f>
        <v>Caring, leisure and other service occupations</v>
      </c>
      <c r="B881" s="302">
        <v>7.0820482680397034E-2</v>
      </c>
      <c r="C881" s="302">
        <v>2.4795207406194768E-2</v>
      </c>
      <c r="D881" s="302">
        <v>9.0008931528955463E-2</v>
      </c>
      <c r="E881" s="302">
        <f t="shared" si="378"/>
        <v>0.18562462161554727</v>
      </c>
      <c r="F881" s="303"/>
      <c r="G881" s="302">
        <v>7.5491138921530476E-2</v>
      </c>
      <c r="H881" s="302">
        <v>3.6633638547020335E-2</v>
      </c>
      <c r="I881" s="302">
        <v>0.11247023953700931</v>
      </c>
      <c r="J881" s="302">
        <f t="shared" ref="J881:J884" si="381">SUM(G881:I881)</f>
        <v>0.22459501700556012</v>
      </c>
      <c r="K881" s="303"/>
      <c r="L881" s="302">
        <v>8.1574640789337238E-2</v>
      </c>
      <c r="M881" s="302">
        <v>3.2824311071241716E-2</v>
      </c>
      <c r="N881" s="302">
        <v>0.20770777327761769</v>
      </c>
      <c r="O881" s="302">
        <f t="shared" si="380"/>
        <v>0.32210672513819666</v>
      </c>
    </row>
    <row r="882" spans="1:15" s="236" customFormat="1" x14ac:dyDescent="0.2">
      <c r="A882" s="237" t="str">
        <f>name!E$10</f>
        <v>Sales and customer service occupations</v>
      </c>
      <c r="B882" s="302">
        <v>0.67852679345707356</v>
      </c>
      <c r="C882" s="302">
        <v>0.31257519473024681</v>
      </c>
      <c r="D882" s="302">
        <v>0.24038626790735818</v>
      </c>
      <c r="E882" s="302">
        <f t="shared" si="378"/>
        <v>1.2314882560946785</v>
      </c>
      <c r="F882" s="303"/>
      <c r="G882" s="302">
        <v>0.78858841641967958</v>
      </c>
      <c r="H882" s="302">
        <v>0.51592751908341994</v>
      </c>
      <c r="I882" s="302">
        <v>0.21429082165418464</v>
      </c>
      <c r="J882" s="302">
        <f t="shared" si="381"/>
        <v>1.5188067571572841</v>
      </c>
      <c r="K882" s="303"/>
      <c r="L882" s="302">
        <v>0.79428190532329634</v>
      </c>
      <c r="M882" s="302">
        <v>0.63564066097814909</v>
      </c>
      <c r="N882" s="302">
        <v>0.18571062126717577</v>
      </c>
      <c r="O882" s="302">
        <f t="shared" si="380"/>
        <v>1.6156331875686212</v>
      </c>
    </row>
    <row r="883" spans="1:15" s="236" customFormat="1" x14ac:dyDescent="0.2">
      <c r="A883" s="237" t="str">
        <f>name!E$11</f>
        <v>Process, plant and machine operatives</v>
      </c>
      <c r="B883" s="302">
        <v>0.25230853266082692</v>
      </c>
      <c r="C883" s="302">
        <v>8.5107093365342681E-2</v>
      </c>
      <c r="D883" s="302">
        <v>5.3546101351749656E-2</v>
      </c>
      <c r="E883" s="302">
        <f t="shared" si="378"/>
        <v>0.39096172737791923</v>
      </c>
      <c r="F883" s="303"/>
      <c r="G883" s="302">
        <v>0.17968207015721877</v>
      </c>
      <c r="H883" s="302">
        <v>0.10035839190136867</v>
      </c>
      <c r="I883" s="302">
        <v>5.2337550798847075E-2</v>
      </c>
      <c r="J883" s="302">
        <f t="shared" si="381"/>
        <v>0.33237801285743451</v>
      </c>
      <c r="K883" s="303"/>
      <c r="L883" s="302">
        <v>0.19073917961663728</v>
      </c>
      <c r="M883" s="302">
        <v>0.1356562376023368</v>
      </c>
      <c r="N883" s="302">
        <v>6.1703304791815981E-2</v>
      </c>
      <c r="O883" s="302">
        <f t="shared" si="380"/>
        <v>0.38809872201079004</v>
      </c>
    </row>
    <row r="884" spans="1:15" s="236" customFormat="1" x14ac:dyDescent="0.2">
      <c r="A884" s="237" t="str">
        <f>name!E$12</f>
        <v>Elementary occupations</v>
      </c>
      <c r="B884" s="302">
        <v>0.33624630626993435</v>
      </c>
      <c r="C884" s="302">
        <v>0.17613984158956092</v>
      </c>
      <c r="D884" s="302">
        <v>6.3291603251955431E-2</v>
      </c>
      <c r="E884" s="302">
        <f t="shared" si="378"/>
        <v>0.57567775111145081</v>
      </c>
      <c r="F884" s="303"/>
      <c r="G884" s="302">
        <v>0.34395882000063582</v>
      </c>
      <c r="H884" s="302">
        <v>0.23579346440661286</v>
      </c>
      <c r="I884" s="302">
        <v>6.1945452627090496E-2</v>
      </c>
      <c r="J884" s="302">
        <f t="shared" si="381"/>
        <v>0.64169773703433919</v>
      </c>
      <c r="K884" s="303"/>
      <c r="L884" s="302">
        <v>0.3369753462127425</v>
      </c>
      <c r="M884" s="302">
        <v>0.17097404555101653</v>
      </c>
      <c r="N884" s="302">
        <v>0.10678338678605939</v>
      </c>
      <c r="O884" s="302">
        <f t="shared" si="380"/>
        <v>0.61473277854981834</v>
      </c>
    </row>
    <row r="885" spans="1:15" s="236" customFormat="1" x14ac:dyDescent="0.2">
      <c r="A885" s="237"/>
      <c r="B885" s="302"/>
      <c r="C885" s="302"/>
      <c r="D885" s="302"/>
      <c r="E885" s="302"/>
      <c r="F885" s="303"/>
      <c r="G885" s="302"/>
      <c r="H885" s="302"/>
      <c r="I885" s="302"/>
      <c r="J885" s="302"/>
      <c r="K885" s="303"/>
      <c r="L885" s="302"/>
      <c r="M885" s="302"/>
      <c r="N885" s="302"/>
      <c r="O885" s="302"/>
    </row>
    <row r="886" spans="1:15" s="236" customFormat="1" x14ac:dyDescent="0.2">
      <c r="A886" s="244" t="s">
        <v>32</v>
      </c>
      <c r="B886" s="311">
        <f>SUM(B876:B884)</f>
        <v>19.124999999777955</v>
      </c>
      <c r="C886" s="311">
        <f t="shared" ref="C886:E886" si="382">SUM(C876:C884)</f>
        <v>5.1639999999559416</v>
      </c>
      <c r="D886" s="311">
        <f t="shared" si="382"/>
        <v>6.3220000001193588</v>
      </c>
      <c r="E886" s="311">
        <f t="shared" si="382"/>
        <v>30.610999999853256</v>
      </c>
      <c r="F886" s="311"/>
      <c r="G886" s="311">
        <f t="shared" ref="G886:J886" si="383">SUM(G876:G884)</f>
        <v>24.975999999322969</v>
      </c>
      <c r="H886" s="311">
        <f t="shared" si="383"/>
        <v>10.047999999908114</v>
      </c>
      <c r="I886" s="311">
        <f t="shared" si="383"/>
        <v>6.9579999998408288</v>
      </c>
      <c r="J886" s="311">
        <f t="shared" si="383"/>
        <v>41.981999999071917</v>
      </c>
      <c r="K886" s="311"/>
      <c r="L886" s="311">
        <f t="shared" ref="L886:O886" si="384">SUM(L876:L884)</f>
        <v>27.311999999992985</v>
      </c>
      <c r="M886" s="311">
        <f t="shared" si="384"/>
        <v>11.402000000079731</v>
      </c>
      <c r="N886" s="311">
        <f t="shared" si="384"/>
        <v>7.529000000131445</v>
      </c>
      <c r="O886" s="311">
        <f t="shared" si="384"/>
        <v>46.243000000204155</v>
      </c>
    </row>
    <row r="887" spans="1:15" s="236" customFormat="1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40"/>
    </row>
    <row r="888" spans="1:15" s="236" customFormat="1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40"/>
      <c r="O888" s="251" t="s">
        <v>35</v>
      </c>
    </row>
    <row r="889" spans="1:15" s="236" customFormat="1" x14ac:dyDescent="0.2">
      <c r="A889" s="242"/>
      <c r="B889" s="242"/>
      <c r="C889" s="242"/>
      <c r="D889" s="242"/>
      <c r="E889" s="242"/>
      <c r="F889" s="242"/>
      <c r="G889" s="242"/>
      <c r="H889" s="242"/>
      <c r="I889" s="242"/>
      <c r="J889" s="242"/>
      <c r="K889" s="242"/>
      <c r="L889" s="242"/>
      <c r="M889" s="242"/>
      <c r="N889" s="242"/>
      <c r="O889" s="242"/>
    </row>
    <row r="890" spans="1:15" s="236" customFormat="1" x14ac:dyDescent="0.2">
      <c r="A890" s="241" t="str">
        <f>name!A55</f>
        <v>Head offices, etc</v>
      </c>
      <c r="B890" s="374">
        <f>$B$6</f>
        <v>2015</v>
      </c>
      <c r="C890" s="374"/>
      <c r="D890" s="374"/>
      <c r="E890" s="374"/>
      <c r="F890" s="263"/>
      <c r="G890" s="374">
        <f>$G$6</f>
        <v>2020</v>
      </c>
      <c r="H890" s="374"/>
      <c r="I890" s="374"/>
      <c r="J890" s="374"/>
      <c r="K890" s="263"/>
      <c r="L890" s="374">
        <f>$L$6</f>
        <v>2035</v>
      </c>
      <c r="M890" s="374"/>
      <c r="N890" s="374"/>
      <c r="O890" s="374"/>
    </row>
    <row r="891" spans="1:15" s="236" customFormat="1" x14ac:dyDescent="0.2">
      <c r="A891" s="254"/>
      <c r="B891" s="268" t="str">
        <f>$B$7</f>
        <v>FT</v>
      </c>
      <c r="C891" s="268" t="str">
        <f>$C$7</f>
        <v>PT</v>
      </c>
      <c r="D891" s="268" t="str">
        <f>$D$7</f>
        <v>SE</v>
      </c>
      <c r="E891" s="268" t="str">
        <f>$E$7</f>
        <v>Total</v>
      </c>
      <c r="F891" s="268"/>
      <c r="G891" s="268" t="str">
        <f>$G$7</f>
        <v>FT</v>
      </c>
      <c r="H891" s="268" t="str">
        <f>$H$7</f>
        <v>PT</v>
      </c>
      <c r="I891" s="268" t="str">
        <f>$I$7</f>
        <v>SE</v>
      </c>
      <c r="J891" s="268" t="str">
        <f>$J$7</f>
        <v>Total</v>
      </c>
      <c r="K891" s="268"/>
      <c r="L891" s="268" t="str">
        <f>$L$7</f>
        <v>FT</v>
      </c>
      <c r="M891" s="268" t="str">
        <f>$M$7</f>
        <v>PT</v>
      </c>
      <c r="N891" s="268" t="str">
        <f>$N$7</f>
        <v>SE</v>
      </c>
      <c r="O891" s="268" t="str">
        <f>$O$7</f>
        <v>Total</v>
      </c>
    </row>
    <row r="892" spans="1:15" s="236" customFormat="1" x14ac:dyDescent="0.2">
      <c r="A892" s="258"/>
      <c r="B892" s="239"/>
      <c r="C892" s="239"/>
      <c r="D892" s="239"/>
      <c r="E892" s="239"/>
      <c r="F892" s="239"/>
      <c r="G892" s="239"/>
      <c r="H892" s="239"/>
      <c r="I892" s="239"/>
      <c r="J892" s="239"/>
      <c r="K892" s="239"/>
      <c r="L892" s="239"/>
      <c r="M892" s="239"/>
      <c r="N892" s="239"/>
      <c r="O892" s="239"/>
    </row>
    <row r="893" spans="1:15" s="236" customFormat="1" x14ac:dyDescent="0.2">
      <c r="A893" s="237" t="str">
        <f>name!E$4</f>
        <v>Managers, directors and senior officials</v>
      </c>
      <c r="B893" s="302">
        <v>4.566937360064208</v>
      </c>
      <c r="C893" s="302">
        <v>1.1459953412705237</v>
      </c>
      <c r="D893" s="302">
        <v>1.0006891635010864</v>
      </c>
      <c r="E893" s="302">
        <f>SUM(B893:D893)</f>
        <v>6.7136218648358188</v>
      </c>
      <c r="F893" s="303"/>
      <c r="G893" s="302">
        <v>5.6122883969172381</v>
      </c>
      <c r="H893" s="302">
        <v>2.321034155060377</v>
      </c>
      <c r="I893" s="302">
        <v>1.3049335361212702</v>
      </c>
      <c r="J893" s="302">
        <f>SUM(G893:I893)</f>
        <v>9.2382560880988862</v>
      </c>
      <c r="K893" s="303"/>
      <c r="L893" s="302">
        <v>5.5574163444380957</v>
      </c>
      <c r="M893" s="302">
        <v>2.8301157367794763</v>
      </c>
      <c r="N893" s="302">
        <v>1.3030513142588183</v>
      </c>
      <c r="O893" s="302">
        <f>SUM(L893:N893)</f>
        <v>9.6905833954763896</v>
      </c>
    </row>
    <row r="894" spans="1:15" s="236" customFormat="1" x14ac:dyDescent="0.2">
      <c r="A894" s="237" t="str">
        <f>name!E$5</f>
        <v>Professional occupations</v>
      </c>
      <c r="B894" s="302">
        <v>12.24230129121978</v>
      </c>
      <c r="C894" s="302">
        <v>2.3214978449640187</v>
      </c>
      <c r="D894" s="302">
        <v>2.5993377328549596</v>
      </c>
      <c r="E894" s="302">
        <f t="shared" ref="E894:E901" si="385">SUM(B894:D894)</f>
        <v>17.163136869038759</v>
      </c>
      <c r="F894" s="303"/>
      <c r="G894" s="302">
        <v>17.75793489378005</v>
      </c>
      <c r="H894" s="302">
        <v>4.589054019449418</v>
      </c>
      <c r="I894" s="302">
        <v>2.5372922674040925</v>
      </c>
      <c r="J894" s="302">
        <f t="shared" ref="J894:J896" si="386">SUM(G894:I894)</f>
        <v>24.884281180633558</v>
      </c>
      <c r="K894" s="303"/>
      <c r="L894" s="302">
        <v>20.543957744850317</v>
      </c>
      <c r="M894" s="302">
        <v>5.7066815523390249</v>
      </c>
      <c r="N894" s="302">
        <v>2.352235413304637</v>
      </c>
      <c r="O894" s="302">
        <f t="shared" ref="O894:O901" si="387">SUM(L894:N894)</f>
        <v>28.602874710493978</v>
      </c>
    </row>
    <row r="895" spans="1:15" s="236" customFormat="1" x14ac:dyDescent="0.2">
      <c r="A895" s="237" t="str">
        <f>name!E$6</f>
        <v>Associate professional occupations</v>
      </c>
      <c r="B895" s="302">
        <v>5.475778893960789</v>
      </c>
      <c r="C895" s="302">
        <v>1.6320487970911082</v>
      </c>
      <c r="D895" s="302">
        <v>1.1235834566043912</v>
      </c>
      <c r="E895" s="302">
        <f t="shared" si="385"/>
        <v>8.2314111476562886</v>
      </c>
      <c r="F895" s="303"/>
      <c r="G895" s="302">
        <v>7.2419712067298887</v>
      </c>
      <c r="H895" s="302">
        <v>2.6829966661232851</v>
      </c>
      <c r="I895" s="302">
        <v>1.2154102025248961</v>
      </c>
      <c r="J895" s="302">
        <f t="shared" si="386"/>
        <v>11.14037807537807</v>
      </c>
      <c r="K895" s="303"/>
      <c r="L895" s="302">
        <v>6.8598243095860196</v>
      </c>
      <c r="M895" s="302">
        <v>2.9330241222239435</v>
      </c>
      <c r="N895" s="302">
        <v>1.2535811891066793</v>
      </c>
      <c r="O895" s="302">
        <f t="shared" si="387"/>
        <v>11.046429620916642</v>
      </c>
    </row>
    <row r="896" spans="1:15" s="236" customFormat="1" x14ac:dyDescent="0.2">
      <c r="A896" s="237" t="str">
        <f>name!E$7</f>
        <v>Administrative and secretarial occupations</v>
      </c>
      <c r="B896" s="302">
        <v>4.4915192927947603</v>
      </c>
      <c r="C896" s="302">
        <v>5.7980666412106503</v>
      </c>
      <c r="D896" s="302">
        <v>0.81076682857364979</v>
      </c>
      <c r="E896" s="302">
        <f t="shared" si="385"/>
        <v>11.10035276257906</v>
      </c>
      <c r="F896" s="303"/>
      <c r="G896" s="302">
        <v>5.4613539757198417</v>
      </c>
      <c r="H896" s="302">
        <v>8.0698757929098157</v>
      </c>
      <c r="I896" s="302">
        <v>1.0674340300091198</v>
      </c>
      <c r="J896" s="302">
        <f t="shared" si="386"/>
        <v>14.598663798638777</v>
      </c>
      <c r="K896" s="303"/>
      <c r="L896" s="302">
        <v>3.5062510910754372</v>
      </c>
      <c r="M896" s="302">
        <v>7.544488717019779</v>
      </c>
      <c r="N896" s="302">
        <v>0.80117028547442681</v>
      </c>
      <c r="O896" s="302">
        <f t="shared" si="387"/>
        <v>11.851910093569643</v>
      </c>
    </row>
    <row r="897" spans="1:15" s="236" customFormat="1" x14ac:dyDescent="0.2">
      <c r="A897" s="237" t="str">
        <f>name!E$8</f>
        <v>Skilled trades occupations</v>
      </c>
      <c r="B897" s="302">
        <v>1.1957130157998537</v>
      </c>
      <c r="C897" s="302">
        <v>0.37762191704500847</v>
      </c>
      <c r="D897" s="302">
        <v>0.24179166183164494</v>
      </c>
      <c r="E897" s="302">
        <f t="shared" si="385"/>
        <v>1.8151265946765072</v>
      </c>
      <c r="F897" s="303"/>
      <c r="G897" s="302">
        <v>1.0185431651943688</v>
      </c>
      <c r="H897" s="302">
        <v>0.27623407982325693</v>
      </c>
      <c r="I897" s="302">
        <v>0.23969591403380577</v>
      </c>
      <c r="J897" s="302">
        <f>SUM(G897:I897)</f>
        <v>1.5344731590514316</v>
      </c>
      <c r="K897" s="303"/>
      <c r="L897" s="302">
        <v>0.88374928776975692</v>
      </c>
      <c r="M897" s="302">
        <v>0.3802234736215297</v>
      </c>
      <c r="N897" s="302">
        <v>0.29148516763070403</v>
      </c>
      <c r="O897" s="302">
        <f t="shared" si="387"/>
        <v>1.5554579290219905</v>
      </c>
    </row>
    <row r="898" spans="1:15" s="236" customFormat="1" x14ac:dyDescent="0.2">
      <c r="A898" s="237" t="str">
        <f>name!E$9</f>
        <v>Caring, leisure and other service occupations</v>
      </c>
      <c r="B898" s="302">
        <v>0.10039551075296024</v>
      </c>
      <c r="C898" s="302">
        <v>6.2597009225870442E-2</v>
      </c>
      <c r="D898" s="302">
        <v>8.9809630334462182E-2</v>
      </c>
      <c r="E898" s="302">
        <f t="shared" si="385"/>
        <v>0.25280215031329289</v>
      </c>
      <c r="F898" s="303"/>
      <c r="G898" s="302">
        <v>0.10965690837408711</v>
      </c>
      <c r="H898" s="302">
        <v>7.6582361141526042E-2</v>
      </c>
      <c r="I898" s="302">
        <v>0.11010340125135809</v>
      </c>
      <c r="J898" s="302">
        <f t="shared" ref="J898:J901" si="388">SUM(G898:I898)</f>
        <v>0.29634267076697124</v>
      </c>
      <c r="K898" s="303"/>
      <c r="L898" s="302">
        <v>0.11161723339989152</v>
      </c>
      <c r="M898" s="302">
        <v>6.5840334567635384E-2</v>
      </c>
      <c r="N898" s="302">
        <v>0.17915111070390832</v>
      </c>
      <c r="O898" s="302">
        <f t="shared" si="387"/>
        <v>0.3566086786714352</v>
      </c>
    </row>
    <row r="899" spans="1:15" s="236" customFormat="1" x14ac:dyDescent="0.2">
      <c r="A899" s="237" t="str">
        <f>name!E$10</f>
        <v>Sales and customer service occupations</v>
      </c>
      <c r="B899" s="302">
        <v>0.85784924268989904</v>
      </c>
      <c r="C899" s="302">
        <v>0.78995817036154103</v>
      </c>
      <c r="D899" s="302">
        <v>0.25151756703718908</v>
      </c>
      <c r="E899" s="302">
        <f t="shared" si="385"/>
        <v>1.8993249800886289</v>
      </c>
      <c r="F899" s="303"/>
      <c r="G899" s="302">
        <v>0.99213031143611818</v>
      </c>
      <c r="H899" s="302">
        <v>1.0708951084968785</v>
      </c>
      <c r="I899" s="302">
        <v>0.21104620179767392</v>
      </c>
      <c r="J899" s="302">
        <f t="shared" si="388"/>
        <v>2.2740716217306702</v>
      </c>
      <c r="K899" s="303"/>
      <c r="L899" s="302">
        <v>0.96302353660479134</v>
      </c>
      <c r="M899" s="302">
        <v>1.2442779714601795</v>
      </c>
      <c r="N899" s="302">
        <v>0.15977143866853941</v>
      </c>
      <c r="O899" s="302">
        <f t="shared" si="387"/>
        <v>2.3670729467335101</v>
      </c>
    </row>
    <row r="900" spans="1:15" s="236" customFormat="1" x14ac:dyDescent="0.2">
      <c r="A900" s="237" t="str">
        <f>name!E$11</f>
        <v>Process, plant and machine operatives</v>
      </c>
      <c r="B900" s="302">
        <v>0.5151514747322733</v>
      </c>
      <c r="C900" s="302">
        <v>0.22693877750840932</v>
      </c>
      <c r="D900" s="302">
        <v>5.0359295344099352E-2</v>
      </c>
      <c r="E900" s="302">
        <f t="shared" si="385"/>
        <v>0.79244954758478192</v>
      </c>
      <c r="F900" s="303"/>
      <c r="G900" s="302">
        <v>0.39614684407509798</v>
      </c>
      <c r="H900" s="302">
        <v>0.25157720446540088</v>
      </c>
      <c r="I900" s="302">
        <v>5.0548155553085762E-2</v>
      </c>
      <c r="J900" s="302">
        <f t="shared" si="388"/>
        <v>0.6982722040935847</v>
      </c>
      <c r="K900" s="303"/>
      <c r="L900" s="302">
        <v>0.36088131772243548</v>
      </c>
      <c r="M900" s="302">
        <v>0.30519420756586657</v>
      </c>
      <c r="N900" s="302">
        <v>5.3784134929016757E-2</v>
      </c>
      <c r="O900" s="302">
        <f t="shared" si="387"/>
        <v>0.71985966021731884</v>
      </c>
    </row>
    <row r="901" spans="1:15" s="236" customFormat="1" x14ac:dyDescent="0.2">
      <c r="A901" s="237" t="str">
        <f>name!E$12</f>
        <v>Elementary occupations</v>
      </c>
      <c r="B901" s="302">
        <v>0.47435391785785652</v>
      </c>
      <c r="C901" s="302">
        <v>0.44127550121711306</v>
      </c>
      <c r="D901" s="302">
        <v>7.0144664005714841E-2</v>
      </c>
      <c r="E901" s="302">
        <f t="shared" si="385"/>
        <v>0.98577408308068448</v>
      </c>
      <c r="F901" s="303"/>
      <c r="G901" s="302">
        <v>0.4759742967058932</v>
      </c>
      <c r="H901" s="302">
        <v>0.47575061235047961</v>
      </c>
      <c r="I901" s="302">
        <v>6.1536291145386904E-2</v>
      </c>
      <c r="J901" s="302">
        <f t="shared" si="388"/>
        <v>1.0132612002017598</v>
      </c>
      <c r="K901" s="303"/>
      <c r="L901" s="302">
        <v>0.42427913433803577</v>
      </c>
      <c r="M901" s="302">
        <v>0.3301538845582655</v>
      </c>
      <c r="N901" s="302">
        <v>9.0769946037018337E-2</v>
      </c>
      <c r="O901" s="302">
        <f t="shared" si="387"/>
        <v>0.8452029649333197</v>
      </c>
    </row>
    <row r="902" spans="1:15" s="236" customFormat="1" x14ac:dyDescent="0.2">
      <c r="A902" s="237"/>
      <c r="B902" s="302"/>
      <c r="C902" s="302"/>
      <c r="D902" s="302"/>
      <c r="E902" s="302"/>
      <c r="F902" s="303"/>
      <c r="G902" s="302"/>
      <c r="H902" s="302"/>
      <c r="I902" s="302"/>
      <c r="J902" s="302"/>
      <c r="K902" s="303"/>
      <c r="L902" s="302"/>
      <c r="M902" s="302"/>
      <c r="N902" s="302"/>
      <c r="O902" s="302"/>
    </row>
    <row r="903" spans="1:15" s="236" customFormat="1" x14ac:dyDescent="0.2">
      <c r="A903" s="244" t="s">
        <v>32</v>
      </c>
      <c r="B903" s="311">
        <f>SUM(B893:B901)</f>
        <v>29.919999999872381</v>
      </c>
      <c r="C903" s="311">
        <f t="shared" ref="C903:E903" si="389">SUM(C893:C901)</f>
        <v>12.795999999894242</v>
      </c>
      <c r="D903" s="311">
        <f t="shared" si="389"/>
        <v>6.2380000000871973</v>
      </c>
      <c r="E903" s="311">
        <f t="shared" si="389"/>
        <v>48.953999999853828</v>
      </c>
      <c r="F903" s="311"/>
      <c r="G903" s="311">
        <f t="shared" ref="G903:J903" si="390">SUM(G893:G901)</f>
        <v>39.065999998932583</v>
      </c>
      <c r="H903" s="311">
        <f t="shared" si="390"/>
        <v>19.813999999820439</v>
      </c>
      <c r="I903" s="311">
        <f t="shared" si="390"/>
        <v>6.7979999998406901</v>
      </c>
      <c r="J903" s="311">
        <f t="shared" si="390"/>
        <v>65.677999998593691</v>
      </c>
      <c r="K903" s="311"/>
      <c r="L903" s="311">
        <f t="shared" ref="L903:O903" si="391">SUM(L893:L901)</f>
        <v>39.210999999784782</v>
      </c>
      <c r="M903" s="311">
        <f t="shared" si="391"/>
        <v>21.340000000135696</v>
      </c>
      <c r="N903" s="311">
        <f t="shared" si="391"/>
        <v>6.4850000001137484</v>
      </c>
      <c r="O903" s="311">
        <f t="shared" si="391"/>
        <v>67.036000000034235</v>
      </c>
    </row>
    <row r="904" spans="1:15" s="236" customFormat="1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40"/>
    </row>
    <row r="905" spans="1:15" s="236" customFormat="1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40"/>
      <c r="O905" s="251" t="s">
        <v>35</v>
      </c>
    </row>
    <row r="906" spans="1:15" s="236" customFormat="1" x14ac:dyDescent="0.2">
      <c r="A906" s="242"/>
      <c r="B906" s="242"/>
      <c r="C906" s="242"/>
      <c r="D906" s="242"/>
      <c r="E906" s="242"/>
      <c r="F906" s="242"/>
      <c r="G906" s="242"/>
      <c r="H906" s="242"/>
      <c r="I906" s="242"/>
      <c r="J906" s="242"/>
      <c r="K906" s="242"/>
      <c r="L906" s="242"/>
      <c r="M906" s="242"/>
      <c r="N906" s="242"/>
      <c r="O906" s="242"/>
    </row>
    <row r="907" spans="1:15" s="236" customFormat="1" x14ac:dyDescent="0.2">
      <c r="A907" s="241" t="str">
        <f>name!A56</f>
        <v>Architectural and related</v>
      </c>
      <c r="B907" s="374">
        <f>$B$6</f>
        <v>2015</v>
      </c>
      <c r="C907" s="374"/>
      <c r="D907" s="374"/>
      <c r="E907" s="374"/>
      <c r="F907" s="263"/>
      <c r="G907" s="374">
        <f>$G$6</f>
        <v>2020</v>
      </c>
      <c r="H907" s="374"/>
      <c r="I907" s="374"/>
      <c r="J907" s="374"/>
      <c r="K907" s="263"/>
      <c r="L907" s="374">
        <f>$L$6</f>
        <v>2035</v>
      </c>
      <c r="M907" s="374"/>
      <c r="N907" s="374"/>
      <c r="O907" s="374"/>
    </row>
    <row r="908" spans="1:15" s="236" customFormat="1" x14ac:dyDescent="0.2">
      <c r="A908" s="254"/>
      <c r="B908" s="268" t="str">
        <f>$B$7</f>
        <v>FT</v>
      </c>
      <c r="C908" s="268" t="str">
        <f>$C$7</f>
        <v>PT</v>
      </c>
      <c r="D908" s="268" t="str">
        <f>$D$7</f>
        <v>SE</v>
      </c>
      <c r="E908" s="268" t="str">
        <f>$E$7</f>
        <v>Total</v>
      </c>
      <c r="F908" s="268"/>
      <c r="G908" s="268" t="str">
        <f>$G$7</f>
        <v>FT</v>
      </c>
      <c r="H908" s="268" t="str">
        <f>$H$7</f>
        <v>PT</v>
      </c>
      <c r="I908" s="268" t="str">
        <f>$I$7</f>
        <v>SE</v>
      </c>
      <c r="J908" s="268" t="str">
        <f>$J$7</f>
        <v>Total</v>
      </c>
      <c r="K908" s="268"/>
      <c r="L908" s="268" t="str">
        <f>$L$7</f>
        <v>FT</v>
      </c>
      <c r="M908" s="268" t="str">
        <f>$M$7</f>
        <v>PT</v>
      </c>
      <c r="N908" s="268" t="str">
        <f>$N$7</f>
        <v>SE</v>
      </c>
      <c r="O908" s="268" t="str">
        <f>$O$7</f>
        <v>Total</v>
      </c>
    </row>
    <row r="909" spans="1:15" s="236" customFormat="1" x14ac:dyDescent="0.2">
      <c r="A909" s="258"/>
      <c r="B909" s="239"/>
      <c r="C909" s="239"/>
      <c r="D909" s="239"/>
      <c r="E909" s="239"/>
      <c r="F909" s="239"/>
      <c r="G909" s="239"/>
      <c r="H909" s="239"/>
      <c r="I909" s="239"/>
      <c r="J909" s="239"/>
      <c r="K909" s="239"/>
      <c r="L909" s="239"/>
      <c r="M909" s="239"/>
      <c r="N909" s="239"/>
      <c r="O909" s="239"/>
    </row>
    <row r="910" spans="1:15" s="236" customFormat="1" x14ac:dyDescent="0.2">
      <c r="A910" s="237" t="str">
        <f>name!E$4</f>
        <v>Managers, directors and senior officials</v>
      </c>
      <c r="B910" s="302">
        <v>3.9615726198998993</v>
      </c>
      <c r="C910" s="302">
        <v>0.47416393498346115</v>
      </c>
      <c r="D910" s="302">
        <v>0.9103144449513777</v>
      </c>
      <c r="E910" s="302">
        <f>SUM(B910:D910)</f>
        <v>5.3460509998347376</v>
      </c>
      <c r="F910" s="303"/>
      <c r="G910" s="302">
        <v>5.3787156829278313</v>
      </c>
      <c r="H910" s="302">
        <v>0.54547959727776019</v>
      </c>
      <c r="I910" s="302">
        <v>1.036521322259121</v>
      </c>
      <c r="J910" s="302">
        <f>SUM(G910:I910)</f>
        <v>6.9607166024647125</v>
      </c>
      <c r="K910" s="303"/>
      <c r="L910" s="302">
        <v>5.3308562161246842</v>
      </c>
      <c r="M910" s="302">
        <v>0.67215902725630672</v>
      </c>
      <c r="N910" s="302">
        <v>1.224334719899786</v>
      </c>
      <c r="O910" s="302">
        <f>SUM(L910:N910)</f>
        <v>7.2273499632807772</v>
      </c>
    </row>
    <row r="911" spans="1:15" s="236" customFormat="1" x14ac:dyDescent="0.2">
      <c r="A911" s="237" t="str">
        <f>name!E$5</f>
        <v>Professional occupations</v>
      </c>
      <c r="B911" s="302">
        <v>10.445172010885035</v>
      </c>
      <c r="C911" s="302">
        <v>0.88605166427674509</v>
      </c>
      <c r="D911" s="302">
        <v>2.6456476392276831</v>
      </c>
      <c r="E911" s="302">
        <f t="shared" ref="E911:E918" si="392">SUM(B911:D911)</f>
        <v>13.976871314389463</v>
      </c>
      <c r="F911" s="303"/>
      <c r="G911" s="302">
        <v>16.461934139400636</v>
      </c>
      <c r="H911" s="302">
        <v>1.0035342037504598</v>
      </c>
      <c r="I911" s="302">
        <v>2.3779037975670949</v>
      </c>
      <c r="J911" s="302">
        <f t="shared" ref="J911:J913" si="393">SUM(G911:I911)</f>
        <v>19.843372140718188</v>
      </c>
      <c r="K911" s="303"/>
      <c r="L911" s="302">
        <v>19.293912536557102</v>
      </c>
      <c r="M911" s="302">
        <v>1.2927173792524929</v>
      </c>
      <c r="N911" s="302">
        <v>2.0759592987090776</v>
      </c>
      <c r="O911" s="302">
        <f t="shared" ref="O911:O918" si="394">SUM(L911:N911)</f>
        <v>22.662589214518672</v>
      </c>
    </row>
    <row r="912" spans="1:15" s="236" customFormat="1" x14ac:dyDescent="0.2">
      <c r="A912" s="237" t="str">
        <f>name!E$6</f>
        <v>Associate professional occupations</v>
      </c>
      <c r="B912" s="302">
        <v>4.5276149197349147</v>
      </c>
      <c r="C912" s="302">
        <v>0.64398516156297547</v>
      </c>
      <c r="D912" s="302">
        <v>0.94517208024440535</v>
      </c>
      <c r="E912" s="302">
        <f t="shared" si="392"/>
        <v>6.1167721615422952</v>
      </c>
      <c r="F912" s="303"/>
      <c r="G912" s="302">
        <v>6.5358153519507614</v>
      </c>
      <c r="H912" s="302">
        <v>0.62747630754252148</v>
      </c>
      <c r="I912" s="302">
        <v>0.93314674270568432</v>
      </c>
      <c r="J912" s="302">
        <f t="shared" si="393"/>
        <v>8.0964384021989666</v>
      </c>
      <c r="K912" s="303"/>
      <c r="L912" s="302">
        <v>6.2230514014557299</v>
      </c>
      <c r="M912" s="302">
        <v>0.64376994340365956</v>
      </c>
      <c r="N912" s="302">
        <v>0.94839239367129113</v>
      </c>
      <c r="O912" s="302">
        <f t="shared" si="394"/>
        <v>7.815213738530681</v>
      </c>
    </row>
    <row r="913" spans="1:15" s="236" customFormat="1" x14ac:dyDescent="0.2">
      <c r="A913" s="237" t="str">
        <f>name!E$7</f>
        <v>Administrative and secretarial occupations</v>
      </c>
      <c r="B913" s="302">
        <v>2.6885842001115643</v>
      </c>
      <c r="C913" s="302">
        <v>1.8659871766082405</v>
      </c>
      <c r="D913" s="302">
        <v>0.36436788788645763</v>
      </c>
      <c r="E913" s="302">
        <f t="shared" si="392"/>
        <v>4.9189392646062622</v>
      </c>
      <c r="F913" s="303"/>
      <c r="G913" s="302">
        <v>3.4429465229393927</v>
      </c>
      <c r="H913" s="302">
        <v>1.3496383225249777</v>
      </c>
      <c r="I913" s="302">
        <v>0.45115904045160948</v>
      </c>
      <c r="J913" s="302">
        <f t="shared" si="393"/>
        <v>5.24374388591598</v>
      </c>
      <c r="K913" s="303"/>
      <c r="L913" s="302">
        <v>2.3730858859417205</v>
      </c>
      <c r="M913" s="302">
        <v>1.2050275308486371</v>
      </c>
      <c r="N913" s="302">
        <v>0.38199744054648344</v>
      </c>
      <c r="O913" s="302">
        <f t="shared" si="394"/>
        <v>3.9601108573368413</v>
      </c>
    </row>
    <row r="914" spans="1:15" s="236" customFormat="1" x14ac:dyDescent="0.2">
      <c r="A914" s="237" t="str">
        <f>name!E$8</f>
        <v>Skilled trades occupations</v>
      </c>
      <c r="B914" s="302">
        <v>1.1231499823914777</v>
      </c>
      <c r="C914" s="302">
        <v>0.20038451957547404</v>
      </c>
      <c r="D914" s="302">
        <v>0.23716433583095256</v>
      </c>
      <c r="E914" s="302">
        <f t="shared" si="392"/>
        <v>1.5606988377979043</v>
      </c>
      <c r="F914" s="303"/>
      <c r="G914" s="302">
        <v>1.079097832650332</v>
      </c>
      <c r="H914" s="302">
        <v>9.1273861790519509E-2</v>
      </c>
      <c r="I914" s="302">
        <v>0.19361841701209029</v>
      </c>
      <c r="J914" s="302">
        <f>SUM(G914:I914)</f>
        <v>1.3639901114529418</v>
      </c>
      <c r="K914" s="303"/>
      <c r="L914" s="302">
        <v>0.87997801827183608</v>
      </c>
      <c r="M914" s="302">
        <v>0.11777079056255964</v>
      </c>
      <c r="N914" s="302">
        <v>0.24283191755448935</v>
      </c>
      <c r="O914" s="302">
        <f t="shared" si="394"/>
        <v>1.2405807263888851</v>
      </c>
    </row>
    <row r="915" spans="1:15" s="236" customFormat="1" x14ac:dyDescent="0.2">
      <c r="A915" s="237" t="str">
        <f>name!E$9</f>
        <v>Caring, leisure and other service occupations</v>
      </c>
      <c r="B915" s="302">
        <v>7.5108745035866314E-2</v>
      </c>
      <c r="C915" s="302">
        <v>2.575799508785177E-2</v>
      </c>
      <c r="D915" s="302">
        <v>7.5027933297910326E-2</v>
      </c>
      <c r="E915" s="302">
        <f t="shared" si="392"/>
        <v>0.1758946734216284</v>
      </c>
      <c r="F915" s="303"/>
      <c r="G915" s="302">
        <v>9.0685419253068958E-2</v>
      </c>
      <c r="H915" s="302">
        <v>1.8919535593373497E-2</v>
      </c>
      <c r="I915" s="302">
        <v>8.2172767695047319E-2</v>
      </c>
      <c r="J915" s="302">
        <f t="shared" ref="J915:J918" si="395">SUM(G915:I915)</f>
        <v>0.19177772254148978</v>
      </c>
      <c r="K915" s="303"/>
      <c r="L915" s="302">
        <v>9.6570475584426954E-2</v>
      </c>
      <c r="M915" s="302">
        <v>1.7894015158108321E-2</v>
      </c>
      <c r="N915" s="302">
        <v>0.15091849370041985</v>
      </c>
      <c r="O915" s="302">
        <f t="shared" si="394"/>
        <v>0.26538298444295511</v>
      </c>
    </row>
    <row r="916" spans="1:15" s="236" customFormat="1" x14ac:dyDescent="0.2">
      <c r="A916" s="237" t="str">
        <f>name!E$10</f>
        <v>Sales and customer service occupations</v>
      </c>
      <c r="B916" s="302">
        <v>0.57313671353153528</v>
      </c>
      <c r="C916" s="302">
        <v>0.32697561511085066</v>
      </c>
      <c r="D916" s="302">
        <v>0.1723467748222873</v>
      </c>
      <c r="E916" s="302">
        <f t="shared" si="392"/>
        <v>1.0724591034646733</v>
      </c>
      <c r="F916" s="303"/>
      <c r="G916" s="302">
        <v>0.69991027965863106</v>
      </c>
      <c r="H916" s="302">
        <v>0.25940755782091812</v>
      </c>
      <c r="I916" s="302">
        <v>0.13714917871746463</v>
      </c>
      <c r="J916" s="302">
        <f t="shared" si="395"/>
        <v>1.0964670161970138</v>
      </c>
      <c r="K916" s="303"/>
      <c r="L916" s="302">
        <v>0.71699065187664568</v>
      </c>
      <c r="M916" s="302">
        <v>0.31110166561310265</v>
      </c>
      <c r="N916" s="302">
        <v>0.12496840080204735</v>
      </c>
      <c r="O916" s="302">
        <f t="shared" si="394"/>
        <v>1.1530607182917956</v>
      </c>
    </row>
    <row r="917" spans="1:15" s="236" customFormat="1" x14ac:dyDescent="0.2">
      <c r="A917" s="237" t="str">
        <f>name!E$11</f>
        <v>Process, plant and machine operatives</v>
      </c>
      <c r="B917" s="302">
        <v>0.48930779349605491</v>
      </c>
      <c r="C917" s="302">
        <v>0.1208426358204235</v>
      </c>
      <c r="D917" s="302">
        <v>5.2007525563674731E-2</v>
      </c>
      <c r="E917" s="302">
        <f t="shared" si="392"/>
        <v>0.66215795488015317</v>
      </c>
      <c r="F917" s="303"/>
      <c r="G917" s="302">
        <v>0.433864626000244</v>
      </c>
      <c r="H917" s="302">
        <v>9.0313894438805886E-2</v>
      </c>
      <c r="I917" s="302">
        <v>4.879876365340112E-2</v>
      </c>
      <c r="J917" s="302">
        <f t="shared" si="395"/>
        <v>0.57297728409245097</v>
      </c>
      <c r="K917" s="303"/>
      <c r="L917" s="302">
        <v>0.40601998964784813</v>
      </c>
      <c r="M917" s="302">
        <v>0.11210381099487253</v>
      </c>
      <c r="N917" s="302">
        <v>5.8654400022465338E-2</v>
      </c>
      <c r="O917" s="302">
        <f t="shared" si="394"/>
        <v>0.57677820066518604</v>
      </c>
    </row>
    <row r="918" spans="1:15" s="236" customFormat="1" x14ac:dyDescent="0.2">
      <c r="A918" s="237" t="str">
        <f>name!E$12</f>
        <v>Elementary occupations</v>
      </c>
      <c r="B918" s="302">
        <v>0.35335301494168825</v>
      </c>
      <c r="C918" s="302">
        <v>0.17385129694290596</v>
      </c>
      <c r="D918" s="302">
        <v>3.5951378351390104E-2</v>
      </c>
      <c r="E918" s="302">
        <f t="shared" si="392"/>
        <v>0.56315569023598422</v>
      </c>
      <c r="F918" s="303"/>
      <c r="G918" s="302">
        <v>0.37503014427041664</v>
      </c>
      <c r="H918" s="302">
        <v>0.10595671922472068</v>
      </c>
      <c r="I918" s="302">
        <v>3.1529969875721924E-2</v>
      </c>
      <c r="J918" s="302">
        <f t="shared" si="395"/>
        <v>0.51251683337085918</v>
      </c>
      <c r="K918" s="303"/>
      <c r="L918" s="302">
        <v>0.3325348241607326</v>
      </c>
      <c r="M918" s="302">
        <v>7.8455836925787226E-2</v>
      </c>
      <c r="N918" s="302">
        <v>4.4942935198696736E-2</v>
      </c>
      <c r="O918" s="302">
        <f t="shared" si="394"/>
        <v>0.45593359628521657</v>
      </c>
    </row>
    <row r="919" spans="1:15" s="236" customFormat="1" x14ac:dyDescent="0.2">
      <c r="A919" s="237"/>
      <c r="B919" s="302"/>
      <c r="C919" s="302"/>
      <c r="D919" s="302"/>
      <c r="E919" s="302"/>
      <c r="F919" s="303"/>
      <c r="G919" s="302"/>
      <c r="H919" s="302"/>
      <c r="I919" s="302"/>
      <c r="J919" s="302"/>
      <c r="K919" s="303"/>
      <c r="L919" s="302"/>
      <c r="M919" s="302"/>
      <c r="N919" s="302"/>
      <c r="O919" s="302"/>
    </row>
    <row r="920" spans="1:15" s="236" customFormat="1" x14ac:dyDescent="0.2">
      <c r="A920" s="244" t="s">
        <v>32</v>
      </c>
      <c r="B920" s="311">
        <f>SUM(B910:B918)</f>
        <v>24.237000000028036</v>
      </c>
      <c r="C920" s="311">
        <f t="shared" ref="C920:E920" si="396">SUM(C910:C918)</f>
        <v>4.7179999999689279</v>
      </c>
      <c r="D920" s="311">
        <f t="shared" si="396"/>
        <v>5.4380000001761388</v>
      </c>
      <c r="E920" s="311">
        <f t="shared" si="396"/>
        <v>34.393000000173103</v>
      </c>
      <c r="F920" s="311"/>
      <c r="G920" s="311">
        <f t="shared" ref="G920:J920" si="397">SUM(G910:G918)</f>
        <v>34.497999999051316</v>
      </c>
      <c r="H920" s="311">
        <f t="shared" si="397"/>
        <v>4.0919999999640568</v>
      </c>
      <c r="I920" s="311">
        <f t="shared" si="397"/>
        <v>5.2919999999372358</v>
      </c>
      <c r="J920" s="311">
        <f t="shared" si="397"/>
        <v>43.881999998952608</v>
      </c>
      <c r="K920" s="311"/>
      <c r="L920" s="311">
        <f t="shared" ref="L920:O920" si="398">SUM(L910:L918)</f>
        <v>35.652999999620718</v>
      </c>
      <c r="M920" s="311">
        <f t="shared" si="398"/>
        <v>4.4510000000155268</v>
      </c>
      <c r="N920" s="311">
        <f t="shared" si="398"/>
        <v>5.2530000001047581</v>
      </c>
      <c r="O920" s="311">
        <f t="shared" si="398"/>
        <v>45.356999999741014</v>
      </c>
    </row>
    <row r="921" spans="1:15" s="236" customFormat="1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40"/>
    </row>
    <row r="922" spans="1:15" s="236" customFormat="1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40"/>
      <c r="O922" s="251" t="s">
        <v>35</v>
      </c>
    </row>
    <row r="923" spans="1:15" s="236" customFormat="1" x14ac:dyDescent="0.2">
      <c r="A923" s="242"/>
      <c r="B923" s="242"/>
      <c r="C923" s="242"/>
      <c r="D923" s="242"/>
      <c r="E923" s="242"/>
      <c r="F923" s="242"/>
      <c r="G923" s="242"/>
      <c r="H923" s="242"/>
      <c r="I923" s="242"/>
      <c r="J923" s="242"/>
      <c r="K923" s="242"/>
      <c r="L923" s="242"/>
      <c r="M923" s="242"/>
      <c r="N923" s="242"/>
      <c r="O923" s="242"/>
    </row>
    <row r="924" spans="1:15" s="236" customFormat="1" x14ac:dyDescent="0.2">
      <c r="A924" s="241" t="str">
        <f>name!A57</f>
        <v>Scientific research and development</v>
      </c>
      <c r="B924" s="374">
        <f>$B$6</f>
        <v>2015</v>
      </c>
      <c r="C924" s="374"/>
      <c r="D924" s="374"/>
      <c r="E924" s="374"/>
      <c r="F924" s="263"/>
      <c r="G924" s="374">
        <f>$G$6</f>
        <v>2020</v>
      </c>
      <c r="H924" s="374"/>
      <c r="I924" s="374"/>
      <c r="J924" s="374"/>
      <c r="K924" s="263"/>
      <c r="L924" s="374">
        <f>$L$6</f>
        <v>2035</v>
      </c>
      <c r="M924" s="374"/>
      <c r="N924" s="374"/>
      <c r="O924" s="374"/>
    </row>
    <row r="925" spans="1:15" s="236" customFormat="1" x14ac:dyDescent="0.2">
      <c r="A925" s="254"/>
      <c r="B925" s="268" t="str">
        <f>$B$7</f>
        <v>FT</v>
      </c>
      <c r="C925" s="268" t="str">
        <f>$C$7</f>
        <v>PT</v>
      </c>
      <c r="D925" s="268" t="str">
        <f>$D$7</f>
        <v>SE</v>
      </c>
      <c r="E925" s="268" t="str">
        <f>$E$7</f>
        <v>Total</v>
      </c>
      <c r="F925" s="268"/>
      <c r="G925" s="268" t="str">
        <f>$G$7</f>
        <v>FT</v>
      </c>
      <c r="H925" s="268" t="str">
        <f>$H$7</f>
        <v>PT</v>
      </c>
      <c r="I925" s="268" t="str">
        <f>$I$7</f>
        <v>SE</v>
      </c>
      <c r="J925" s="268" t="str">
        <f>$J$7</f>
        <v>Total</v>
      </c>
      <c r="K925" s="268"/>
      <c r="L925" s="268" t="str">
        <f>$L$7</f>
        <v>FT</v>
      </c>
      <c r="M925" s="268" t="str">
        <f>$M$7</f>
        <v>PT</v>
      </c>
      <c r="N925" s="268" t="str">
        <f>$N$7</f>
        <v>SE</v>
      </c>
      <c r="O925" s="268" t="str">
        <f>$O$7</f>
        <v>Total</v>
      </c>
    </row>
    <row r="926" spans="1:15" s="236" customFormat="1" x14ac:dyDescent="0.2">
      <c r="A926" s="258"/>
      <c r="B926" s="239"/>
      <c r="C926" s="239"/>
      <c r="D926" s="239"/>
      <c r="E926" s="239"/>
      <c r="F926" s="239"/>
      <c r="G926" s="239"/>
      <c r="H926" s="239"/>
      <c r="I926" s="239"/>
      <c r="J926" s="239"/>
      <c r="K926" s="239"/>
      <c r="L926" s="239"/>
      <c r="M926" s="239"/>
      <c r="N926" s="239"/>
      <c r="O926" s="239"/>
    </row>
    <row r="927" spans="1:15" s="236" customFormat="1" x14ac:dyDescent="0.2">
      <c r="A927" s="237" t="str">
        <f>name!E$4</f>
        <v>Managers, directors and senior officials</v>
      </c>
      <c r="B927" s="302">
        <v>0.36910691044666655</v>
      </c>
      <c r="C927" s="302">
        <v>9.4805621629259762E-3</v>
      </c>
      <c r="D927" s="302">
        <v>0.3327609336921582</v>
      </c>
      <c r="E927" s="302">
        <f>SUM(B927:D927)</f>
        <v>0.71134840630175078</v>
      </c>
      <c r="F927" s="303"/>
      <c r="G927" s="302">
        <v>0.51960466862142929</v>
      </c>
      <c r="H927" s="302">
        <v>5.99580436633275E-2</v>
      </c>
      <c r="I927" s="302">
        <v>0.46832116792577083</v>
      </c>
      <c r="J927" s="302">
        <f>SUM(G927:I927)</f>
        <v>1.0478838802105277</v>
      </c>
      <c r="K927" s="303"/>
      <c r="L927" s="302">
        <v>0.53298779349540826</v>
      </c>
      <c r="M927" s="302">
        <v>8.0264413267309889E-2</v>
      </c>
      <c r="N927" s="302">
        <v>0.64891010067756449</v>
      </c>
      <c r="O927" s="302">
        <f>SUM(L927:N927)</f>
        <v>1.2621623074402826</v>
      </c>
    </row>
    <row r="928" spans="1:15" s="236" customFormat="1" x14ac:dyDescent="0.2">
      <c r="A928" s="237" t="str">
        <f>name!E$5</f>
        <v>Professional occupations</v>
      </c>
      <c r="B928" s="302">
        <v>1.6554247320726669</v>
      </c>
      <c r="C928" s="302">
        <v>5.3720727485678008E-2</v>
      </c>
      <c r="D928" s="302">
        <v>1.2941618948644087</v>
      </c>
      <c r="E928" s="302">
        <f t="shared" ref="E928:E935" si="399">SUM(B928:D928)</f>
        <v>3.0033073544227538</v>
      </c>
      <c r="F928" s="303"/>
      <c r="G928" s="302">
        <v>2.5804341228027687</v>
      </c>
      <c r="H928" s="302">
        <v>0.29445555812307067</v>
      </c>
      <c r="I928" s="302">
        <v>1.6636589559133019</v>
      </c>
      <c r="J928" s="302">
        <f t="shared" ref="J928:J930" si="400">SUM(G928:I928)</f>
        <v>4.538548636839141</v>
      </c>
      <c r="K928" s="303"/>
      <c r="L928" s="302">
        <v>3.2066329082591731</v>
      </c>
      <c r="M928" s="302">
        <v>0.42699903248887411</v>
      </c>
      <c r="N928" s="302">
        <v>1.9390406125899249</v>
      </c>
      <c r="O928" s="302">
        <f t="shared" ref="O928:O935" si="401">SUM(L928:N928)</f>
        <v>5.5726725533379717</v>
      </c>
    </row>
    <row r="929" spans="1:15" s="236" customFormat="1" x14ac:dyDescent="0.2">
      <c r="A929" s="237" t="str">
        <f>name!E$6</f>
        <v>Associate professional occupations</v>
      </c>
      <c r="B929" s="302">
        <v>0.43868751372090309</v>
      </c>
      <c r="C929" s="302">
        <v>2.4026403452334394E-2</v>
      </c>
      <c r="D929" s="302">
        <v>0.22916684195983636</v>
      </c>
      <c r="E929" s="302">
        <f t="shared" si="399"/>
        <v>0.6918807591330739</v>
      </c>
      <c r="F929" s="303"/>
      <c r="G929" s="302">
        <v>0.66975355450327079</v>
      </c>
      <c r="H929" s="302">
        <v>0.11941545796443061</v>
      </c>
      <c r="I929" s="302">
        <v>0.33758379182280773</v>
      </c>
      <c r="J929" s="302">
        <f t="shared" si="400"/>
        <v>1.1267528042905091</v>
      </c>
      <c r="K929" s="303"/>
      <c r="L929" s="302">
        <v>0.66605700087011133</v>
      </c>
      <c r="M929" s="302">
        <v>0.12704873310190473</v>
      </c>
      <c r="N929" s="302">
        <v>0.4382642356645437</v>
      </c>
      <c r="O929" s="302">
        <f t="shared" si="401"/>
        <v>1.2313699696365596</v>
      </c>
    </row>
    <row r="930" spans="1:15" s="236" customFormat="1" x14ac:dyDescent="0.2">
      <c r="A930" s="237" t="str">
        <f>name!E$7</f>
        <v>Administrative and secretarial occupations</v>
      </c>
      <c r="B930" s="302">
        <v>8.4029432112206454E-2</v>
      </c>
      <c r="C930" s="302">
        <v>3.36667100556515E-2</v>
      </c>
      <c r="D930" s="302">
        <v>0.14974400317757441</v>
      </c>
      <c r="E930" s="302">
        <f t="shared" si="399"/>
        <v>0.26744014534543237</v>
      </c>
      <c r="F930" s="303"/>
      <c r="G930" s="302">
        <v>0.12639780712402188</v>
      </c>
      <c r="H930" s="302">
        <v>0.18598813279433435</v>
      </c>
      <c r="I930" s="302">
        <v>0.31620709877246156</v>
      </c>
      <c r="J930" s="302">
        <f t="shared" si="400"/>
        <v>0.62859303869081784</v>
      </c>
      <c r="K930" s="303"/>
      <c r="L930" s="302">
        <v>9.573833051825989E-2</v>
      </c>
      <c r="M930" s="302">
        <v>0.17788987396988462</v>
      </c>
      <c r="N930" s="302">
        <v>0.31433113943657881</v>
      </c>
      <c r="O930" s="302">
        <f t="shared" si="401"/>
        <v>0.58795934392472327</v>
      </c>
    </row>
    <row r="931" spans="1:15" s="236" customFormat="1" x14ac:dyDescent="0.2">
      <c r="A931" s="237" t="str">
        <f>name!E$8</f>
        <v>Skilled trades occupations</v>
      </c>
      <c r="B931" s="302">
        <v>0.15677010150116361</v>
      </c>
      <c r="C931" s="302">
        <v>1.2433220387470354E-2</v>
      </c>
      <c r="D931" s="302">
        <v>0.15312624050992779</v>
      </c>
      <c r="E931" s="302">
        <f t="shared" si="399"/>
        <v>0.32232956239856175</v>
      </c>
      <c r="F931" s="303"/>
      <c r="G931" s="302">
        <v>0.15103438271620417</v>
      </c>
      <c r="H931" s="302">
        <v>2.0952656870913158E-2</v>
      </c>
      <c r="I931" s="302">
        <v>0.15872672645731564</v>
      </c>
      <c r="J931" s="302">
        <f>SUM(G931:I931)</f>
        <v>0.33071376604443298</v>
      </c>
      <c r="K931" s="303"/>
      <c r="L931" s="302">
        <v>0.11887643362896766</v>
      </c>
      <c r="M931" s="302">
        <v>2.5096282687518148E-2</v>
      </c>
      <c r="N931" s="302">
        <v>0.25612944665920701</v>
      </c>
      <c r="O931" s="302">
        <f t="shared" si="401"/>
        <v>0.40010216297569279</v>
      </c>
    </row>
    <row r="932" spans="1:15" s="236" customFormat="1" x14ac:dyDescent="0.2">
      <c r="A932" s="237" t="str">
        <f>name!E$9</f>
        <v>Caring, leisure and other service occupations</v>
      </c>
      <c r="B932" s="302">
        <v>5.8033700391245106E-2</v>
      </c>
      <c r="C932" s="302">
        <v>7.0239430890561552E-3</v>
      </c>
      <c r="D932" s="302">
        <v>0.10082667821571484</v>
      </c>
      <c r="E932" s="302">
        <f t="shared" si="399"/>
        <v>0.16588432169601608</v>
      </c>
      <c r="F932" s="303"/>
      <c r="G932" s="302">
        <v>7.841843148282801E-2</v>
      </c>
      <c r="H932" s="302">
        <v>2.2772341922014647E-2</v>
      </c>
      <c r="I932" s="302">
        <v>0.24070591427748922</v>
      </c>
      <c r="J932" s="302">
        <f t="shared" ref="J932:J935" si="402">SUM(G932:I932)</f>
        <v>0.34189668768233189</v>
      </c>
      <c r="K932" s="303"/>
      <c r="L932" s="302">
        <v>8.3097664019329415E-2</v>
      </c>
      <c r="M932" s="302">
        <v>2.5649643767354839E-2</v>
      </c>
      <c r="N932" s="302">
        <v>0.49665360840208744</v>
      </c>
      <c r="O932" s="302">
        <f t="shared" si="401"/>
        <v>0.60540091618877168</v>
      </c>
    </row>
    <row r="933" spans="1:15" s="236" customFormat="1" x14ac:dyDescent="0.2">
      <c r="A933" s="237" t="str">
        <f>name!E$10</f>
        <v>Sales and customer service occupations</v>
      </c>
      <c r="B933" s="302">
        <v>2.7158293663154365E-2</v>
      </c>
      <c r="C933" s="302">
        <v>2.3343765352333505E-2</v>
      </c>
      <c r="D933" s="302">
        <v>9.8980963871595037E-2</v>
      </c>
      <c r="E933" s="302">
        <f t="shared" si="399"/>
        <v>0.1494830228870829</v>
      </c>
      <c r="F933" s="303"/>
      <c r="G933" s="302">
        <v>3.5716895904162868E-2</v>
      </c>
      <c r="H933" s="302">
        <v>6.8388075201104695E-2</v>
      </c>
      <c r="I933" s="302">
        <v>0.11625025781583213</v>
      </c>
      <c r="J933" s="302">
        <f t="shared" si="402"/>
        <v>0.22035522892109971</v>
      </c>
      <c r="K933" s="303"/>
      <c r="L933" s="302">
        <v>4.5177664040388657E-2</v>
      </c>
      <c r="M933" s="302">
        <v>7.7506487238770863E-2</v>
      </c>
      <c r="N933" s="302">
        <v>0.15973591434751891</v>
      </c>
      <c r="O933" s="302">
        <f t="shared" si="401"/>
        <v>0.28242006562667843</v>
      </c>
    </row>
    <row r="934" spans="1:15" s="236" customFormat="1" x14ac:dyDescent="0.2">
      <c r="A934" s="237" t="str">
        <f>name!E$11</f>
        <v>Process, plant and machine operatives</v>
      </c>
      <c r="B934" s="302">
        <v>5.9530036890767718E-2</v>
      </c>
      <c r="C934" s="302">
        <v>1.4212506749870324E-2</v>
      </c>
      <c r="D934" s="302">
        <v>6.4945847942128307E-2</v>
      </c>
      <c r="E934" s="302">
        <f t="shared" si="399"/>
        <v>0.13868839158276636</v>
      </c>
      <c r="F934" s="303"/>
      <c r="G934" s="302">
        <v>5.5972747708748168E-2</v>
      </c>
      <c r="H934" s="302">
        <v>3.5872400308165457E-2</v>
      </c>
      <c r="I934" s="302">
        <v>6.5365020263569842E-2</v>
      </c>
      <c r="J934" s="302">
        <f t="shared" si="402"/>
        <v>0.15721016828048345</v>
      </c>
      <c r="K934" s="303"/>
      <c r="L934" s="302">
        <v>5.5806176948511879E-2</v>
      </c>
      <c r="M934" s="302">
        <v>4.0412726132948704E-2</v>
      </c>
      <c r="N934" s="302">
        <v>9.5987348940064207E-2</v>
      </c>
      <c r="O934" s="302">
        <f t="shared" si="401"/>
        <v>0.1922062520215248</v>
      </c>
    </row>
    <row r="935" spans="1:15" s="236" customFormat="1" x14ac:dyDescent="0.2">
      <c r="A935" s="237" t="str">
        <f>name!E$12</f>
        <v>Elementary occupations</v>
      </c>
      <c r="B935" s="302">
        <v>3.4259279250566321E-2</v>
      </c>
      <c r="C935" s="302">
        <v>4.0921612623071278E-3</v>
      </c>
      <c r="D935" s="302">
        <v>0.14828659582317857</v>
      </c>
      <c r="E935" s="302">
        <f t="shared" si="399"/>
        <v>0.18663803633605203</v>
      </c>
      <c r="F935" s="303"/>
      <c r="G935" s="302">
        <v>3.4667389046192001E-2</v>
      </c>
      <c r="H935" s="302">
        <v>1.1197333143641982E-2</v>
      </c>
      <c r="I935" s="302">
        <v>0.22518106666963855</v>
      </c>
      <c r="J935" s="302">
        <f t="shared" si="402"/>
        <v>0.27104578885947256</v>
      </c>
      <c r="K935" s="303"/>
      <c r="L935" s="302">
        <v>2.66260281480264E-2</v>
      </c>
      <c r="M935" s="302">
        <v>8.1328073464068812E-3</v>
      </c>
      <c r="N935" s="302">
        <v>0.2909475933507743</v>
      </c>
      <c r="O935" s="302">
        <f t="shared" si="401"/>
        <v>0.32570642884520756</v>
      </c>
    </row>
    <row r="936" spans="1:15" s="236" customFormat="1" x14ac:dyDescent="0.2">
      <c r="A936" s="237"/>
      <c r="B936" s="302"/>
      <c r="C936" s="302"/>
      <c r="D936" s="302"/>
      <c r="E936" s="302"/>
      <c r="F936" s="303"/>
      <c r="G936" s="302"/>
      <c r="H936" s="302"/>
      <c r="I936" s="302"/>
      <c r="J936" s="302"/>
      <c r="K936" s="303"/>
      <c r="L936" s="302"/>
      <c r="M936" s="302"/>
      <c r="N936" s="302"/>
      <c r="O936" s="302"/>
    </row>
    <row r="937" spans="1:15" s="236" customFormat="1" x14ac:dyDescent="0.2">
      <c r="A937" s="244" t="s">
        <v>32</v>
      </c>
      <c r="B937" s="311">
        <f>SUM(B927:B935)</f>
        <v>2.8830000000493401</v>
      </c>
      <c r="C937" s="311">
        <f t="shared" ref="C937:E937" si="403">SUM(C927:C935)</f>
        <v>0.18199999999762734</v>
      </c>
      <c r="D937" s="311">
        <f t="shared" si="403"/>
        <v>2.572000000056522</v>
      </c>
      <c r="E937" s="311">
        <f t="shared" si="403"/>
        <v>5.6370000001034883</v>
      </c>
      <c r="F937" s="311"/>
      <c r="G937" s="311">
        <f t="shared" ref="G937:J937" si="404">SUM(G927:G935)</f>
        <v>4.2519999999096267</v>
      </c>
      <c r="H937" s="311">
        <f t="shared" si="404"/>
        <v>0.81899999999100304</v>
      </c>
      <c r="I937" s="311">
        <f t="shared" si="404"/>
        <v>3.5919999999181877</v>
      </c>
      <c r="J937" s="311">
        <f t="shared" si="404"/>
        <v>8.662999999818819</v>
      </c>
      <c r="K937" s="311"/>
      <c r="L937" s="311">
        <f t="shared" ref="L937:O937" si="405">SUM(L927:L935)</f>
        <v>4.830999999928177</v>
      </c>
      <c r="M937" s="311">
        <f t="shared" si="405"/>
        <v>0.98900000000097277</v>
      </c>
      <c r="N937" s="311">
        <f t="shared" si="405"/>
        <v>4.6400000000682633</v>
      </c>
      <c r="O937" s="311">
        <f t="shared" si="405"/>
        <v>10.459999999997413</v>
      </c>
    </row>
    <row r="938" spans="1:15" s="236" customFormat="1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40"/>
    </row>
    <row r="939" spans="1:15" s="236" customFormat="1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40"/>
      <c r="O939" s="251" t="s">
        <v>35</v>
      </c>
    </row>
    <row r="940" spans="1:15" s="236" customFormat="1" x14ac:dyDescent="0.2">
      <c r="A940" s="242"/>
      <c r="B940" s="242"/>
      <c r="C940" s="242"/>
      <c r="D940" s="242"/>
      <c r="E940" s="242"/>
      <c r="F940" s="242"/>
      <c r="G940" s="242"/>
      <c r="H940" s="242"/>
      <c r="I940" s="242"/>
      <c r="J940" s="242"/>
      <c r="K940" s="242"/>
      <c r="L940" s="242"/>
      <c r="M940" s="242"/>
      <c r="N940" s="242"/>
      <c r="O940" s="242"/>
    </row>
    <row r="941" spans="1:15" s="236" customFormat="1" x14ac:dyDescent="0.2">
      <c r="A941" s="241" t="str">
        <f>name!A58</f>
        <v>Advertising, etc</v>
      </c>
      <c r="B941" s="374">
        <f>$B$6</f>
        <v>2015</v>
      </c>
      <c r="C941" s="374"/>
      <c r="D941" s="374"/>
      <c r="E941" s="374"/>
      <c r="F941" s="263"/>
      <c r="G941" s="374">
        <f>$G$6</f>
        <v>2020</v>
      </c>
      <c r="H941" s="374"/>
      <c r="I941" s="374"/>
      <c r="J941" s="374"/>
      <c r="K941" s="263"/>
      <c r="L941" s="374">
        <f>$L$6</f>
        <v>2035</v>
      </c>
      <c r="M941" s="374"/>
      <c r="N941" s="374"/>
      <c r="O941" s="374"/>
    </row>
    <row r="942" spans="1:15" s="236" customFormat="1" x14ac:dyDescent="0.2">
      <c r="A942" s="254"/>
      <c r="B942" s="268" t="str">
        <f>$B$7</f>
        <v>FT</v>
      </c>
      <c r="C942" s="268" t="str">
        <f>$C$7</f>
        <v>PT</v>
      </c>
      <c r="D942" s="268" t="str">
        <f>$D$7</f>
        <v>SE</v>
      </c>
      <c r="E942" s="268" t="str">
        <f>$E$7</f>
        <v>Total</v>
      </c>
      <c r="F942" s="268"/>
      <c r="G942" s="268" t="str">
        <f>$G$7</f>
        <v>FT</v>
      </c>
      <c r="H942" s="268" t="str">
        <f>$H$7</f>
        <v>PT</v>
      </c>
      <c r="I942" s="268" t="str">
        <f>$I$7</f>
        <v>SE</v>
      </c>
      <c r="J942" s="268" t="str">
        <f>$J$7</f>
        <v>Total</v>
      </c>
      <c r="K942" s="268"/>
      <c r="L942" s="268" t="str">
        <f>$L$7</f>
        <v>FT</v>
      </c>
      <c r="M942" s="268" t="str">
        <f>$M$7</f>
        <v>PT</v>
      </c>
      <c r="N942" s="268" t="str">
        <f>$N$7</f>
        <v>SE</v>
      </c>
      <c r="O942" s="268" t="str">
        <f>$O$7</f>
        <v>Total</v>
      </c>
    </row>
    <row r="943" spans="1:15" s="236" customFormat="1" x14ac:dyDescent="0.2">
      <c r="A943" s="258"/>
      <c r="B943" s="239"/>
      <c r="C943" s="239"/>
      <c r="D943" s="239"/>
      <c r="E943" s="239"/>
      <c r="F943" s="239"/>
      <c r="G943" s="239"/>
      <c r="H943" s="239"/>
      <c r="I943" s="239"/>
      <c r="J943" s="239"/>
      <c r="K943" s="239"/>
      <c r="L943" s="239"/>
      <c r="M943" s="239"/>
      <c r="N943" s="239"/>
      <c r="O943" s="239"/>
    </row>
    <row r="944" spans="1:15" s="236" customFormat="1" x14ac:dyDescent="0.2">
      <c r="A944" s="237" t="str">
        <f>name!E$4</f>
        <v>Managers, directors and senior officials</v>
      </c>
      <c r="B944" s="302">
        <v>0.43453082983229036</v>
      </c>
      <c r="C944" s="302">
        <v>0.12226239932195636</v>
      </c>
      <c r="D944" s="302">
        <v>0.40980187280039593</v>
      </c>
      <c r="E944" s="302">
        <f>SUM(B944:D944)</f>
        <v>0.9665951019546426</v>
      </c>
      <c r="F944" s="303"/>
      <c r="G944" s="302">
        <v>0.29583332996919248</v>
      </c>
      <c r="H944" s="302">
        <v>0.12381582419501411</v>
      </c>
      <c r="I944" s="302">
        <v>0.27091218415778101</v>
      </c>
      <c r="J944" s="302">
        <f>SUM(G944:I944)</f>
        <v>0.69056133832198752</v>
      </c>
      <c r="K944" s="303"/>
      <c r="L944" s="302">
        <v>0.34716768408744347</v>
      </c>
      <c r="M944" s="302">
        <v>0.1661614198374301</v>
      </c>
      <c r="N944" s="302">
        <v>0.36306464697210294</v>
      </c>
      <c r="O944" s="302">
        <f>SUM(L944:N944)</f>
        <v>0.87639375089697646</v>
      </c>
    </row>
    <row r="945" spans="1:15" s="236" customFormat="1" x14ac:dyDescent="0.2">
      <c r="A945" s="237" t="str">
        <f>name!E$5</f>
        <v>Professional occupations</v>
      </c>
      <c r="B945" s="302">
        <v>1.1787524222278485</v>
      </c>
      <c r="C945" s="302">
        <v>0.25346656015582253</v>
      </c>
      <c r="D945" s="302">
        <v>1.1114959684013968</v>
      </c>
      <c r="E945" s="302">
        <f t="shared" ref="E945:E952" si="406">SUM(B945:D945)</f>
        <v>2.543714950785068</v>
      </c>
      <c r="F945" s="303"/>
      <c r="G945" s="302">
        <v>0.96307646740902553</v>
      </c>
      <c r="H945" s="302">
        <v>0.2580838785137215</v>
      </c>
      <c r="I945" s="302">
        <v>0.53115385535689574</v>
      </c>
      <c r="J945" s="302">
        <f t="shared" ref="J945:J947" si="407">SUM(G945:I945)</f>
        <v>1.7523142012796429</v>
      </c>
      <c r="K945" s="303"/>
      <c r="L945" s="302">
        <v>1.3047382395061737</v>
      </c>
      <c r="M945" s="302">
        <v>0.34510376402920845</v>
      </c>
      <c r="N945" s="302">
        <v>0.66020295836139464</v>
      </c>
      <c r="O945" s="302">
        <f t="shared" ref="O945:O952" si="408">SUM(L945:N945)</f>
        <v>2.3100449618967769</v>
      </c>
    </row>
    <row r="946" spans="1:15" s="236" customFormat="1" x14ac:dyDescent="0.2">
      <c r="A946" s="237" t="str">
        <f>name!E$6</f>
        <v>Associate professional occupations</v>
      </c>
      <c r="B946" s="302">
        <v>0.53876999779047319</v>
      </c>
      <c r="C946" s="302">
        <v>0.17655143518973404</v>
      </c>
      <c r="D946" s="302">
        <v>0.44725936211247586</v>
      </c>
      <c r="E946" s="302">
        <f t="shared" si="406"/>
        <v>1.162580795092683</v>
      </c>
      <c r="F946" s="303"/>
      <c r="G946" s="302">
        <v>0.40137714807897762</v>
      </c>
      <c r="H946" s="302">
        <v>0.1436686411599474</v>
      </c>
      <c r="I946" s="302">
        <v>0.25193528185697955</v>
      </c>
      <c r="J946" s="302">
        <f t="shared" si="407"/>
        <v>0.79698107109590455</v>
      </c>
      <c r="K946" s="303"/>
      <c r="L946" s="302">
        <v>0.44702989653937075</v>
      </c>
      <c r="M946" s="302">
        <v>0.1806836090910463</v>
      </c>
      <c r="N946" s="302">
        <v>0.35750282796522287</v>
      </c>
      <c r="O946" s="302">
        <f t="shared" si="408"/>
        <v>0.98521633359563987</v>
      </c>
    </row>
    <row r="947" spans="1:15" s="236" customFormat="1" x14ac:dyDescent="0.2">
      <c r="A947" s="237" t="str">
        <f>name!E$7</f>
        <v>Administrative and secretarial occupations</v>
      </c>
      <c r="B947" s="302">
        <v>0.5238475678281086</v>
      </c>
      <c r="C947" s="302">
        <v>0.66003555560061067</v>
      </c>
      <c r="D947" s="302">
        <v>0.26960002490176838</v>
      </c>
      <c r="E947" s="302">
        <f t="shared" si="406"/>
        <v>1.4534831483304878</v>
      </c>
      <c r="F947" s="303"/>
      <c r="G947" s="302">
        <v>0.37478913015885051</v>
      </c>
      <c r="H947" s="302">
        <v>0.52737413493362406</v>
      </c>
      <c r="I947" s="302">
        <v>0.21679452531142354</v>
      </c>
      <c r="J947" s="302">
        <f t="shared" si="407"/>
        <v>1.1189577904038981</v>
      </c>
      <c r="K947" s="303"/>
      <c r="L947" s="302">
        <v>0.27033510619762824</v>
      </c>
      <c r="M947" s="302">
        <v>0.53714480682607557</v>
      </c>
      <c r="N947" s="302">
        <v>0.23651261381758965</v>
      </c>
      <c r="O947" s="302">
        <f t="shared" si="408"/>
        <v>1.0439925268412935</v>
      </c>
    </row>
    <row r="948" spans="1:15" s="236" customFormat="1" x14ac:dyDescent="0.2">
      <c r="A948" s="237" t="str">
        <f>name!E$8</f>
        <v>Skilled trades occupations</v>
      </c>
      <c r="B948" s="302">
        <v>0.10690199313054644</v>
      </c>
      <c r="C948" s="302">
        <v>3.6853776301887985E-2</v>
      </c>
      <c r="D948" s="302">
        <v>0.10189723481400988</v>
      </c>
      <c r="E948" s="302">
        <f t="shared" si="406"/>
        <v>0.24565300424644432</v>
      </c>
      <c r="F948" s="303"/>
      <c r="G948" s="302">
        <v>4.8693894005942963E-2</v>
      </c>
      <c r="H948" s="302">
        <v>1.0067005343621007E-2</v>
      </c>
      <c r="I948" s="302">
        <v>4.9801458111370038E-2</v>
      </c>
      <c r="J948" s="302">
        <f>SUM(G948:I948)</f>
        <v>0.10856235746093401</v>
      </c>
      <c r="K948" s="303"/>
      <c r="L948" s="302">
        <v>5.3535989494719861E-2</v>
      </c>
      <c r="M948" s="302">
        <v>1.791467832348257E-2</v>
      </c>
      <c r="N948" s="302">
        <v>8.232787132862579E-2</v>
      </c>
      <c r="O948" s="302">
        <f t="shared" si="408"/>
        <v>0.15377853914682821</v>
      </c>
    </row>
    <row r="949" spans="1:15" s="236" customFormat="1" x14ac:dyDescent="0.2">
      <c r="A949" s="237" t="str">
        <f>name!E$9</f>
        <v>Caring, leisure and other service occupations</v>
      </c>
      <c r="B949" s="302">
        <v>1.0509539054136206E-2</v>
      </c>
      <c r="C949" s="302">
        <v>6.6893082902697342E-3</v>
      </c>
      <c r="D949" s="302">
        <v>3.5662923268271675E-2</v>
      </c>
      <c r="E949" s="302">
        <f t="shared" si="406"/>
        <v>5.2861770612677619E-2</v>
      </c>
      <c r="F949" s="303"/>
      <c r="G949" s="302">
        <v>6.4793238571390519E-3</v>
      </c>
      <c r="H949" s="302">
        <v>3.9220542738378243E-3</v>
      </c>
      <c r="I949" s="302">
        <v>2.2794062702638309E-2</v>
      </c>
      <c r="J949" s="302">
        <f t="shared" ref="J949:J952" si="409">SUM(G949:I949)</f>
        <v>3.3195440833615183E-2</v>
      </c>
      <c r="K949" s="303"/>
      <c r="L949" s="302">
        <v>7.516451868907403E-3</v>
      </c>
      <c r="M949" s="302">
        <v>3.5033526248797347E-3</v>
      </c>
      <c r="N949" s="302">
        <v>5.0540079447384763E-2</v>
      </c>
      <c r="O949" s="302">
        <f t="shared" si="408"/>
        <v>6.15598839411719E-2</v>
      </c>
    </row>
    <row r="950" spans="1:15" s="236" customFormat="1" x14ac:dyDescent="0.2">
      <c r="A950" s="237" t="str">
        <f>name!E$10</f>
        <v>Sales and customer service occupations</v>
      </c>
      <c r="B950" s="302">
        <v>9.5285996805614365E-2</v>
      </c>
      <c r="C950" s="302">
        <v>8.4268291327086492E-2</v>
      </c>
      <c r="D950" s="302">
        <v>9.3557498283555099E-2</v>
      </c>
      <c r="E950" s="302">
        <f t="shared" si="406"/>
        <v>0.27311178641625594</v>
      </c>
      <c r="F950" s="303"/>
      <c r="G950" s="302">
        <v>6.4472944191303103E-2</v>
      </c>
      <c r="H950" s="302">
        <v>5.5757580033654601E-2</v>
      </c>
      <c r="I950" s="302">
        <v>4.3444740893251108E-2</v>
      </c>
      <c r="J950" s="302">
        <f t="shared" si="409"/>
        <v>0.16367526511820879</v>
      </c>
      <c r="K950" s="303"/>
      <c r="L950" s="302">
        <v>7.0871996668209924E-2</v>
      </c>
      <c r="M950" s="302">
        <v>7.0552565297423292E-2</v>
      </c>
      <c r="N950" s="302">
        <v>4.5417763778969264E-2</v>
      </c>
      <c r="O950" s="302">
        <f t="shared" si="408"/>
        <v>0.18684232574460247</v>
      </c>
    </row>
    <row r="951" spans="1:15" s="236" customFormat="1" x14ac:dyDescent="0.2">
      <c r="A951" s="237" t="str">
        <f>name!E$11</f>
        <v>Process, plant and machine operatives</v>
      </c>
      <c r="B951" s="302">
        <v>4.5623805975533137E-2</v>
      </c>
      <c r="C951" s="302">
        <v>2.211544266921938E-2</v>
      </c>
      <c r="D951" s="302">
        <v>2.1659637449294E-2</v>
      </c>
      <c r="E951" s="302">
        <f t="shared" si="406"/>
        <v>8.9398886094046517E-2</v>
      </c>
      <c r="F951" s="303"/>
      <c r="G951" s="302">
        <v>1.8251361242601405E-2</v>
      </c>
      <c r="H951" s="302">
        <v>7.8951931468296023E-3</v>
      </c>
      <c r="I951" s="302">
        <v>1.059898683728671E-2</v>
      </c>
      <c r="J951" s="302">
        <f t="shared" si="409"/>
        <v>3.6745541226717721E-2</v>
      </c>
      <c r="K951" s="303"/>
      <c r="L951" s="302">
        <v>1.9443202819011712E-2</v>
      </c>
      <c r="M951" s="302">
        <v>1.1558835058049652E-2</v>
      </c>
      <c r="N951" s="302">
        <v>1.4694759942326951E-2</v>
      </c>
      <c r="O951" s="302">
        <f t="shared" si="408"/>
        <v>4.5696797819388318E-2</v>
      </c>
    </row>
    <row r="952" spans="1:15" s="236" customFormat="1" x14ac:dyDescent="0.2">
      <c r="A952" s="237" t="str">
        <f>name!E$12</f>
        <v>Elementary occupations</v>
      </c>
      <c r="B952" s="302">
        <v>4.9777847332226274E-2</v>
      </c>
      <c r="C952" s="302">
        <v>4.7757231131144648E-2</v>
      </c>
      <c r="D952" s="302">
        <v>2.4065478020739137E-2</v>
      </c>
      <c r="E952" s="302">
        <f t="shared" si="406"/>
        <v>0.12160055648411006</v>
      </c>
      <c r="F952" s="303"/>
      <c r="G952" s="302">
        <v>2.9026401027100333E-2</v>
      </c>
      <c r="H952" s="302">
        <v>2.6415688389060308E-2</v>
      </c>
      <c r="I952" s="302">
        <v>1.2564904740074722E-2</v>
      </c>
      <c r="J952" s="302">
        <f t="shared" si="409"/>
        <v>6.8006994156235359E-2</v>
      </c>
      <c r="K952" s="303"/>
      <c r="L952" s="302">
        <v>3.0361432814041772E-2</v>
      </c>
      <c r="M952" s="302">
        <v>1.9376968923052809E-2</v>
      </c>
      <c r="N952" s="302">
        <v>2.6736478418151636E-2</v>
      </c>
      <c r="O952" s="302">
        <f t="shared" si="408"/>
        <v>7.6474880155246214E-2</v>
      </c>
    </row>
    <row r="953" spans="1:15" s="236" customFormat="1" x14ac:dyDescent="0.2">
      <c r="A953" s="237"/>
      <c r="B953" s="302"/>
      <c r="C953" s="302"/>
      <c r="D953" s="302"/>
      <c r="E953" s="302"/>
      <c r="F953" s="303"/>
      <c r="G953" s="302"/>
      <c r="H953" s="302"/>
      <c r="I953" s="302"/>
      <c r="J953" s="302"/>
      <c r="K953" s="303"/>
      <c r="L953" s="302"/>
      <c r="M953" s="302"/>
      <c r="N953" s="302"/>
      <c r="O953" s="302"/>
    </row>
    <row r="954" spans="1:15" s="236" customFormat="1" x14ac:dyDescent="0.2">
      <c r="A954" s="244" t="s">
        <v>32</v>
      </c>
      <c r="B954" s="311">
        <f>SUM(B944:B952)</f>
        <v>2.9839999999767768</v>
      </c>
      <c r="C954" s="311">
        <f t="shared" ref="C954:E954" si="410">SUM(C944:C952)</f>
        <v>1.4099999999877317</v>
      </c>
      <c r="D954" s="311">
        <f t="shared" si="410"/>
        <v>2.5150000000519062</v>
      </c>
      <c r="E954" s="311">
        <f t="shared" si="410"/>
        <v>6.9090000000164151</v>
      </c>
      <c r="F954" s="311"/>
      <c r="G954" s="311">
        <f t="shared" ref="G954:J954" si="411">SUM(G944:G952)</f>
        <v>2.2019999999401332</v>
      </c>
      <c r="H954" s="311">
        <f t="shared" si="411"/>
        <v>1.1569999999893101</v>
      </c>
      <c r="I954" s="311">
        <f t="shared" si="411"/>
        <v>1.4099999999677006</v>
      </c>
      <c r="J954" s="311">
        <f t="shared" si="411"/>
        <v>4.7689999998971428</v>
      </c>
      <c r="K954" s="311"/>
      <c r="L954" s="311">
        <f t="shared" ref="L954:O954" si="412">SUM(L944:L952)</f>
        <v>2.5509999999955073</v>
      </c>
      <c r="M954" s="311">
        <f t="shared" si="412"/>
        <v>1.3520000000106482</v>
      </c>
      <c r="N954" s="311">
        <f t="shared" si="412"/>
        <v>1.8370000000317686</v>
      </c>
      <c r="O954" s="311">
        <f t="shared" si="412"/>
        <v>5.7400000000379245</v>
      </c>
    </row>
    <row r="955" spans="1:15" s="236" customFormat="1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40"/>
    </row>
    <row r="956" spans="1:15" s="236" customFormat="1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40"/>
      <c r="O956" s="251" t="s">
        <v>35</v>
      </c>
    </row>
    <row r="957" spans="1:15" s="236" customFormat="1" x14ac:dyDescent="0.2">
      <c r="A957" s="242"/>
      <c r="B957" s="242"/>
      <c r="C957" s="242"/>
      <c r="D957" s="242"/>
      <c r="E957" s="242"/>
      <c r="F957" s="242"/>
      <c r="G957" s="242"/>
      <c r="H957" s="242"/>
      <c r="I957" s="242"/>
      <c r="J957" s="242"/>
      <c r="K957" s="242"/>
      <c r="L957" s="242"/>
      <c r="M957" s="242"/>
      <c r="N957" s="242"/>
      <c r="O957" s="242"/>
    </row>
    <row r="958" spans="1:15" s="236" customFormat="1" x14ac:dyDescent="0.2">
      <c r="A958" s="241" t="str">
        <f>name!A59</f>
        <v>Other professional</v>
      </c>
      <c r="B958" s="374">
        <f>$B$6</f>
        <v>2015</v>
      </c>
      <c r="C958" s="374"/>
      <c r="D958" s="374"/>
      <c r="E958" s="374"/>
      <c r="F958" s="263"/>
      <c r="G958" s="374">
        <f>$G$6</f>
        <v>2020</v>
      </c>
      <c r="H958" s="374"/>
      <c r="I958" s="374"/>
      <c r="J958" s="374"/>
      <c r="K958" s="263"/>
      <c r="L958" s="374">
        <f>$L$6</f>
        <v>2035</v>
      </c>
      <c r="M958" s="374"/>
      <c r="N958" s="374"/>
      <c r="O958" s="374"/>
    </row>
    <row r="959" spans="1:15" s="236" customFormat="1" x14ac:dyDescent="0.2">
      <c r="A959" s="254"/>
      <c r="B959" s="268" t="str">
        <f>$B$7</f>
        <v>FT</v>
      </c>
      <c r="C959" s="268" t="str">
        <f>$C$7</f>
        <v>PT</v>
      </c>
      <c r="D959" s="268" t="str">
        <f>$D$7</f>
        <v>SE</v>
      </c>
      <c r="E959" s="268" t="str">
        <f>$E$7</f>
        <v>Total</v>
      </c>
      <c r="F959" s="268"/>
      <c r="G959" s="268" t="str">
        <f>$G$7</f>
        <v>FT</v>
      </c>
      <c r="H959" s="268" t="str">
        <f>$H$7</f>
        <v>PT</v>
      </c>
      <c r="I959" s="268" t="str">
        <f>$I$7</f>
        <v>SE</v>
      </c>
      <c r="J959" s="268" t="str">
        <f>$J$7</f>
        <v>Total</v>
      </c>
      <c r="K959" s="268"/>
      <c r="L959" s="268" t="str">
        <f>$L$7</f>
        <v>FT</v>
      </c>
      <c r="M959" s="268" t="str">
        <f>$M$7</f>
        <v>PT</v>
      </c>
      <c r="N959" s="268" t="str">
        <f>$N$7</f>
        <v>SE</v>
      </c>
      <c r="O959" s="268" t="str">
        <f>$O$7</f>
        <v>Total</v>
      </c>
    </row>
    <row r="960" spans="1:15" s="236" customFormat="1" x14ac:dyDescent="0.2">
      <c r="A960" s="258"/>
      <c r="B960" s="239"/>
      <c r="C960" s="239"/>
      <c r="D960" s="239"/>
      <c r="E960" s="239"/>
      <c r="F960" s="239"/>
      <c r="G960" s="239"/>
      <c r="H960" s="239"/>
      <c r="I960" s="239"/>
      <c r="J960" s="239"/>
      <c r="K960" s="239"/>
      <c r="L960" s="239"/>
      <c r="M960" s="239"/>
      <c r="N960" s="239"/>
      <c r="O960" s="239"/>
    </row>
    <row r="961" spans="1:15" s="236" customFormat="1" x14ac:dyDescent="0.2">
      <c r="A961" s="237" t="str">
        <f>name!E$4</f>
        <v>Managers, directors and senior officials</v>
      </c>
      <c r="B961" s="302">
        <v>1.5308697296327791</v>
      </c>
      <c r="C961" s="302">
        <v>0.20879652491749204</v>
      </c>
      <c r="D961" s="302">
        <v>1.6248752906374726</v>
      </c>
      <c r="E961" s="302">
        <f>SUM(B961:D961)</f>
        <v>3.3645415451877438</v>
      </c>
      <c r="F961" s="303"/>
      <c r="G961" s="302">
        <v>2.042545075235068</v>
      </c>
      <c r="H961" s="302">
        <v>0.38204140105274087</v>
      </c>
      <c r="I961" s="302">
        <v>1.7857186145535497</v>
      </c>
      <c r="J961" s="302">
        <f>SUM(G961:I961)</f>
        <v>4.2103050908413584</v>
      </c>
      <c r="K961" s="303"/>
      <c r="L961" s="302">
        <v>2.4438546387941242</v>
      </c>
      <c r="M961" s="302">
        <v>0.56217342843884011</v>
      </c>
      <c r="N961" s="302">
        <v>2.6282268958334458</v>
      </c>
      <c r="O961" s="302">
        <f>SUM(L961:N961)</f>
        <v>5.63425496306641</v>
      </c>
    </row>
    <row r="962" spans="1:15" s="236" customFormat="1" x14ac:dyDescent="0.2">
      <c r="A962" s="237" t="str">
        <f>name!E$5</f>
        <v>Professional occupations</v>
      </c>
      <c r="B962" s="302">
        <v>3.2973068164164325</v>
      </c>
      <c r="C962" s="302">
        <v>0.36818274237201593</v>
      </c>
      <c r="D962" s="302">
        <v>2.76855867482409</v>
      </c>
      <c r="E962" s="302">
        <f t="shared" ref="E962:E969" si="413">SUM(B962:D962)</f>
        <v>6.434048233612538</v>
      </c>
      <c r="F962" s="303"/>
      <c r="G962" s="302">
        <v>5.4040701630897656</v>
      </c>
      <c r="H962" s="302">
        <v>0.72367077205379193</v>
      </c>
      <c r="I962" s="302">
        <v>2.632273971764993</v>
      </c>
      <c r="J962" s="302">
        <f t="shared" ref="J962:J964" si="414">SUM(G962:I962)</f>
        <v>8.76001490690855</v>
      </c>
      <c r="K962" s="303"/>
      <c r="L962" s="302">
        <v>7.846302596939605</v>
      </c>
      <c r="M962" s="302">
        <v>1.084547926175782</v>
      </c>
      <c r="N962" s="302">
        <v>3.2328859333242952</v>
      </c>
      <c r="O962" s="302">
        <f t="shared" ref="O962:O969" si="415">SUM(L962:N962)</f>
        <v>12.163736456439683</v>
      </c>
    </row>
    <row r="963" spans="1:15" s="236" customFormat="1" x14ac:dyDescent="0.2">
      <c r="A963" s="237" t="str">
        <f>name!E$6</f>
        <v>Associate professional occupations</v>
      </c>
      <c r="B963" s="302">
        <v>1.968526437754339</v>
      </c>
      <c r="C963" s="302">
        <v>0.36782312355540758</v>
      </c>
      <c r="D963" s="302">
        <v>1.7167106642968613</v>
      </c>
      <c r="E963" s="302">
        <f t="shared" si="413"/>
        <v>4.0530602256066075</v>
      </c>
      <c r="F963" s="303"/>
      <c r="G963" s="302">
        <v>2.8021282098773055</v>
      </c>
      <c r="H963" s="302">
        <v>0.56535221779873723</v>
      </c>
      <c r="I963" s="302">
        <v>1.8424612918222745</v>
      </c>
      <c r="J963" s="302">
        <f t="shared" si="414"/>
        <v>5.2099417194983175</v>
      </c>
      <c r="K963" s="303"/>
      <c r="L963" s="302">
        <v>3.1662465002837616</v>
      </c>
      <c r="M963" s="302">
        <v>0.77137240423437381</v>
      </c>
      <c r="N963" s="302">
        <v>2.4731914811375324</v>
      </c>
      <c r="O963" s="302">
        <f t="shared" si="415"/>
        <v>6.410810385655668</v>
      </c>
    </row>
    <row r="964" spans="1:15" s="236" customFormat="1" x14ac:dyDescent="0.2">
      <c r="A964" s="237" t="str">
        <f>name!E$7</f>
        <v>Administrative and secretarial occupations</v>
      </c>
      <c r="B964" s="302">
        <v>1.8096607595894469</v>
      </c>
      <c r="C964" s="302">
        <v>1.1039165375103679</v>
      </c>
      <c r="D964" s="302">
        <v>0.68917120714456992</v>
      </c>
      <c r="E964" s="302">
        <f t="shared" si="413"/>
        <v>3.602748504244385</v>
      </c>
      <c r="F964" s="303"/>
      <c r="G964" s="302">
        <v>2.5301723280188009</v>
      </c>
      <c r="H964" s="302">
        <v>1.6964065954902483</v>
      </c>
      <c r="I964" s="302">
        <v>1.1268173462085276</v>
      </c>
      <c r="J964" s="302">
        <f t="shared" si="414"/>
        <v>5.3533962697175763</v>
      </c>
      <c r="K964" s="303"/>
      <c r="L964" s="302">
        <v>1.9581256630550201</v>
      </c>
      <c r="M964" s="302">
        <v>2.1131643731100249</v>
      </c>
      <c r="N964" s="302">
        <v>1.311239638739667</v>
      </c>
      <c r="O964" s="302">
        <f t="shared" si="415"/>
        <v>5.3825296749047125</v>
      </c>
    </row>
    <row r="965" spans="1:15" s="236" customFormat="1" x14ac:dyDescent="0.2">
      <c r="A965" s="237" t="str">
        <f>name!E$8</f>
        <v>Skilled trades occupations</v>
      </c>
      <c r="B965" s="302">
        <v>0.42848014412522001</v>
      </c>
      <c r="C965" s="302">
        <v>8.4103527346540585E-2</v>
      </c>
      <c r="D965" s="302">
        <v>0.51361467682031725</v>
      </c>
      <c r="E965" s="302">
        <f t="shared" si="413"/>
        <v>1.0261983482920778</v>
      </c>
      <c r="F965" s="303"/>
      <c r="G965" s="302">
        <v>0.38068439948145988</v>
      </c>
      <c r="H965" s="302">
        <v>5.2193450954893188E-2</v>
      </c>
      <c r="I965" s="302">
        <v>0.40872082316023661</v>
      </c>
      <c r="J965" s="302">
        <f>SUM(G965:I965)</f>
        <v>0.84159867359658969</v>
      </c>
      <c r="K965" s="303"/>
      <c r="L965" s="302">
        <v>0.40798400680058161</v>
      </c>
      <c r="M965" s="302">
        <v>9.3173597068881203E-2</v>
      </c>
      <c r="N965" s="302">
        <v>0.60570734623982458</v>
      </c>
      <c r="O965" s="302">
        <f t="shared" si="415"/>
        <v>1.1068649501092875</v>
      </c>
    </row>
    <row r="966" spans="1:15" s="236" customFormat="1" x14ac:dyDescent="0.2">
      <c r="A966" s="237" t="str">
        <f>name!E$9</f>
        <v>Caring, leisure and other service occupations</v>
      </c>
      <c r="B966" s="302">
        <v>0.33411580261267615</v>
      </c>
      <c r="C966" s="302">
        <v>0.32926267280631161</v>
      </c>
      <c r="D966" s="302">
        <v>0.41749618815417316</v>
      </c>
      <c r="E966" s="302">
        <f t="shared" si="413"/>
        <v>1.080874663573161</v>
      </c>
      <c r="F966" s="303"/>
      <c r="G966" s="302">
        <v>0.40245753832757281</v>
      </c>
      <c r="H966" s="302">
        <v>0.42937747012045169</v>
      </c>
      <c r="I966" s="302">
        <v>0.57460695091963299</v>
      </c>
      <c r="J966" s="302">
        <f t="shared" ref="J966:J969" si="416">SUM(G966:I966)</f>
        <v>1.4064419593676574</v>
      </c>
      <c r="K966" s="303"/>
      <c r="L966" s="302">
        <v>0.38428698501730441</v>
      </c>
      <c r="M966" s="302">
        <v>0.45965200819130858</v>
      </c>
      <c r="N966" s="302">
        <v>0.72394721792424876</v>
      </c>
      <c r="O966" s="302">
        <f t="shared" si="415"/>
        <v>1.5678862111328618</v>
      </c>
    </row>
    <row r="967" spans="1:15" s="236" customFormat="1" x14ac:dyDescent="0.2">
      <c r="A967" s="237" t="str">
        <f>name!E$10</f>
        <v>Sales and customer service occupations</v>
      </c>
      <c r="B967" s="302">
        <v>0.47896951953421707</v>
      </c>
      <c r="C967" s="302">
        <v>0.27054408161925786</v>
      </c>
      <c r="D967" s="302">
        <v>0.38719750562520228</v>
      </c>
      <c r="E967" s="302">
        <f t="shared" si="413"/>
        <v>1.136711106778677</v>
      </c>
      <c r="F967" s="303"/>
      <c r="G967" s="302">
        <v>0.61164059600263188</v>
      </c>
      <c r="H967" s="302">
        <v>0.35227006423322177</v>
      </c>
      <c r="I967" s="302">
        <v>0.30811853638268671</v>
      </c>
      <c r="J967" s="302">
        <f t="shared" si="416"/>
        <v>1.2720291966185404</v>
      </c>
      <c r="K967" s="303"/>
      <c r="L967" s="302">
        <v>0.66064831337306484</v>
      </c>
      <c r="M967" s="302">
        <v>0.56938082551821612</v>
      </c>
      <c r="N967" s="302">
        <v>0.36518535635270577</v>
      </c>
      <c r="O967" s="302">
        <f t="shared" si="415"/>
        <v>1.5952144952439866</v>
      </c>
    </row>
    <row r="968" spans="1:15" s="236" customFormat="1" x14ac:dyDescent="0.2">
      <c r="A968" s="237" t="str">
        <f>name!E$11</f>
        <v>Process, plant and machine operatives</v>
      </c>
      <c r="B968" s="302">
        <v>0.32110094810185263</v>
      </c>
      <c r="C968" s="302">
        <v>0.10133016622654753</v>
      </c>
      <c r="D968" s="302">
        <v>8.1755913905293368E-2</v>
      </c>
      <c r="E968" s="302">
        <f t="shared" si="413"/>
        <v>0.50418702823369355</v>
      </c>
      <c r="F968" s="303"/>
      <c r="G968" s="302">
        <v>0.26000917105134713</v>
      </c>
      <c r="H968" s="302">
        <v>6.8198011754124391E-2</v>
      </c>
      <c r="I968" s="302">
        <v>7.5363555709774571E-2</v>
      </c>
      <c r="J968" s="302">
        <f t="shared" si="416"/>
        <v>0.40357073851524605</v>
      </c>
      <c r="K968" s="303"/>
      <c r="L968" s="302">
        <v>0.2424073397167654</v>
      </c>
      <c r="M968" s="302">
        <v>8.8462890823856555E-2</v>
      </c>
      <c r="N968" s="302">
        <v>0.10467434842970963</v>
      </c>
      <c r="O968" s="302">
        <f t="shared" si="415"/>
        <v>0.43554457897033155</v>
      </c>
    </row>
    <row r="969" spans="1:15" s="236" customFormat="1" x14ac:dyDescent="0.2">
      <c r="A969" s="237" t="str">
        <f>name!E$12</f>
        <v>Elementary occupations</v>
      </c>
      <c r="B969" s="302">
        <v>1.4559698421514959</v>
      </c>
      <c r="C969" s="302">
        <v>1.1840406236618475</v>
      </c>
      <c r="D969" s="302">
        <v>0.68961987875528641</v>
      </c>
      <c r="E969" s="302">
        <f t="shared" si="413"/>
        <v>3.3296303445686299</v>
      </c>
      <c r="F969" s="303"/>
      <c r="G969" s="302">
        <v>1.3652925185881952</v>
      </c>
      <c r="H969" s="302">
        <v>1.1454900165551827</v>
      </c>
      <c r="I969" s="302">
        <v>0.68891890928342492</v>
      </c>
      <c r="J969" s="302">
        <f t="shared" si="416"/>
        <v>3.199701444426803</v>
      </c>
      <c r="K969" s="303"/>
      <c r="L969" s="302">
        <v>1.1841439559922031</v>
      </c>
      <c r="M969" s="302">
        <v>0.61007254646940712</v>
      </c>
      <c r="N969" s="302">
        <v>0.85094178219876615</v>
      </c>
      <c r="O969" s="302">
        <f t="shared" si="415"/>
        <v>2.6451582846603765</v>
      </c>
    </row>
    <row r="970" spans="1:15" s="236" customFormat="1" x14ac:dyDescent="0.2">
      <c r="A970" s="237"/>
      <c r="B970" s="302"/>
      <c r="C970" s="302"/>
      <c r="D970" s="302"/>
      <c r="E970" s="302"/>
      <c r="F970" s="303"/>
      <c r="G970" s="302"/>
      <c r="H970" s="302"/>
      <c r="I970" s="302"/>
      <c r="J970" s="302"/>
      <c r="K970" s="303"/>
      <c r="L970" s="302"/>
      <c r="M970" s="302"/>
      <c r="N970" s="302"/>
      <c r="O970" s="302"/>
    </row>
    <row r="971" spans="1:15" s="236" customFormat="1" x14ac:dyDescent="0.2">
      <c r="A971" s="244" t="s">
        <v>32</v>
      </c>
      <c r="B971" s="311">
        <f>SUM(B961:B969)</f>
        <v>11.624999999918462</v>
      </c>
      <c r="C971" s="311">
        <f t="shared" ref="C971:E971" si="417">SUM(C961:C969)</f>
        <v>4.0180000000157881</v>
      </c>
      <c r="D971" s="311">
        <f t="shared" si="417"/>
        <v>8.8890000001632661</v>
      </c>
      <c r="E971" s="311">
        <f t="shared" si="417"/>
        <v>24.532000000097515</v>
      </c>
      <c r="F971" s="311"/>
      <c r="G971" s="311">
        <f t="shared" ref="G971:J971" si="418">SUM(G961:G969)</f>
        <v>15.798999999672144</v>
      </c>
      <c r="H971" s="311">
        <f t="shared" si="418"/>
        <v>5.415000000013392</v>
      </c>
      <c r="I971" s="311">
        <f t="shared" si="418"/>
        <v>9.4429999998050995</v>
      </c>
      <c r="J971" s="311">
        <f t="shared" si="418"/>
        <v>30.656999999490637</v>
      </c>
      <c r="K971" s="311"/>
      <c r="L971" s="311">
        <f t="shared" ref="L971:O971" si="419">SUM(L961:L969)</f>
        <v>18.293999999972431</v>
      </c>
      <c r="M971" s="311">
        <f t="shared" si="419"/>
        <v>6.3520000000306904</v>
      </c>
      <c r="N971" s="311">
        <f t="shared" si="419"/>
        <v>12.296000000180197</v>
      </c>
      <c r="O971" s="311">
        <f t="shared" si="419"/>
        <v>36.942000000183313</v>
      </c>
    </row>
    <row r="972" spans="1:15" s="236" customFormat="1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40"/>
    </row>
    <row r="973" spans="1:15" s="236" customFormat="1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40"/>
      <c r="O973" s="251" t="s">
        <v>35</v>
      </c>
    </row>
    <row r="974" spans="1:15" s="236" customFormat="1" x14ac:dyDescent="0.2">
      <c r="A974" s="242"/>
      <c r="B974" s="242"/>
      <c r="C974" s="242"/>
      <c r="D974" s="242"/>
      <c r="E974" s="242"/>
      <c r="F974" s="242"/>
      <c r="G974" s="242"/>
      <c r="H974" s="242"/>
      <c r="I974" s="242"/>
      <c r="J974" s="242"/>
      <c r="K974" s="242"/>
      <c r="L974" s="242"/>
      <c r="M974" s="242"/>
      <c r="N974" s="242"/>
      <c r="O974" s="242"/>
    </row>
    <row r="975" spans="1:15" s="236" customFormat="1" x14ac:dyDescent="0.2">
      <c r="A975" s="241" t="str">
        <f>name!A60</f>
        <v>Veterinary</v>
      </c>
      <c r="B975" s="374">
        <f>$B$6</f>
        <v>2015</v>
      </c>
      <c r="C975" s="374"/>
      <c r="D975" s="374"/>
      <c r="E975" s="374"/>
      <c r="F975" s="263"/>
      <c r="G975" s="374">
        <f>$G$6</f>
        <v>2020</v>
      </c>
      <c r="H975" s="374"/>
      <c r="I975" s="374"/>
      <c r="J975" s="374"/>
      <c r="K975" s="263"/>
      <c r="L975" s="374">
        <f>$L$6</f>
        <v>2035</v>
      </c>
      <c r="M975" s="374"/>
      <c r="N975" s="374"/>
      <c r="O975" s="374"/>
    </row>
    <row r="976" spans="1:15" s="236" customFormat="1" x14ac:dyDescent="0.2">
      <c r="A976" s="254"/>
      <c r="B976" s="268" t="str">
        <f>$B$7</f>
        <v>FT</v>
      </c>
      <c r="C976" s="268" t="str">
        <f>$C$7</f>
        <v>PT</v>
      </c>
      <c r="D976" s="268" t="str">
        <f>$D$7</f>
        <v>SE</v>
      </c>
      <c r="E976" s="268" t="str">
        <f>$E$7</f>
        <v>Total</v>
      </c>
      <c r="F976" s="268"/>
      <c r="G976" s="268" t="str">
        <f>$G$7</f>
        <v>FT</v>
      </c>
      <c r="H976" s="268" t="str">
        <f>$H$7</f>
        <v>PT</v>
      </c>
      <c r="I976" s="268" t="str">
        <f>$I$7</f>
        <v>SE</v>
      </c>
      <c r="J976" s="268" t="str">
        <f>$J$7</f>
        <v>Total</v>
      </c>
      <c r="K976" s="268"/>
      <c r="L976" s="268" t="str">
        <f>$L$7</f>
        <v>FT</v>
      </c>
      <c r="M976" s="268" t="str">
        <f>$M$7</f>
        <v>PT</v>
      </c>
      <c r="N976" s="268" t="str">
        <f>$N$7</f>
        <v>SE</v>
      </c>
      <c r="O976" s="268" t="str">
        <f>$O$7</f>
        <v>Total</v>
      </c>
    </row>
    <row r="977" spans="1:15" s="236" customFormat="1" x14ac:dyDescent="0.2">
      <c r="A977" s="258"/>
      <c r="B977" s="239"/>
      <c r="C977" s="239"/>
      <c r="D977" s="239"/>
      <c r="E977" s="239"/>
      <c r="F977" s="239"/>
      <c r="G977" s="239"/>
      <c r="H977" s="239"/>
      <c r="I977" s="239"/>
      <c r="J977" s="239"/>
      <c r="K977" s="239"/>
      <c r="L977" s="239"/>
      <c r="M977" s="239"/>
      <c r="N977" s="239"/>
      <c r="O977" s="239"/>
    </row>
    <row r="978" spans="1:15" s="236" customFormat="1" x14ac:dyDescent="0.2">
      <c r="A978" s="237" t="str">
        <f>name!E$4</f>
        <v>Managers, directors and senior officials</v>
      </c>
      <c r="B978" s="302">
        <v>0.10488611130857237</v>
      </c>
      <c r="C978" s="302">
        <v>2.6292605343372737E-2</v>
      </c>
      <c r="D978" s="302">
        <v>0.1416998140588745</v>
      </c>
      <c r="E978" s="302">
        <f>SUM(B978:D978)</f>
        <v>0.27287853071081958</v>
      </c>
      <c r="F978" s="303"/>
      <c r="G978" s="302">
        <v>0.19313799337068982</v>
      </c>
      <c r="H978" s="302">
        <v>6.6112137929312337E-2</v>
      </c>
      <c r="I978" s="302">
        <v>0.29104923340133398</v>
      </c>
      <c r="J978" s="302">
        <f>SUM(G978:I978)</f>
        <v>0.55029936470133611</v>
      </c>
      <c r="K978" s="303"/>
      <c r="L978" s="302">
        <v>0.19409540206081177</v>
      </c>
      <c r="M978" s="302">
        <v>8.0037017099323315E-2</v>
      </c>
      <c r="N978" s="302">
        <v>0.44069688199147206</v>
      </c>
      <c r="O978" s="302">
        <f>SUM(L978:N978)</f>
        <v>0.71482930115160714</v>
      </c>
    </row>
    <row r="979" spans="1:15" s="236" customFormat="1" x14ac:dyDescent="0.2">
      <c r="A979" s="237" t="str">
        <f>name!E$5</f>
        <v>Professional occupations</v>
      </c>
      <c r="B979" s="302">
        <v>0.56333388771838044</v>
      </c>
      <c r="C979" s="302">
        <v>0.20207871652035805</v>
      </c>
      <c r="D979" s="302">
        <v>0.76613743342891649</v>
      </c>
      <c r="E979" s="302">
        <f t="shared" ref="E979:E986" si="420">SUM(B979:D979)</f>
        <v>1.531550037667655</v>
      </c>
      <c r="F979" s="303"/>
      <c r="G979" s="302">
        <v>1.2302704921153966</v>
      </c>
      <c r="H979" s="302">
        <v>0.53993841374500351</v>
      </c>
      <c r="I979" s="302">
        <v>1.6162400031508082</v>
      </c>
      <c r="J979" s="302">
        <f t="shared" ref="J979:J981" si="421">SUM(G979:I979)</f>
        <v>3.3864489090112082</v>
      </c>
      <c r="K979" s="303"/>
      <c r="L979" s="302">
        <v>1.3684078211894084</v>
      </c>
      <c r="M979" s="302">
        <v>0.70154580631691521</v>
      </c>
      <c r="N979" s="302">
        <v>2.1492101581265937</v>
      </c>
      <c r="O979" s="302">
        <f t="shared" ref="O979:O986" si="422">SUM(L979:N979)</f>
        <v>4.2191637856329169</v>
      </c>
    </row>
    <row r="980" spans="1:15" s="236" customFormat="1" x14ac:dyDescent="0.2">
      <c r="A980" s="237" t="str">
        <f>name!E$6</f>
        <v>Associate professional occupations</v>
      </c>
      <c r="B980" s="302">
        <v>0.25051615018851392</v>
      </c>
      <c r="C980" s="302">
        <v>0.11963183096889307</v>
      </c>
      <c r="D980" s="302">
        <v>0.24621811396203555</v>
      </c>
      <c r="E980" s="302">
        <f t="shared" si="420"/>
        <v>0.61636609511944251</v>
      </c>
      <c r="F980" s="303"/>
      <c r="G980" s="302">
        <v>0.495254505118778</v>
      </c>
      <c r="H980" s="302">
        <v>0.29547066133223882</v>
      </c>
      <c r="I980" s="302">
        <v>0.51032980648097581</v>
      </c>
      <c r="J980" s="302">
        <f t="shared" si="421"/>
        <v>1.3010549729319927</v>
      </c>
      <c r="K980" s="303"/>
      <c r="L980" s="302">
        <v>0.52645439531818228</v>
      </c>
      <c r="M980" s="302">
        <v>0.35254760672710689</v>
      </c>
      <c r="N980" s="302">
        <v>0.69703253420732803</v>
      </c>
      <c r="O980" s="302">
        <f t="shared" si="422"/>
        <v>1.5760345362526171</v>
      </c>
    </row>
    <row r="981" spans="1:15" s="236" customFormat="1" x14ac:dyDescent="0.2">
      <c r="A981" s="237" t="str">
        <f>name!E$7</f>
        <v>Administrative and secretarial occupations</v>
      </c>
      <c r="B981" s="302">
        <v>9.7086432684489465E-2</v>
      </c>
      <c r="C981" s="302">
        <v>0.12243031776817026</v>
      </c>
      <c r="D981" s="302">
        <v>5.8032413693346309E-2</v>
      </c>
      <c r="E981" s="302">
        <f t="shared" si="420"/>
        <v>0.27754916414600606</v>
      </c>
      <c r="F981" s="303"/>
      <c r="G981" s="302">
        <v>0.17545356045946792</v>
      </c>
      <c r="H981" s="302">
        <v>0.24024072661065404</v>
      </c>
      <c r="I981" s="302">
        <v>9.9565823945133844E-2</v>
      </c>
      <c r="J981" s="302">
        <f t="shared" si="421"/>
        <v>0.51526011101525582</v>
      </c>
      <c r="K981" s="303"/>
      <c r="L981" s="302">
        <v>0.14515485482155199</v>
      </c>
      <c r="M981" s="302">
        <v>0.13964837487022402</v>
      </c>
      <c r="N981" s="302">
        <v>7.6390745335350993E-2</v>
      </c>
      <c r="O981" s="302">
        <f t="shared" si="422"/>
        <v>0.36119397502712702</v>
      </c>
    </row>
    <row r="982" spans="1:15" s="236" customFormat="1" x14ac:dyDescent="0.2">
      <c r="A982" s="237" t="str">
        <f>name!E$8</f>
        <v>Skilled trades occupations</v>
      </c>
      <c r="B982" s="302">
        <v>2.6860633230081525E-2</v>
      </c>
      <c r="C982" s="302">
        <v>1.824326816902332E-2</v>
      </c>
      <c r="D982" s="302">
        <v>4.618576062718667E-2</v>
      </c>
      <c r="E982" s="302">
        <f t="shared" si="420"/>
        <v>9.1289662026291518E-2</v>
      </c>
      <c r="F982" s="303"/>
      <c r="G982" s="302">
        <v>3.1070955919034443E-2</v>
      </c>
      <c r="H982" s="302">
        <v>2.0921503418996623E-2</v>
      </c>
      <c r="I982" s="302">
        <v>6.7776481228702959E-2</v>
      </c>
      <c r="J982" s="302">
        <f>SUM(G982:I982)</f>
        <v>0.11976894056673403</v>
      </c>
      <c r="K982" s="303"/>
      <c r="L982" s="302">
        <v>1.0881239222984078E-2</v>
      </c>
      <c r="M982" s="302">
        <v>8.7156179441150086E-3</v>
      </c>
      <c r="N982" s="302">
        <v>0.11031001471100958</v>
      </c>
      <c r="O982" s="302">
        <f t="shared" si="422"/>
        <v>0.12990687187810868</v>
      </c>
    </row>
    <row r="983" spans="1:15" s="236" customFormat="1" x14ac:dyDescent="0.2">
      <c r="A983" s="237" t="str">
        <f>name!E$9</f>
        <v>Caring, leisure and other service occupations</v>
      </c>
      <c r="B983" s="302">
        <v>0.67781245269424606</v>
      </c>
      <c r="C983" s="302">
        <v>0.4729717036041825</v>
      </c>
      <c r="D983" s="302">
        <v>0.49513310873120675</v>
      </c>
      <c r="E983" s="302">
        <f t="shared" si="420"/>
        <v>1.6459172650296354</v>
      </c>
      <c r="F983" s="303"/>
      <c r="G983" s="302">
        <v>1.2096467382747964</v>
      </c>
      <c r="H983" s="302">
        <v>1.0591814400148349</v>
      </c>
      <c r="I983" s="302">
        <v>1.2938951026977714</v>
      </c>
      <c r="J983" s="302">
        <f t="shared" ref="J983:J986" si="423">SUM(G983:I983)</f>
        <v>3.5627232809874023</v>
      </c>
      <c r="K983" s="303"/>
      <c r="L983" s="302">
        <v>1.6324611815105763</v>
      </c>
      <c r="M983" s="302">
        <v>1.3902545250091869</v>
      </c>
      <c r="N983" s="302">
        <v>1.6810904491249017</v>
      </c>
      <c r="O983" s="302">
        <f t="shared" si="422"/>
        <v>4.7038061556446653</v>
      </c>
    </row>
    <row r="984" spans="1:15" s="236" customFormat="1" x14ac:dyDescent="0.2">
      <c r="A984" s="237" t="str">
        <f>name!E$10</f>
        <v>Sales and customer service occupations</v>
      </c>
      <c r="B984" s="302">
        <v>1.7032147715613025E-2</v>
      </c>
      <c r="C984" s="302">
        <v>1.9176939118611167E-2</v>
      </c>
      <c r="D984" s="302">
        <v>2.5761121238282444E-2</v>
      </c>
      <c r="E984" s="302">
        <f t="shared" si="420"/>
        <v>6.1970208072506638E-2</v>
      </c>
      <c r="F984" s="303"/>
      <c r="G984" s="302">
        <v>2.8997305182187096E-2</v>
      </c>
      <c r="H984" s="302">
        <v>3.3342937027602007E-2</v>
      </c>
      <c r="I984" s="302">
        <v>3.5103959834713414E-2</v>
      </c>
      <c r="J984" s="302">
        <f t="shared" si="423"/>
        <v>9.744420204450252E-2</v>
      </c>
      <c r="K984" s="303"/>
      <c r="L984" s="302">
        <v>3.1336361811925527E-2</v>
      </c>
      <c r="M984" s="302">
        <v>3.3442351859502818E-2</v>
      </c>
      <c r="N984" s="302">
        <v>5.7225333350651907E-2</v>
      </c>
      <c r="O984" s="302">
        <f t="shared" si="422"/>
        <v>0.12200404702208026</v>
      </c>
    </row>
    <row r="985" spans="1:15" s="236" customFormat="1" x14ac:dyDescent="0.2">
      <c r="A985" s="237" t="str">
        <f>name!E$11</f>
        <v>Process, plant and machine operatives</v>
      </c>
      <c r="B985" s="302">
        <v>4.8428245037647026E-3</v>
      </c>
      <c r="C985" s="302">
        <v>1.824655582242312E-2</v>
      </c>
      <c r="D985" s="302">
        <v>8.5934233588988145E-3</v>
      </c>
      <c r="E985" s="302">
        <f t="shared" si="420"/>
        <v>3.1682803685086636E-2</v>
      </c>
      <c r="F985" s="303"/>
      <c r="G985" s="302">
        <v>6.3501439294127464E-3</v>
      </c>
      <c r="H985" s="302">
        <v>1.9737089173202712E-2</v>
      </c>
      <c r="I985" s="302">
        <v>1.0703024232336529E-2</v>
      </c>
      <c r="J985" s="302">
        <f t="shared" si="423"/>
        <v>3.679025733495199E-2</v>
      </c>
      <c r="K985" s="303"/>
      <c r="L985" s="302">
        <v>1.5356925550161706E-3</v>
      </c>
      <c r="M985" s="302">
        <v>1.7784010339796159E-2</v>
      </c>
      <c r="N985" s="302">
        <v>9.4390040856539847E-3</v>
      </c>
      <c r="O985" s="302">
        <f t="shared" si="422"/>
        <v>2.8758706980466314E-2</v>
      </c>
    </row>
    <row r="986" spans="1:15" s="236" customFormat="1" x14ac:dyDescent="0.2">
      <c r="A986" s="237" t="str">
        <f>name!E$12</f>
        <v>Elementary occupations</v>
      </c>
      <c r="B986" s="302">
        <v>3.3629359957662856E-2</v>
      </c>
      <c r="C986" s="302">
        <v>8.6928062668821526E-2</v>
      </c>
      <c r="D986" s="302">
        <v>1.3238810870796584E-2</v>
      </c>
      <c r="E986" s="302">
        <f t="shared" si="420"/>
        <v>0.13379623349728098</v>
      </c>
      <c r="F986" s="303"/>
      <c r="G986" s="302">
        <v>4.181830558697372E-2</v>
      </c>
      <c r="H986" s="302">
        <v>0.10805509071130379</v>
      </c>
      <c r="I986" s="302">
        <v>1.4336565240596642E-2</v>
      </c>
      <c r="J986" s="302">
        <f t="shared" si="423"/>
        <v>0.16420996153887416</v>
      </c>
      <c r="K986" s="303"/>
      <c r="L986" s="302">
        <v>2.3673051508544762E-2</v>
      </c>
      <c r="M986" s="302">
        <v>9.2024689826891229E-2</v>
      </c>
      <c r="N986" s="302">
        <v>5.6048791292748062E-3</v>
      </c>
      <c r="O986" s="302">
        <f t="shared" si="422"/>
        <v>0.1213026204647108</v>
      </c>
    </row>
    <row r="987" spans="1:15" s="236" customFormat="1" x14ac:dyDescent="0.2">
      <c r="A987" s="237"/>
      <c r="B987" s="302"/>
      <c r="C987" s="302"/>
      <c r="D987" s="302"/>
      <c r="E987" s="302"/>
      <c r="F987" s="303"/>
      <c r="G987" s="302"/>
      <c r="H987" s="302"/>
      <c r="I987" s="302"/>
      <c r="J987" s="302"/>
      <c r="K987" s="303"/>
      <c r="L987" s="302"/>
      <c r="M987" s="302"/>
      <c r="N987" s="302"/>
      <c r="O987" s="302"/>
    </row>
    <row r="988" spans="1:15" s="236" customFormat="1" x14ac:dyDescent="0.2">
      <c r="A988" s="244" t="s">
        <v>32</v>
      </c>
      <c r="B988" s="311">
        <f>SUM(B978:B986)</f>
        <v>1.7760000000013245</v>
      </c>
      <c r="C988" s="311">
        <f t="shared" ref="C988:E988" si="424">SUM(C978:C986)</f>
        <v>1.0859999999838557</v>
      </c>
      <c r="D988" s="311">
        <f t="shared" si="424"/>
        <v>1.8009999999695443</v>
      </c>
      <c r="E988" s="311">
        <f t="shared" si="424"/>
        <v>4.6629999999547245</v>
      </c>
      <c r="F988" s="311"/>
      <c r="G988" s="311">
        <f t="shared" ref="G988:J988" si="425">SUM(G978:G986)</f>
        <v>3.4119999999567363</v>
      </c>
      <c r="H988" s="311">
        <f t="shared" si="425"/>
        <v>2.3829999999631486</v>
      </c>
      <c r="I988" s="311">
        <f t="shared" si="425"/>
        <v>3.9390000002123724</v>
      </c>
      <c r="J988" s="311">
        <f t="shared" si="425"/>
        <v>9.7340000001322586</v>
      </c>
      <c r="K988" s="311"/>
      <c r="L988" s="311">
        <f t="shared" ref="L988:O988" si="426">SUM(L978:L986)</f>
        <v>3.933999999999001</v>
      </c>
      <c r="M988" s="311">
        <f t="shared" si="426"/>
        <v>2.8159999999930618</v>
      </c>
      <c r="N988" s="311">
        <f t="shared" si="426"/>
        <v>5.2270000000622368</v>
      </c>
      <c r="O988" s="311">
        <f t="shared" si="426"/>
        <v>11.9770000000543</v>
      </c>
    </row>
    <row r="989" spans="1:15" s="236" customFormat="1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40"/>
    </row>
    <row r="990" spans="1:15" s="236" customFormat="1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40"/>
      <c r="O990" s="251" t="s">
        <v>35</v>
      </c>
    </row>
    <row r="991" spans="1:15" s="236" customFormat="1" x14ac:dyDescent="0.2">
      <c r="A991" s="242"/>
      <c r="B991" s="242"/>
      <c r="C991" s="242"/>
      <c r="D991" s="242"/>
      <c r="E991" s="242"/>
      <c r="F991" s="242"/>
      <c r="G991" s="242"/>
      <c r="H991" s="242"/>
      <c r="I991" s="242"/>
      <c r="J991" s="242"/>
      <c r="K991" s="242"/>
      <c r="L991" s="242"/>
      <c r="M991" s="242"/>
      <c r="N991" s="242"/>
      <c r="O991" s="242"/>
    </row>
    <row r="992" spans="1:15" s="236" customFormat="1" x14ac:dyDescent="0.2">
      <c r="A992" s="241" t="str">
        <f>name!A61</f>
        <v>Rental and leasing</v>
      </c>
      <c r="B992" s="374">
        <f>$B$6</f>
        <v>2015</v>
      </c>
      <c r="C992" s="374"/>
      <c r="D992" s="374"/>
      <c r="E992" s="374"/>
      <c r="F992" s="263"/>
      <c r="G992" s="374">
        <f>$G$6</f>
        <v>2020</v>
      </c>
      <c r="H992" s="374"/>
      <c r="I992" s="374"/>
      <c r="J992" s="374"/>
      <c r="K992" s="263"/>
      <c r="L992" s="374">
        <f>$L$6</f>
        <v>2035</v>
      </c>
      <c r="M992" s="374"/>
      <c r="N992" s="374"/>
      <c r="O992" s="374"/>
    </row>
    <row r="993" spans="1:15" s="236" customFormat="1" x14ac:dyDescent="0.2">
      <c r="A993" s="254"/>
      <c r="B993" s="268" t="str">
        <f>$B$7</f>
        <v>FT</v>
      </c>
      <c r="C993" s="268" t="str">
        <f>$C$7</f>
        <v>PT</v>
      </c>
      <c r="D993" s="268" t="str">
        <f>$D$7</f>
        <v>SE</v>
      </c>
      <c r="E993" s="268" t="str">
        <f>$E$7</f>
        <v>Total</v>
      </c>
      <c r="F993" s="268"/>
      <c r="G993" s="268" t="str">
        <f>$G$7</f>
        <v>FT</v>
      </c>
      <c r="H993" s="268" t="str">
        <f>$H$7</f>
        <v>PT</v>
      </c>
      <c r="I993" s="268" t="str">
        <f>$I$7</f>
        <v>SE</v>
      </c>
      <c r="J993" s="268" t="str">
        <f>$J$7</f>
        <v>Total</v>
      </c>
      <c r="K993" s="268"/>
      <c r="L993" s="268" t="str">
        <f>$L$7</f>
        <v>FT</v>
      </c>
      <c r="M993" s="268" t="str">
        <f>$M$7</f>
        <v>PT</v>
      </c>
      <c r="N993" s="268" t="str">
        <f>$N$7</f>
        <v>SE</v>
      </c>
      <c r="O993" s="268" t="str">
        <f>$O$7</f>
        <v>Total</v>
      </c>
    </row>
    <row r="994" spans="1:15" s="236" customFormat="1" x14ac:dyDescent="0.2">
      <c r="A994" s="258"/>
      <c r="B994" s="239"/>
      <c r="C994" s="239"/>
      <c r="D994" s="239"/>
      <c r="E994" s="239"/>
      <c r="F994" s="239"/>
      <c r="G994" s="239"/>
      <c r="H994" s="239"/>
      <c r="I994" s="239"/>
      <c r="J994" s="239"/>
      <c r="K994" s="239"/>
      <c r="L994" s="239"/>
      <c r="M994" s="239"/>
      <c r="N994" s="239"/>
      <c r="O994" s="239"/>
    </row>
    <row r="995" spans="1:15" s="236" customFormat="1" x14ac:dyDescent="0.2">
      <c r="A995" s="237" t="str">
        <f>name!E$4</f>
        <v>Managers, directors and senior officials</v>
      </c>
      <c r="B995" s="302">
        <v>1.5110156100621133</v>
      </c>
      <c r="C995" s="302">
        <v>0.10418639258393658</v>
      </c>
      <c r="D995" s="302">
        <v>0.42359364794966153</v>
      </c>
      <c r="E995" s="302">
        <f>SUM(B995:D995)</f>
        <v>2.0387956505957114</v>
      </c>
      <c r="F995" s="303"/>
      <c r="G995" s="302">
        <v>2.5896913811605189</v>
      </c>
      <c r="H995" s="302">
        <v>0.18108287097659326</v>
      </c>
      <c r="I995" s="302">
        <v>0.77605227788298758</v>
      </c>
      <c r="J995" s="302">
        <f>SUM(G995:I995)</f>
        <v>3.5468265300201001</v>
      </c>
      <c r="K995" s="303"/>
      <c r="L995" s="302">
        <v>2.9305686511744069</v>
      </c>
      <c r="M995" s="302">
        <v>0.22586242294371162</v>
      </c>
      <c r="N995" s="302">
        <v>1.0455015622117929</v>
      </c>
      <c r="O995" s="302">
        <f>SUM(L995:N995)</f>
        <v>4.2019326363299108</v>
      </c>
    </row>
    <row r="996" spans="1:15" s="236" customFormat="1" x14ac:dyDescent="0.2">
      <c r="A996" s="237" t="str">
        <f>name!E$5</f>
        <v>Professional occupations</v>
      </c>
      <c r="B996" s="302">
        <v>1.4571446913855679</v>
      </c>
      <c r="C996" s="302">
        <v>0.10954568747214116</v>
      </c>
      <c r="D996" s="302">
        <v>9.814659062282792E-2</v>
      </c>
      <c r="E996" s="302">
        <f t="shared" ref="E996:E1003" si="427">SUM(B996:D996)</f>
        <v>1.6648369694805369</v>
      </c>
      <c r="F996" s="303"/>
      <c r="G996" s="302">
        <v>2.7514301196091262</v>
      </c>
      <c r="H996" s="302">
        <v>0.1906558486650802</v>
      </c>
      <c r="I996" s="302">
        <v>0.18129171974678571</v>
      </c>
      <c r="J996" s="302">
        <f t="shared" ref="J996:J998" si="428">SUM(G996:I996)</f>
        <v>3.1233776880209918</v>
      </c>
      <c r="K996" s="303"/>
      <c r="L996" s="302">
        <v>3.7710342776273</v>
      </c>
      <c r="M996" s="302">
        <v>0.2665832800402847</v>
      </c>
      <c r="N996" s="302">
        <v>0.14095680294220009</v>
      </c>
      <c r="O996" s="302">
        <f t="shared" ref="O996:O1003" si="429">SUM(L996:N996)</f>
        <v>4.1785743606097849</v>
      </c>
    </row>
    <row r="997" spans="1:15" s="236" customFormat="1" x14ac:dyDescent="0.2">
      <c r="A997" s="237" t="str">
        <f>name!E$6</f>
        <v>Associate professional occupations</v>
      </c>
      <c r="B997" s="302">
        <v>1.0342217744547189</v>
      </c>
      <c r="C997" s="302">
        <v>0.17680432404796068</v>
      </c>
      <c r="D997" s="302">
        <v>8.9070579986067794E-2</v>
      </c>
      <c r="E997" s="302">
        <f t="shared" si="427"/>
        <v>1.3000966784887473</v>
      </c>
      <c r="F997" s="303"/>
      <c r="G997" s="302">
        <v>1.8215795683563203</v>
      </c>
      <c r="H997" s="302">
        <v>0.23821580366559442</v>
      </c>
      <c r="I997" s="302">
        <v>0.14340313960078674</v>
      </c>
      <c r="J997" s="302">
        <f t="shared" si="428"/>
        <v>2.2031985116227015</v>
      </c>
      <c r="K997" s="303"/>
      <c r="L997" s="302">
        <v>1.9890044739685651</v>
      </c>
      <c r="M997" s="302">
        <v>0.2480096644531139</v>
      </c>
      <c r="N997" s="302">
        <v>0.12644743986614324</v>
      </c>
      <c r="O997" s="302">
        <f t="shared" si="429"/>
        <v>2.3634615782878221</v>
      </c>
    </row>
    <row r="998" spans="1:15" s="236" customFormat="1" x14ac:dyDescent="0.2">
      <c r="A998" s="237" t="str">
        <f>name!E$7</f>
        <v>Administrative and secretarial occupations</v>
      </c>
      <c r="B998" s="302">
        <v>0.59077649442843649</v>
      </c>
      <c r="C998" s="302">
        <v>0.75613506393984298</v>
      </c>
      <c r="D998" s="302">
        <v>5.3697535137047524E-2</v>
      </c>
      <c r="E998" s="302">
        <f t="shared" si="427"/>
        <v>1.400609093505327</v>
      </c>
      <c r="F998" s="303"/>
      <c r="G998" s="302">
        <v>0.89517365761556134</v>
      </c>
      <c r="H998" s="302">
        <v>0.76370508809905036</v>
      </c>
      <c r="I998" s="302">
        <v>8.482120871783641E-2</v>
      </c>
      <c r="J998" s="302">
        <f t="shared" si="428"/>
        <v>1.7436999544324481</v>
      </c>
      <c r="K998" s="303"/>
      <c r="L998" s="302">
        <v>0.88395130075038286</v>
      </c>
      <c r="M998" s="302">
        <v>0.70824696733664527</v>
      </c>
      <c r="N998" s="302">
        <v>7.6243983554224515E-2</v>
      </c>
      <c r="O998" s="302">
        <f t="shared" si="429"/>
        <v>1.6684422516412527</v>
      </c>
    </row>
    <row r="999" spans="1:15" s="236" customFormat="1" x14ac:dyDescent="0.2">
      <c r="A999" s="237" t="str">
        <f>name!E$8</f>
        <v>Skilled trades occupations</v>
      </c>
      <c r="B999" s="302">
        <v>1.156982453083178</v>
      </c>
      <c r="C999" s="302">
        <v>8.6137900916450016E-2</v>
      </c>
      <c r="D999" s="302">
        <v>0.12376466692447356</v>
      </c>
      <c r="E999" s="302">
        <f t="shared" si="427"/>
        <v>1.3668850209241017</v>
      </c>
      <c r="F999" s="303"/>
      <c r="G999" s="302">
        <v>1.4500794310848497</v>
      </c>
      <c r="H999" s="302">
        <v>6.8932130620073903E-2</v>
      </c>
      <c r="I999" s="302">
        <v>0.21111858116293244</v>
      </c>
      <c r="J999" s="302">
        <f>SUM(G999:I999)</f>
        <v>1.7301301428678559</v>
      </c>
      <c r="K999" s="303"/>
      <c r="L999" s="302">
        <v>1.3636670532546398</v>
      </c>
      <c r="M999" s="302">
        <v>9.2085399963293402E-2</v>
      </c>
      <c r="N999" s="302">
        <v>0.27867345587950665</v>
      </c>
      <c r="O999" s="302">
        <f t="shared" si="429"/>
        <v>1.7344259090974399</v>
      </c>
    </row>
    <row r="1000" spans="1:15" s="236" customFormat="1" x14ac:dyDescent="0.2">
      <c r="A1000" s="237" t="str">
        <f>name!E$9</f>
        <v>Caring, leisure and other service occupations</v>
      </c>
      <c r="B1000" s="302">
        <v>0.20911707929315201</v>
      </c>
      <c r="C1000" s="302">
        <v>7.2050366233978064E-2</v>
      </c>
      <c r="D1000" s="302">
        <v>5.091948253489683E-2</v>
      </c>
      <c r="E1000" s="302">
        <f t="shared" si="427"/>
        <v>0.33208692806202689</v>
      </c>
      <c r="F1000" s="303"/>
      <c r="G1000" s="302">
        <v>0.32273813578439497</v>
      </c>
      <c r="H1000" s="302">
        <v>8.9337174797024771E-2</v>
      </c>
      <c r="I1000" s="302">
        <v>9.9851654176540378E-2</v>
      </c>
      <c r="J1000" s="302">
        <f t="shared" ref="J1000:J1003" si="430">SUM(G1000:I1000)</f>
        <v>0.51192696475796018</v>
      </c>
      <c r="K1000" s="303"/>
      <c r="L1000" s="302">
        <v>0.51612328616630765</v>
      </c>
      <c r="M1000" s="302">
        <v>0.10622384625313044</v>
      </c>
      <c r="N1000" s="302">
        <v>0.12754480180466962</v>
      </c>
      <c r="O1000" s="302">
        <f t="shared" si="429"/>
        <v>0.74989193422410771</v>
      </c>
    </row>
    <row r="1001" spans="1:15" s="236" customFormat="1" x14ac:dyDescent="0.2">
      <c r="A1001" s="237" t="str">
        <f>name!E$10</f>
        <v>Sales and customer service occupations</v>
      </c>
      <c r="B1001" s="302">
        <v>0.31851800687444359</v>
      </c>
      <c r="C1001" s="302">
        <v>0.54497904680922926</v>
      </c>
      <c r="D1001" s="302">
        <v>0.17876626946959795</v>
      </c>
      <c r="E1001" s="302">
        <f t="shared" si="427"/>
        <v>1.0422633231532707</v>
      </c>
      <c r="F1001" s="303"/>
      <c r="G1001" s="302">
        <v>0.44293277902770889</v>
      </c>
      <c r="H1001" s="302">
        <v>0.59829388210735823</v>
      </c>
      <c r="I1001" s="302">
        <v>0.23936408743368878</v>
      </c>
      <c r="J1001" s="302">
        <f t="shared" si="430"/>
        <v>1.280590748568756</v>
      </c>
      <c r="K1001" s="303"/>
      <c r="L1001" s="302">
        <v>0.50982638814454784</v>
      </c>
      <c r="M1001" s="302">
        <v>0.73596896809184664</v>
      </c>
      <c r="N1001" s="302">
        <v>0.18433325531696329</v>
      </c>
      <c r="O1001" s="302">
        <f t="shared" si="429"/>
        <v>1.4301286115533576</v>
      </c>
    </row>
    <row r="1002" spans="1:15" s="236" customFormat="1" x14ac:dyDescent="0.2">
      <c r="A1002" s="237" t="str">
        <f>name!E$11</f>
        <v>Process, plant and machine operatives</v>
      </c>
      <c r="B1002" s="302">
        <v>1.1376298979578734</v>
      </c>
      <c r="C1002" s="302">
        <v>0.41080598395172707</v>
      </c>
      <c r="D1002" s="302">
        <v>2.9037761493680172E-2</v>
      </c>
      <c r="E1002" s="302">
        <f t="shared" si="427"/>
        <v>1.5774736434032806</v>
      </c>
      <c r="F1002" s="303"/>
      <c r="G1002" s="302">
        <v>1.4528939196178263</v>
      </c>
      <c r="H1002" s="302">
        <v>0.56334432753589114</v>
      </c>
      <c r="I1002" s="302">
        <v>6.6494795418449271E-2</v>
      </c>
      <c r="J1002" s="302">
        <f t="shared" si="430"/>
        <v>2.0827330425721668</v>
      </c>
      <c r="K1002" s="303"/>
      <c r="L1002" s="302">
        <v>1.4223453693710792</v>
      </c>
      <c r="M1002" s="302">
        <v>0.62242745187091841</v>
      </c>
      <c r="N1002" s="302">
        <v>3.3211335840761511E-2</v>
      </c>
      <c r="O1002" s="302">
        <f t="shared" si="429"/>
        <v>2.0779841570827591</v>
      </c>
    </row>
    <row r="1003" spans="1:15" s="236" customFormat="1" x14ac:dyDescent="0.2">
      <c r="A1003" s="237" t="str">
        <f>name!E$12</f>
        <v>Elementary occupations</v>
      </c>
      <c r="B1003" s="302">
        <v>0.13559399243362188</v>
      </c>
      <c r="C1003" s="302">
        <v>0.12335523406577055</v>
      </c>
      <c r="D1003" s="302">
        <v>3.2003465893347495E-2</v>
      </c>
      <c r="E1003" s="302">
        <f t="shared" si="427"/>
        <v>0.29095269239273996</v>
      </c>
      <c r="F1003" s="303"/>
      <c r="G1003" s="302">
        <v>0.16248100771080151</v>
      </c>
      <c r="H1003" s="302">
        <v>0.1104328735544949</v>
      </c>
      <c r="I1003" s="302">
        <v>3.9602535861699636E-2</v>
      </c>
      <c r="J1003" s="302">
        <f t="shared" si="430"/>
        <v>0.31251641712699607</v>
      </c>
      <c r="K1003" s="303"/>
      <c r="L1003" s="302">
        <v>0.15747919951502101</v>
      </c>
      <c r="M1003" s="302">
        <v>6.6591999046111669E-2</v>
      </c>
      <c r="N1003" s="302">
        <v>5.2087362608116833E-2</v>
      </c>
      <c r="O1003" s="302">
        <f t="shared" si="429"/>
        <v>0.27615856116924953</v>
      </c>
    </row>
    <row r="1004" spans="1:15" s="236" customFormat="1" x14ac:dyDescent="0.2">
      <c r="A1004" s="237"/>
      <c r="B1004" s="302"/>
      <c r="C1004" s="302"/>
      <c r="D1004" s="302"/>
      <c r="E1004" s="302"/>
      <c r="F1004" s="303"/>
      <c r="G1004" s="302"/>
      <c r="H1004" s="302"/>
      <c r="I1004" s="302"/>
      <c r="J1004" s="302"/>
      <c r="K1004" s="303"/>
      <c r="L1004" s="302"/>
      <c r="M1004" s="302"/>
      <c r="N1004" s="302"/>
      <c r="O1004" s="302"/>
    </row>
    <row r="1005" spans="1:15" s="236" customFormat="1" x14ac:dyDescent="0.2">
      <c r="A1005" s="244" t="s">
        <v>32</v>
      </c>
      <c r="B1005" s="311">
        <f>SUM(B995:B1003)</f>
        <v>7.5509999999731043</v>
      </c>
      <c r="C1005" s="311">
        <f t="shared" ref="C1005:E1005" si="431">SUM(C995:C1003)</f>
        <v>2.384000000021036</v>
      </c>
      <c r="D1005" s="311">
        <f t="shared" si="431"/>
        <v>1.0790000000116007</v>
      </c>
      <c r="E1005" s="311">
        <f t="shared" si="431"/>
        <v>11.014000000005742</v>
      </c>
      <c r="F1005" s="311"/>
      <c r="G1005" s="311">
        <f t="shared" ref="G1005:J1005" si="432">SUM(G995:G1003)</f>
        <v>11.88899999996711</v>
      </c>
      <c r="H1005" s="311">
        <f t="shared" si="432"/>
        <v>2.8040000000211611</v>
      </c>
      <c r="I1005" s="311">
        <f t="shared" si="432"/>
        <v>1.8420000000017069</v>
      </c>
      <c r="J1005" s="311">
        <f t="shared" si="432"/>
        <v>16.534999999989974</v>
      </c>
      <c r="K1005" s="311"/>
      <c r="L1005" s="311">
        <f t="shared" ref="L1005:O1005" si="433">SUM(L995:L1003)</f>
        <v>13.54399999997225</v>
      </c>
      <c r="M1005" s="311">
        <f t="shared" si="433"/>
        <v>3.0719999999990559</v>
      </c>
      <c r="N1005" s="311">
        <f t="shared" si="433"/>
        <v>2.0650000000243787</v>
      </c>
      <c r="O1005" s="311">
        <f t="shared" si="433"/>
        <v>18.680999999995688</v>
      </c>
    </row>
    <row r="1006" spans="1:15" s="236" customFormat="1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37"/>
      <c r="M1006" s="237"/>
      <c r="N1006" s="240"/>
    </row>
    <row r="1007" spans="1:15" s="236" customFormat="1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37"/>
      <c r="M1007" s="237"/>
      <c r="N1007" s="240"/>
      <c r="O1007" s="251" t="s">
        <v>35</v>
      </c>
    </row>
    <row r="1008" spans="1:15" s="236" customFormat="1" x14ac:dyDescent="0.2">
      <c r="A1008" s="242"/>
      <c r="B1008" s="242"/>
      <c r="C1008" s="242"/>
      <c r="D1008" s="242"/>
      <c r="E1008" s="242"/>
      <c r="F1008" s="242"/>
      <c r="G1008" s="242"/>
      <c r="H1008" s="242"/>
      <c r="I1008" s="242"/>
      <c r="J1008" s="242"/>
      <c r="K1008" s="242"/>
      <c r="L1008" s="242"/>
      <c r="M1008" s="242"/>
      <c r="N1008" s="242"/>
      <c r="O1008" s="242"/>
    </row>
    <row r="1009" spans="1:15" s="236" customFormat="1" x14ac:dyDescent="0.2">
      <c r="A1009" s="241" t="str">
        <f>name!A62</f>
        <v>Employment activities</v>
      </c>
      <c r="B1009" s="374">
        <f>$B$6</f>
        <v>2015</v>
      </c>
      <c r="C1009" s="374"/>
      <c r="D1009" s="374"/>
      <c r="E1009" s="374"/>
      <c r="F1009" s="263"/>
      <c r="G1009" s="374">
        <f>$G$6</f>
        <v>2020</v>
      </c>
      <c r="H1009" s="374"/>
      <c r="I1009" s="374"/>
      <c r="J1009" s="374"/>
      <c r="K1009" s="263"/>
      <c r="L1009" s="374">
        <f>$L$6</f>
        <v>2035</v>
      </c>
      <c r="M1009" s="374"/>
      <c r="N1009" s="374"/>
      <c r="O1009" s="374"/>
    </row>
    <row r="1010" spans="1:15" s="236" customFormat="1" x14ac:dyDescent="0.2">
      <c r="A1010" s="254"/>
      <c r="B1010" s="268" t="str">
        <f>$B$7</f>
        <v>FT</v>
      </c>
      <c r="C1010" s="268" t="str">
        <f>$C$7</f>
        <v>PT</v>
      </c>
      <c r="D1010" s="268" t="str">
        <f>$D$7</f>
        <v>SE</v>
      </c>
      <c r="E1010" s="268" t="str">
        <f>$E$7</f>
        <v>Total</v>
      </c>
      <c r="F1010" s="268"/>
      <c r="G1010" s="268" t="str">
        <f>$G$7</f>
        <v>FT</v>
      </c>
      <c r="H1010" s="268" t="str">
        <f>$H$7</f>
        <v>PT</v>
      </c>
      <c r="I1010" s="268" t="str">
        <f>$I$7</f>
        <v>SE</v>
      </c>
      <c r="J1010" s="268" t="str">
        <f>$J$7</f>
        <v>Total</v>
      </c>
      <c r="K1010" s="268"/>
      <c r="L1010" s="268" t="str">
        <f>$L$7</f>
        <v>FT</v>
      </c>
      <c r="M1010" s="268" t="str">
        <f>$M$7</f>
        <v>PT</v>
      </c>
      <c r="N1010" s="268" t="str">
        <f>$N$7</f>
        <v>SE</v>
      </c>
      <c r="O1010" s="268" t="str">
        <f>$O$7</f>
        <v>Total</v>
      </c>
    </row>
    <row r="1011" spans="1:15" s="236" customFormat="1" x14ac:dyDescent="0.2">
      <c r="A1011" s="258"/>
      <c r="B1011" s="239"/>
      <c r="C1011" s="239"/>
      <c r="D1011" s="239"/>
      <c r="E1011" s="239"/>
      <c r="F1011" s="239"/>
      <c r="G1011" s="239"/>
      <c r="H1011" s="239"/>
      <c r="I1011" s="239"/>
      <c r="J1011" s="239"/>
      <c r="K1011" s="239"/>
      <c r="L1011" s="239"/>
      <c r="M1011" s="239"/>
      <c r="N1011" s="239"/>
      <c r="O1011" s="239"/>
    </row>
    <row r="1012" spans="1:15" s="236" customFormat="1" x14ac:dyDescent="0.2">
      <c r="A1012" s="237" t="str">
        <f>name!E$4</f>
        <v>Managers, directors and senior officials</v>
      </c>
      <c r="B1012" s="302">
        <v>8.1825855751475292</v>
      </c>
      <c r="C1012" s="302">
        <v>1.2072682277695224</v>
      </c>
      <c r="D1012" s="302">
        <v>2.0794899572468202</v>
      </c>
      <c r="E1012" s="302">
        <f>SUM(B1012:D1012)</f>
        <v>11.469343760163873</v>
      </c>
      <c r="F1012" s="303"/>
      <c r="G1012" s="302">
        <v>6.6239553185896209</v>
      </c>
      <c r="H1012" s="302">
        <v>1.6193911256001596</v>
      </c>
      <c r="I1012" s="302">
        <v>1.9722930004787722</v>
      </c>
      <c r="J1012" s="302">
        <f>SUM(G1012:I1012)</f>
        <v>10.215639444668554</v>
      </c>
      <c r="K1012" s="303"/>
      <c r="L1012" s="302">
        <v>7.7681484934537952</v>
      </c>
      <c r="M1012" s="302">
        <v>1.9329001382760602</v>
      </c>
      <c r="N1012" s="302">
        <v>2.7052462996788798</v>
      </c>
      <c r="O1012" s="302">
        <f>SUM(L1012:N1012)</f>
        <v>12.406294931408736</v>
      </c>
    </row>
    <row r="1013" spans="1:15" s="236" customFormat="1" x14ac:dyDescent="0.2">
      <c r="A1013" s="237" t="str">
        <f>name!E$5</f>
        <v>Professional occupations</v>
      </c>
      <c r="B1013" s="302">
        <v>8.9209564175579334</v>
      </c>
      <c r="C1013" s="302">
        <v>1.2150651942479898</v>
      </c>
      <c r="D1013" s="302">
        <v>1.033571965621001</v>
      </c>
      <c r="E1013" s="302">
        <f t="shared" ref="E1013:E1020" si="434">SUM(B1013:D1013)</f>
        <v>11.169593577426923</v>
      </c>
      <c r="F1013" s="303"/>
      <c r="G1013" s="302">
        <v>8.250291039952252</v>
      </c>
      <c r="H1013" s="302">
        <v>1.7574118520748503</v>
      </c>
      <c r="I1013" s="302">
        <v>0.95260802524151245</v>
      </c>
      <c r="J1013" s="302">
        <f t="shared" ref="J1013:J1015" si="435">SUM(G1013:I1013)</f>
        <v>10.960310917268615</v>
      </c>
      <c r="K1013" s="303"/>
      <c r="L1013" s="302">
        <v>11.155063856013799</v>
      </c>
      <c r="M1013" s="302">
        <v>2.6772995024428763</v>
      </c>
      <c r="N1013" s="302">
        <v>0.79699983792688678</v>
      </c>
      <c r="O1013" s="302">
        <f t="shared" ref="O1013:O1020" si="436">SUM(L1013:N1013)</f>
        <v>14.629363196383562</v>
      </c>
    </row>
    <row r="1014" spans="1:15" s="236" customFormat="1" x14ac:dyDescent="0.2">
      <c r="A1014" s="237" t="str">
        <f>name!E$6</f>
        <v>Associate professional occupations</v>
      </c>
      <c r="B1014" s="302">
        <v>11.369070728941253</v>
      </c>
      <c r="C1014" s="302">
        <v>2.1324649725827789</v>
      </c>
      <c r="D1014" s="302">
        <v>2.7263019625572613</v>
      </c>
      <c r="E1014" s="302">
        <f t="shared" si="434"/>
        <v>16.227837664081292</v>
      </c>
      <c r="F1014" s="303"/>
      <c r="G1014" s="302">
        <v>9.4183733280504711</v>
      </c>
      <c r="H1014" s="302">
        <v>2.4043923907037117</v>
      </c>
      <c r="I1014" s="302">
        <v>2.5539544708062003</v>
      </c>
      <c r="J1014" s="302">
        <f t="shared" si="435"/>
        <v>14.376720189560384</v>
      </c>
      <c r="K1014" s="303"/>
      <c r="L1014" s="302">
        <v>9.7754038864198805</v>
      </c>
      <c r="M1014" s="302">
        <v>2.8444652001862933</v>
      </c>
      <c r="N1014" s="302">
        <v>2.514178148455815</v>
      </c>
      <c r="O1014" s="302">
        <f t="shared" si="436"/>
        <v>15.134047235061988</v>
      </c>
    </row>
    <row r="1015" spans="1:15" s="236" customFormat="1" x14ac:dyDescent="0.2">
      <c r="A1015" s="237" t="str">
        <f>name!E$7</f>
        <v>Administrative and secretarial occupations</v>
      </c>
      <c r="B1015" s="302">
        <v>8.4921399886813429</v>
      </c>
      <c r="C1015" s="302">
        <v>3.5320721118261509</v>
      </c>
      <c r="D1015" s="302">
        <v>0.43868493007592779</v>
      </c>
      <c r="E1015" s="302">
        <f t="shared" si="434"/>
        <v>12.462897030583422</v>
      </c>
      <c r="F1015" s="303"/>
      <c r="G1015" s="302">
        <v>5.7549010494715702</v>
      </c>
      <c r="H1015" s="302">
        <v>3.0417612567182335</v>
      </c>
      <c r="I1015" s="302">
        <v>0.40620538925982436</v>
      </c>
      <c r="J1015" s="302">
        <f t="shared" si="435"/>
        <v>9.202867695449628</v>
      </c>
      <c r="K1015" s="303"/>
      <c r="L1015" s="302">
        <v>5.0050588859304597</v>
      </c>
      <c r="M1015" s="302">
        <v>3.4804287393277682</v>
      </c>
      <c r="N1015" s="302">
        <v>0.39470613536296956</v>
      </c>
      <c r="O1015" s="302">
        <f t="shared" si="436"/>
        <v>8.8801937606211983</v>
      </c>
    </row>
    <row r="1016" spans="1:15" s="236" customFormat="1" x14ac:dyDescent="0.2">
      <c r="A1016" s="237" t="str">
        <f>name!E$8</f>
        <v>Skilled trades occupations</v>
      </c>
      <c r="B1016" s="302">
        <v>3.0758219187224278</v>
      </c>
      <c r="C1016" s="302">
        <v>1.0161403995691236</v>
      </c>
      <c r="D1016" s="302">
        <v>0.92423531077336873</v>
      </c>
      <c r="E1016" s="302">
        <f t="shared" si="434"/>
        <v>5.0161976290649211</v>
      </c>
      <c r="F1016" s="303"/>
      <c r="G1016" s="302">
        <v>1.8026547931672892</v>
      </c>
      <c r="H1016" s="302">
        <v>0.70965857349202122</v>
      </c>
      <c r="I1016" s="302">
        <v>0.76288937856237238</v>
      </c>
      <c r="J1016" s="302">
        <f>SUM(G1016:I1016)</f>
        <v>3.2752027452216828</v>
      </c>
      <c r="K1016" s="303"/>
      <c r="L1016" s="302">
        <v>1.7854219448755402</v>
      </c>
      <c r="M1016" s="302">
        <v>1.0509198278949377</v>
      </c>
      <c r="N1016" s="302">
        <v>0.82560973483112188</v>
      </c>
      <c r="O1016" s="302">
        <f t="shared" si="436"/>
        <v>3.6619515076015996</v>
      </c>
    </row>
    <row r="1017" spans="1:15" s="236" customFormat="1" x14ac:dyDescent="0.2">
      <c r="A1017" s="237" t="str">
        <f>name!E$9</f>
        <v>Caring, leisure and other service occupations</v>
      </c>
      <c r="B1017" s="302">
        <v>4.4143452434646537</v>
      </c>
      <c r="C1017" s="302">
        <v>3.1281696401653365</v>
      </c>
      <c r="D1017" s="302">
        <v>1.0335957756919267</v>
      </c>
      <c r="E1017" s="302">
        <f t="shared" si="434"/>
        <v>8.5761106593219161</v>
      </c>
      <c r="F1017" s="303"/>
      <c r="G1017" s="302">
        <v>3.0688435056444208</v>
      </c>
      <c r="H1017" s="302">
        <v>2.9012361256173227</v>
      </c>
      <c r="I1017" s="302">
        <v>1.1489999290575355</v>
      </c>
      <c r="J1017" s="302">
        <f t="shared" ref="J1017:J1020" si="437">SUM(G1017:I1017)</f>
        <v>7.1190795603192791</v>
      </c>
      <c r="K1017" s="303"/>
      <c r="L1017" s="302">
        <v>3.8609105586636701</v>
      </c>
      <c r="M1017" s="302">
        <v>3.7573805475964512</v>
      </c>
      <c r="N1017" s="302">
        <v>1.4588990108948197</v>
      </c>
      <c r="O1017" s="302">
        <f t="shared" si="436"/>
        <v>9.0771901171549416</v>
      </c>
    </row>
    <row r="1018" spans="1:15" s="236" customFormat="1" x14ac:dyDescent="0.2">
      <c r="A1018" s="237" t="str">
        <f>name!E$10</f>
        <v>Sales and customer service occupations</v>
      </c>
      <c r="B1018" s="302">
        <v>3.7668487229823451</v>
      </c>
      <c r="C1018" s="302">
        <v>2.3467121626961478</v>
      </c>
      <c r="D1018" s="302">
        <v>0.53869218620879478</v>
      </c>
      <c r="E1018" s="302">
        <f t="shared" si="434"/>
        <v>6.6522530718872872</v>
      </c>
      <c r="F1018" s="303"/>
      <c r="G1018" s="302">
        <v>2.6032779782174771</v>
      </c>
      <c r="H1018" s="302">
        <v>2.1610803756940467</v>
      </c>
      <c r="I1018" s="302">
        <v>0.39635025578197969</v>
      </c>
      <c r="J1018" s="302">
        <f t="shared" si="437"/>
        <v>5.1607086096935033</v>
      </c>
      <c r="K1018" s="303"/>
      <c r="L1018" s="302">
        <v>3.1572103572061869</v>
      </c>
      <c r="M1018" s="302">
        <v>3.1944959403733666</v>
      </c>
      <c r="N1018" s="302">
        <v>0.38016331442553064</v>
      </c>
      <c r="O1018" s="302">
        <f t="shared" si="436"/>
        <v>6.7318696120050845</v>
      </c>
    </row>
    <row r="1019" spans="1:15" s="236" customFormat="1" x14ac:dyDescent="0.2">
      <c r="A1019" s="237" t="str">
        <f>name!E$11</f>
        <v>Process, plant and machine operatives</v>
      </c>
      <c r="B1019" s="302">
        <v>3.4449019290604581</v>
      </c>
      <c r="C1019" s="302">
        <v>1.6932848600575907</v>
      </c>
      <c r="D1019" s="302">
        <v>9.6904551344744586E-2</v>
      </c>
      <c r="E1019" s="302">
        <f t="shared" si="434"/>
        <v>5.2350913404627928</v>
      </c>
      <c r="F1019" s="303"/>
      <c r="G1019" s="302">
        <v>2.0778084491860769</v>
      </c>
      <c r="H1019" s="302">
        <v>1.7532388334757505</v>
      </c>
      <c r="I1019" s="302">
        <v>9.6620418978524372E-2</v>
      </c>
      <c r="J1019" s="302">
        <f t="shared" si="437"/>
        <v>3.9276677016403516</v>
      </c>
      <c r="K1019" s="303"/>
      <c r="L1019" s="302">
        <v>2.1255997581483705</v>
      </c>
      <c r="M1019" s="302">
        <v>1.8824740348317135</v>
      </c>
      <c r="N1019" s="302">
        <v>0.10356332976035744</v>
      </c>
      <c r="O1019" s="302">
        <f t="shared" si="436"/>
        <v>4.1116371227404409</v>
      </c>
    </row>
    <row r="1020" spans="1:15" s="236" customFormat="1" x14ac:dyDescent="0.2">
      <c r="A1020" s="237" t="str">
        <f>name!E$12</f>
        <v>Elementary occupations</v>
      </c>
      <c r="B1020" s="302">
        <v>20.68332947521224</v>
      </c>
      <c r="C1020" s="302">
        <v>13.914822431302069</v>
      </c>
      <c r="D1020" s="302">
        <v>2.0985233606462987</v>
      </c>
      <c r="E1020" s="302">
        <f t="shared" si="434"/>
        <v>36.696675267160607</v>
      </c>
      <c r="F1020" s="303"/>
      <c r="G1020" s="302">
        <v>13.323894537833048</v>
      </c>
      <c r="H1020" s="302">
        <v>10.789829466857535</v>
      </c>
      <c r="I1020" s="302">
        <v>1.5320791317813283</v>
      </c>
      <c r="J1020" s="302">
        <f t="shared" si="437"/>
        <v>25.645803136471908</v>
      </c>
      <c r="K1020" s="303"/>
      <c r="L1020" s="302">
        <v>16.212182259159714</v>
      </c>
      <c r="M1020" s="302">
        <v>9.1796360691377199</v>
      </c>
      <c r="N1020" s="302">
        <v>1.8436341887888976</v>
      </c>
      <c r="O1020" s="302">
        <f t="shared" si="436"/>
        <v>27.23545251708633</v>
      </c>
    </row>
    <row r="1021" spans="1:15" s="236" customFormat="1" x14ac:dyDescent="0.2">
      <c r="A1021" s="237"/>
      <c r="B1021" s="302"/>
      <c r="C1021" s="302"/>
      <c r="D1021" s="302"/>
      <c r="E1021" s="302"/>
      <c r="F1021" s="303"/>
      <c r="G1021" s="302"/>
      <c r="H1021" s="302"/>
      <c r="I1021" s="302"/>
      <c r="J1021" s="302"/>
      <c r="K1021" s="303"/>
      <c r="L1021" s="302"/>
      <c r="M1021" s="302"/>
      <c r="N1021" s="302"/>
      <c r="O1021" s="302"/>
    </row>
    <row r="1022" spans="1:15" s="236" customFormat="1" x14ac:dyDescent="0.2">
      <c r="A1022" s="244" t="s">
        <v>32</v>
      </c>
      <c r="B1022" s="311">
        <f>SUM(B1012:B1020)</f>
        <v>72.349999999770176</v>
      </c>
      <c r="C1022" s="311">
        <f t="shared" ref="C1022:E1022" si="438">SUM(C1012:C1020)</f>
        <v>30.186000000216708</v>
      </c>
      <c r="D1022" s="311">
        <f t="shared" si="438"/>
        <v>10.970000000166145</v>
      </c>
      <c r="E1022" s="311">
        <f t="shared" si="438"/>
        <v>113.50600000015302</v>
      </c>
      <c r="F1022" s="311"/>
      <c r="G1022" s="311">
        <f t="shared" ref="G1022:J1022" si="439">SUM(G1012:G1020)</f>
        <v>52.92400000011223</v>
      </c>
      <c r="H1022" s="311">
        <f t="shared" si="439"/>
        <v>27.138000000233632</v>
      </c>
      <c r="I1022" s="311">
        <f t="shared" si="439"/>
        <v>9.8219999999480496</v>
      </c>
      <c r="J1022" s="311">
        <f t="shared" si="439"/>
        <v>89.884000000293909</v>
      </c>
      <c r="K1022" s="311"/>
      <c r="L1022" s="311">
        <f t="shared" ref="L1022:O1022" si="440">SUM(L1012:L1020)</f>
        <v>60.844999999871419</v>
      </c>
      <c r="M1022" s="311">
        <f t="shared" si="440"/>
        <v>30.000000000067182</v>
      </c>
      <c r="N1022" s="311">
        <f t="shared" si="440"/>
        <v>11.023000000125277</v>
      </c>
      <c r="O1022" s="311">
        <f t="shared" si="440"/>
        <v>101.86800000006389</v>
      </c>
    </row>
    <row r="1023" spans="1:15" s="236" customFormat="1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37"/>
      <c r="M1023" s="237"/>
      <c r="N1023" s="240"/>
    </row>
    <row r="1024" spans="1:15" s="236" customFormat="1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37"/>
      <c r="M1024" s="237"/>
      <c r="N1024" s="240"/>
      <c r="O1024" s="251" t="s">
        <v>35</v>
      </c>
    </row>
    <row r="1025" spans="1:15" s="236" customFormat="1" x14ac:dyDescent="0.2">
      <c r="A1025" s="242"/>
      <c r="B1025" s="242"/>
      <c r="C1025" s="242"/>
      <c r="D1025" s="242"/>
      <c r="E1025" s="242"/>
      <c r="F1025" s="242"/>
      <c r="G1025" s="242"/>
      <c r="H1025" s="242"/>
      <c r="I1025" s="242"/>
      <c r="J1025" s="242"/>
      <c r="K1025" s="242"/>
      <c r="L1025" s="242"/>
      <c r="M1025" s="242"/>
      <c r="N1025" s="242"/>
      <c r="O1025" s="242"/>
    </row>
    <row r="1026" spans="1:15" s="236" customFormat="1" x14ac:dyDescent="0.2">
      <c r="A1026" s="241" t="str">
        <f>name!A63</f>
        <v>Travel, etc</v>
      </c>
      <c r="B1026" s="374">
        <f>$B$6</f>
        <v>2015</v>
      </c>
      <c r="C1026" s="374"/>
      <c r="D1026" s="374"/>
      <c r="E1026" s="374"/>
      <c r="F1026" s="263"/>
      <c r="G1026" s="374">
        <f>$G$6</f>
        <v>2020</v>
      </c>
      <c r="H1026" s="374"/>
      <c r="I1026" s="374"/>
      <c r="J1026" s="374"/>
      <c r="K1026" s="263"/>
      <c r="L1026" s="374">
        <f>$L$6</f>
        <v>2035</v>
      </c>
      <c r="M1026" s="374"/>
      <c r="N1026" s="374"/>
      <c r="O1026" s="374"/>
    </row>
    <row r="1027" spans="1:15" s="236" customFormat="1" x14ac:dyDescent="0.2">
      <c r="A1027" s="254"/>
      <c r="B1027" s="268" t="str">
        <f>$B$7</f>
        <v>FT</v>
      </c>
      <c r="C1027" s="268" t="str">
        <f>$C$7</f>
        <v>PT</v>
      </c>
      <c r="D1027" s="268" t="str">
        <f>$D$7</f>
        <v>SE</v>
      </c>
      <c r="E1027" s="268" t="str">
        <f>$E$7</f>
        <v>Total</v>
      </c>
      <c r="F1027" s="268"/>
      <c r="G1027" s="268" t="str">
        <f>$G$7</f>
        <v>FT</v>
      </c>
      <c r="H1027" s="268" t="str">
        <f>$H$7</f>
        <v>PT</v>
      </c>
      <c r="I1027" s="268" t="str">
        <f>$I$7</f>
        <v>SE</v>
      </c>
      <c r="J1027" s="268" t="str">
        <f>$J$7</f>
        <v>Total</v>
      </c>
      <c r="K1027" s="268"/>
      <c r="L1027" s="268" t="str">
        <f>$L$7</f>
        <v>FT</v>
      </c>
      <c r="M1027" s="268" t="str">
        <f>$M$7</f>
        <v>PT</v>
      </c>
      <c r="N1027" s="268" t="str">
        <f>$N$7</f>
        <v>SE</v>
      </c>
      <c r="O1027" s="268" t="str">
        <f>$O$7</f>
        <v>Total</v>
      </c>
    </row>
    <row r="1028" spans="1:15" s="236" customFormat="1" x14ac:dyDescent="0.2">
      <c r="A1028" s="258"/>
      <c r="B1028" s="239"/>
      <c r="C1028" s="239"/>
      <c r="D1028" s="239"/>
      <c r="E1028" s="239"/>
      <c r="F1028" s="239"/>
      <c r="G1028" s="239"/>
      <c r="H1028" s="239"/>
      <c r="I1028" s="239"/>
      <c r="J1028" s="239"/>
      <c r="K1028" s="239"/>
      <c r="L1028" s="239"/>
      <c r="M1028" s="239"/>
      <c r="N1028" s="239"/>
      <c r="O1028" s="239"/>
    </row>
    <row r="1029" spans="1:15" s="236" customFormat="1" x14ac:dyDescent="0.2">
      <c r="A1029" s="237" t="str">
        <f>name!E$4</f>
        <v>Managers, directors and senior officials</v>
      </c>
      <c r="B1029" s="302">
        <v>0.37896047412352213</v>
      </c>
      <c r="C1029" s="302">
        <v>4.9867453679654936E-2</v>
      </c>
      <c r="D1029" s="302">
        <v>9.5357875832221314E-2</v>
      </c>
      <c r="E1029" s="302">
        <f>SUM(B1029:D1029)</f>
        <v>0.52418580363539835</v>
      </c>
      <c r="F1029" s="303"/>
      <c r="G1029" s="302">
        <v>0.21700831910108032</v>
      </c>
      <c r="H1029" s="302">
        <v>6.9764954473744367E-2</v>
      </c>
      <c r="I1029" s="302">
        <v>7.9003934302898648E-2</v>
      </c>
      <c r="J1029" s="302">
        <f>SUM(G1029:I1029)</f>
        <v>0.36577720787772333</v>
      </c>
      <c r="K1029" s="303"/>
      <c r="L1029" s="302">
        <v>0.25395391401305301</v>
      </c>
      <c r="M1029" s="302">
        <v>9.4561046111999267E-2</v>
      </c>
      <c r="N1029" s="302">
        <v>9.4544871288707241E-2</v>
      </c>
      <c r="O1029" s="302">
        <f>SUM(L1029:N1029)</f>
        <v>0.44305983141375954</v>
      </c>
    </row>
    <row r="1030" spans="1:15" s="236" customFormat="1" x14ac:dyDescent="0.2">
      <c r="A1030" s="237" t="str">
        <f>name!E$5</f>
        <v>Professional occupations</v>
      </c>
      <c r="B1030" s="302">
        <v>0.27134901064238193</v>
      </c>
      <c r="C1030" s="302">
        <v>2.4815985483186167E-2</v>
      </c>
      <c r="D1030" s="302">
        <v>2.2245462831022335E-2</v>
      </c>
      <c r="E1030" s="302">
        <f t="shared" ref="E1030:E1037" si="441">SUM(B1030:D1030)</f>
        <v>0.31841045895659043</v>
      </c>
      <c r="F1030" s="303"/>
      <c r="G1030" s="302">
        <v>0.17206840279937807</v>
      </c>
      <c r="H1030" s="302">
        <v>3.2371980955773483E-2</v>
      </c>
      <c r="I1030" s="302">
        <v>1.7265760245721008E-2</v>
      </c>
      <c r="J1030" s="302">
        <f t="shared" ref="J1030:J1032" si="442">SUM(G1030:I1030)</f>
        <v>0.22170614400087257</v>
      </c>
      <c r="K1030" s="303"/>
      <c r="L1030" s="302">
        <v>0.25596117046047662</v>
      </c>
      <c r="M1030" s="302">
        <v>3.5531523624579189E-2</v>
      </c>
      <c r="N1030" s="302">
        <v>1.469130656988684E-2</v>
      </c>
      <c r="O1030" s="302">
        <f t="shared" ref="O1030:O1037" si="443">SUM(L1030:N1030)</f>
        <v>0.30618400065494261</v>
      </c>
    </row>
    <row r="1031" spans="1:15" s="236" customFormat="1" x14ac:dyDescent="0.2">
      <c r="A1031" s="237" t="str">
        <f>name!E$6</f>
        <v>Associate professional occupations</v>
      </c>
      <c r="B1031" s="302">
        <v>0.24180017791700043</v>
      </c>
      <c r="C1031" s="302">
        <v>4.8197901539183553E-2</v>
      </c>
      <c r="D1031" s="302">
        <v>3.102194353175176E-2</v>
      </c>
      <c r="E1031" s="302">
        <f t="shared" si="441"/>
        <v>0.32102002298793575</v>
      </c>
      <c r="F1031" s="303"/>
      <c r="G1031" s="302">
        <v>0.1391641151328496</v>
      </c>
      <c r="H1031" s="302">
        <v>5.4059693508296799E-2</v>
      </c>
      <c r="I1031" s="302">
        <v>2.053602780653473E-2</v>
      </c>
      <c r="J1031" s="302">
        <f t="shared" si="442"/>
        <v>0.21375983644768115</v>
      </c>
      <c r="K1031" s="303"/>
      <c r="L1031" s="302">
        <v>0.15688824993077569</v>
      </c>
      <c r="M1031" s="302">
        <v>5.4463460117136521E-2</v>
      </c>
      <c r="N1031" s="302">
        <v>2.1685960112260389E-2</v>
      </c>
      <c r="O1031" s="302">
        <f t="shared" si="443"/>
        <v>0.2330376701601726</v>
      </c>
    </row>
    <row r="1032" spans="1:15" s="236" customFormat="1" x14ac:dyDescent="0.2">
      <c r="A1032" s="237" t="str">
        <f>name!E$7</f>
        <v>Administrative and secretarial occupations</v>
      </c>
      <c r="B1032" s="302">
        <v>0.51875624403156528</v>
      </c>
      <c r="C1032" s="302">
        <v>0.20706200047945897</v>
      </c>
      <c r="D1032" s="302">
        <v>4.7939988209264671E-2</v>
      </c>
      <c r="E1032" s="302">
        <f t="shared" si="441"/>
        <v>0.77375823272028899</v>
      </c>
      <c r="F1032" s="303"/>
      <c r="G1032" s="302">
        <v>0.2638296490434619</v>
      </c>
      <c r="H1032" s="302">
        <v>0.18841892308705555</v>
      </c>
      <c r="I1032" s="302">
        <v>3.4089010163243075E-2</v>
      </c>
      <c r="J1032" s="302">
        <f t="shared" si="442"/>
        <v>0.48633758229376051</v>
      </c>
      <c r="K1032" s="303"/>
      <c r="L1032" s="302">
        <v>0.2838571564202772</v>
      </c>
      <c r="M1032" s="302">
        <v>0.17088004462586495</v>
      </c>
      <c r="N1032" s="302">
        <v>3.945863680237674E-2</v>
      </c>
      <c r="O1032" s="302">
        <f t="shared" si="443"/>
        <v>0.49419583784851884</v>
      </c>
    </row>
    <row r="1033" spans="1:15" s="236" customFormat="1" x14ac:dyDescent="0.2">
      <c r="A1033" s="237" t="str">
        <f>name!E$8</f>
        <v>Skilled trades occupations</v>
      </c>
      <c r="B1033" s="302">
        <v>0.11075170541581547</v>
      </c>
      <c r="C1033" s="302">
        <v>1.6446033115790543E-2</v>
      </c>
      <c r="D1033" s="302">
        <v>1.6578637006531463E-2</v>
      </c>
      <c r="E1033" s="302">
        <f t="shared" si="441"/>
        <v>0.14377637553813749</v>
      </c>
      <c r="F1033" s="303"/>
      <c r="G1033" s="302">
        <v>4.5529499911737818E-2</v>
      </c>
      <c r="H1033" s="302">
        <v>1.1976923781698873E-2</v>
      </c>
      <c r="I1033" s="302">
        <v>1.2552843544546067E-2</v>
      </c>
      <c r="J1033" s="302">
        <f>SUM(G1033:I1033)</f>
        <v>7.0059267237982753E-2</v>
      </c>
      <c r="K1033" s="303"/>
      <c r="L1033" s="302">
        <v>5.4443372954720189E-2</v>
      </c>
      <c r="M1033" s="302">
        <v>1.3972400192680652E-2</v>
      </c>
      <c r="N1033" s="302">
        <v>2.4768818701215053E-2</v>
      </c>
      <c r="O1033" s="302">
        <f t="shared" si="443"/>
        <v>9.3184591848615897E-2</v>
      </c>
    </row>
    <row r="1034" spans="1:15" s="236" customFormat="1" x14ac:dyDescent="0.2">
      <c r="A1034" s="237" t="str">
        <f>name!E$9</f>
        <v>Caring, leisure and other service occupations</v>
      </c>
      <c r="B1034" s="302">
        <v>0.28080190187037229</v>
      </c>
      <c r="C1034" s="302">
        <v>0.29444671355969299</v>
      </c>
      <c r="D1034" s="302">
        <v>0.29594593935597968</v>
      </c>
      <c r="E1034" s="302">
        <f t="shared" si="441"/>
        <v>0.87119455478604502</v>
      </c>
      <c r="F1034" s="303"/>
      <c r="G1034" s="302">
        <v>0.12713842702254374</v>
      </c>
      <c r="H1034" s="302">
        <v>0.20267893759023481</v>
      </c>
      <c r="I1034" s="302">
        <v>0.21154115839102758</v>
      </c>
      <c r="J1034" s="302">
        <f t="shared" ref="J1034:J1037" si="444">SUM(G1034:I1034)</f>
        <v>0.54135852300380616</v>
      </c>
      <c r="K1034" s="303"/>
      <c r="L1034" s="302">
        <v>0.13428101294031619</v>
      </c>
      <c r="M1034" s="302">
        <v>0.18577164675943963</v>
      </c>
      <c r="N1034" s="302">
        <v>0.22979838153641641</v>
      </c>
      <c r="O1034" s="302">
        <f t="shared" si="443"/>
        <v>0.54985104123617223</v>
      </c>
    </row>
    <row r="1035" spans="1:15" s="236" customFormat="1" x14ac:dyDescent="0.2">
      <c r="A1035" s="237" t="str">
        <f>name!E$10</f>
        <v>Sales and customer service occupations</v>
      </c>
      <c r="B1035" s="302">
        <v>0.22682085576076888</v>
      </c>
      <c r="C1035" s="302">
        <v>0.48737838552531249</v>
      </c>
      <c r="D1035" s="302">
        <v>8.5420042274617622E-2</v>
      </c>
      <c r="E1035" s="302">
        <f t="shared" si="441"/>
        <v>0.799619283560699</v>
      </c>
      <c r="F1035" s="303"/>
      <c r="G1035" s="302">
        <v>0.1091006864496846</v>
      </c>
      <c r="H1035" s="302">
        <v>0.47186857762039081</v>
      </c>
      <c r="I1035" s="302">
        <v>4.5873599827815678E-2</v>
      </c>
      <c r="J1035" s="302">
        <f t="shared" si="444"/>
        <v>0.62684286389789112</v>
      </c>
      <c r="K1035" s="303"/>
      <c r="L1035" s="302">
        <v>0.13740268190715779</v>
      </c>
      <c r="M1035" s="302">
        <v>0.61263966497182265</v>
      </c>
      <c r="N1035" s="302">
        <v>4.929289299950481E-2</v>
      </c>
      <c r="O1035" s="302">
        <f t="shared" si="443"/>
        <v>0.7993352398784852</v>
      </c>
    </row>
    <row r="1036" spans="1:15" s="236" customFormat="1" x14ac:dyDescent="0.2">
      <c r="A1036" s="237" t="str">
        <f>name!E$11</f>
        <v>Process, plant and machine operatives</v>
      </c>
      <c r="B1036" s="302">
        <v>1.1005749132000358</v>
      </c>
      <c r="C1036" s="302">
        <v>5.2103122216651782E-2</v>
      </c>
      <c r="D1036" s="302">
        <v>2.6092031253193888E-2</v>
      </c>
      <c r="E1036" s="302">
        <f t="shared" si="441"/>
        <v>1.1787700666698813</v>
      </c>
      <c r="F1036" s="303"/>
      <c r="G1036" s="302">
        <v>0.47762586095800141</v>
      </c>
      <c r="H1036" s="302">
        <v>5.1312118391017479E-2</v>
      </c>
      <c r="I1036" s="302">
        <v>2.2173732056716019E-2</v>
      </c>
      <c r="J1036" s="302">
        <f t="shared" si="444"/>
        <v>0.55111171140573489</v>
      </c>
      <c r="K1036" s="303"/>
      <c r="L1036" s="302">
        <v>0.58764049740532731</v>
      </c>
      <c r="M1036" s="302">
        <v>5.2951777268722904E-2</v>
      </c>
      <c r="N1036" s="302">
        <v>2.4346459704326619E-2</v>
      </c>
      <c r="O1036" s="302">
        <f t="shared" si="443"/>
        <v>0.66493873437837681</v>
      </c>
    </row>
    <row r="1037" spans="1:15" s="236" customFormat="1" x14ac:dyDescent="0.2">
      <c r="A1037" s="237" t="str">
        <f>name!E$12</f>
        <v>Elementary occupations</v>
      </c>
      <c r="B1037" s="302">
        <v>1.0931847170029569</v>
      </c>
      <c r="C1037" s="302">
        <v>0.18368240442557413</v>
      </c>
      <c r="D1037" s="302">
        <v>2.3398079713605236E-2</v>
      </c>
      <c r="E1037" s="302">
        <f t="shared" si="441"/>
        <v>1.3002652011421363</v>
      </c>
      <c r="F1037" s="303"/>
      <c r="G1037" s="302">
        <v>0.41753503959213789</v>
      </c>
      <c r="H1037" s="302">
        <v>0.14354789059606896</v>
      </c>
      <c r="I1037" s="302">
        <v>1.0963933653405842E-2</v>
      </c>
      <c r="J1037" s="302">
        <f t="shared" si="444"/>
        <v>0.57204686384161274</v>
      </c>
      <c r="K1037" s="303"/>
      <c r="L1037" s="302">
        <v>0.38657194397189337</v>
      </c>
      <c r="M1037" s="302">
        <v>0.12822843631940459</v>
      </c>
      <c r="N1037" s="302">
        <v>1.1412672289221394E-2</v>
      </c>
      <c r="O1037" s="302">
        <f t="shared" si="443"/>
        <v>0.52621305258051931</v>
      </c>
    </row>
    <row r="1038" spans="1:15" s="236" customFormat="1" x14ac:dyDescent="0.2">
      <c r="A1038" s="237"/>
      <c r="B1038" s="302"/>
      <c r="C1038" s="302"/>
      <c r="D1038" s="302"/>
      <c r="E1038" s="302"/>
      <c r="F1038" s="303"/>
      <c r="G1038" s="302"/>
      <c r="H1038" s="302"/>
      <c r="I1038" s="302"/>
      <c r="J1038" s="302"/>
      <c r="K1038" s="303"/>
      <c r="L1038" s="302"/>
      <c r="M1038" s="302"/>
      <c r="N1038" s="302"/>
      <c r="O1038" s="302"/>
    </row>
    <row r="1039" spans="1:15" s="236" customFormat="1" x14ac:dyDescent="0.2">
      <c r="A1039" s="244" t="s">
        <v>32</v>
      </c>
      <c r="B1039" s="311">
        <f>SUM(B1029:B1037)</f>
        <v>4.2229999999644185</v>
      </c>
      <c r="C1039" s="311">
        <f t="shared" ref="C1039:E1039" si="445">SUM(C1029:C1037)</f>
        <v>1.3640000000245054</v>
      </c>
      <c r="D1039" s="311">
        <f t="shared" si="445"/>
        <v>0.64400000000818802</v>
      </c>
      <c r="E1039" s="311">
        <f t="shared" si="445"/>
        <v>6.2309999999971124</v>
      </c>
      <c r="F1039" s="311"/>
      <c r="G1039" s="311">
        <f t="shared" ref="G1039:J1039" si="446">SUM(G1029:G1037)</f>
        <v>1.9690000000108756</v>
      </c>
      <c r="H1039" s="311">
        <f t="shared" si="446"/>
        <v>1.226000000004281</v>
      </c>
      <c r="I1039" s="311">
        <f t="shared" si="446"/>
        <v>0.45399999999190865</v>
      </c>
      <c r="J1039" s="311">
        <f t="shared" si="446"/>
        <v>3.6490000000070655</v>
      </c>
      <c r="K1039" s="311"/>
      <c r="L1039" s="311">
        <f t="shared" ref="L1039:O1039" si="447">SUM(L1029:L1037)</f>
        <v>2.2510000000039976</v>
      </c>
      <c r="M1039" s="311">
        <f t="shared" si="447"/>
        <v>1.3489999999916504</v>
      </c>
      <c r="N1039" s="311">
        <f t="shared" si="447"/>
        <v>0.51000000000391554</v>
      </c>
      <c r="O1039" s="311">
        <f t="shared" si="447"/>
        <v>4.1099999999995624</v>
      </c>
    </row>
    <row r="1040" spans="1:15" s="236" customFormat="1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37"/>
      <c r="M1040" s="237"/>
      <c r="N1040" s="240"/>
    </row>
    <row r="1041" spans="1:15" s="236" customFormat="1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37"/>
      <c r="M1041" s="237"/>
      <c r="N1041" s="240"/>
      <c r="O1041" s="251" t="s">
        <v>35</v>
      </c>
    </row>
    <row r="1042" spans="1:15" s="236" customFormat="1" x14ac:dyDescent="0.2">
      <c r="A1042" s="242"/>
      <c r="B1042" s="242"/>
      <c r="C1042" s="242"/>
      <c r="D1042" s="242"/>
      <c r="E1042" s="242"/>
      <c r="F1042" s="242"/>
      <c r="G1042" s="242"/>
      <c r="H1042" s="242"/>
      <c r="I1042" s="242"/>
      <c r="J1042" s="242"/>
      <c r="K1042" s="242"/>
      <c r="L1042" s="242"/>
      <c r="M1042" s="242"/>
      <c r="N1042" s="242"/>
      <c r="O1042" s="242"/>
    </row>
    <row r="1043" spans="1:15" s="236" customFormat="1" x14ac:dyDescent="0.2">
      <c r="A1043" s="241" t="str">
        <f>name!A64</f>
        <v>Security, etc</v>
      </c>
      <c r="B1043" s="374">
        <f>$B$6</f>
        <v>2015</v>
      </c>
      <c r="C1043" s="374"/>
      <c r="D1043" s="374"/>
      <c r="E1043" s="374"/>
      <c r="F1043" s="263"/>
      <c r="G1043" s="374">
        <f>$G$6</f>
        <v>2020</v>
      </c>
      <c r="H1043" s="374"/>
      <c r="I1043" s="374"/>
      <c r="J1043" s="374"/>
      <c r="K1043" s="263"/>
      <c r="L1043" s="374">
        <f>$L$6</f>
        <v>2035</v>
      </c>
      <c r="M1043" s="374"/>
      <c r="N1043" s="374"/>
      <c r="O1043" s="374"/>
    </row>
    <row r="1044" spans="1:15" s="236" customFormat="1" x14ac:dyDescent="0.2">
      <c r="A1044" s="254"/>
      <c r="B1044" s="268" t="str">
        <f>$B$7</f>
        <v>FT</v>
      </c>
      <c r="C1044" s="268" t="str">
        <f>$C$7</f>
        <v>PT</v>
      </c>
      <c r="D1044" s="268" t="str">
        <f>$D$7</f>
        <v>SE</v>
      </c>
      <c r="E1044" s="268" t="str">
        <f>$E$7</f>
        <v>Total</v>
      </c>
      <c r="F1044" s="268"/>
      <c r="G1044" s="268" t="str">
        <f>$G$7</f>
        <v>FT</v>
      </c>
      <c r="H1044" s="268" t="str">
        <f>$H$7</f>
        <v>PT</v>
      </c>
      <c r="I1044" s="268" t="str">
        <f>$I$7</f>
        <v>SE</v>
      </c>
      <c r="J1044" s="268" t="str">
        <f>$J$7</f>
        <v>Total</v>
      </c>
      <c r="K1044" s="268"/>
      <c r="L1044" s="268" t="str">
        <f>$L$7</f>
        <v>FT</v>
      </c>
      <c r="M1044" s="268" t="str">
        <f>$M$7</f>
        <v>PT</v>
      </c>
      <c r="N1044" s="268" t="str">
        <f>$N$7</f>
        <v>SE</v>
      </c>
      <c r="O1044" s="268" t="str">
        <f>$O$7</f>
        <v>Total</v>
      </c>
    </row>
    <row r="1045" spans="1:15" s="236" customFormat="1" x14ac:dyDescent="0.2">
      <c r="A1045" s="258"/>
      <c r="B1045" s="239"/>
      <c r="C1045" s="239"/>
      <c r="D1045" s="239"/>
      <c r="E1045" s="239"/>
      <c r="F1045" s="239"/>
      <c r="G1045" s="239"/>
      <c r="H1045" s="239"/>
      <c r="I1045" s="239"/>
      <c r="J1045" s="239"/>
      <c r="K1045" s="239"/>
      <c r="L1045" s="239"/>
      <c r="M1045" s="239"/>
      <c r="N1045" s="239"/>
      <c r="O1045" s="239"/>
    </row>
    <row r="1046" spans="1:15" s="236" customFormat="1" x14ac:dyDescent="0.2">
      <c r="A1046" s="237" t="str">
        <f>name!E$4</f>
        <v>Managers, directors and senior officials</v>
      </c>
      <c r="B1046" s="302">
        <v>0.58543582637779346</v>
      </c>
      <c r="C1046" s="302">
        <v>0.16244333344974143</v>
      </c>
      <c r="D1046" s="302">
        <v>0.25303271130648919</v>
      </c>
      <c r="E1046" s="302">
        <f>SUM(B1046:D1046)</f>
        <v>1.0009118711340241</v>
      </c>
      <c r="F1046" s="303"/>
      <c r="G1046" s="302">
        <v>1.0994823769568376</v>
      </c>
      <c r="H1046" s="302">
        <v>0.19139613335668679</v>
      </c>
      <c r="I1046" s="302">
        <v>0.38999979108767707</v>
      </c>
      <c r="J1046" s="302">
        <f>SUM(G1046:I1046)</f>
        <v>1.6808783014012014</v>
      </c>
      <c r="K1046" s="303"/>
      <c r="L1046" s="302">
        <v>1.2897719679719188</v>
      </c>
      <c r="M1046" s="302">
        <v>0.22157977487250535</v>
      </c>
      <c r="N1046" s="302">
        <v>0.56156211308638371</v>
      </c>
      <c r="O1046" s="302">
        <f>SUM(L1046:N1046)</f>
        <v>2.0729138559308078</v>
      </c>
    </row>
    <row r="1047" spans="1:15" s="236" customFormat="1" x14ac:dyDescent="0.2">
      <c r="A1047" s="237" t="str">
        <f>name!E$5</f>
        <v>Professional occupations</v>
      </c>
      <c r="B1047" s="302">
        <v>0.63223974098729474</v>
      </c>
      <c r="C1047" s="302">
        <v>0.16741825328816859</v>
      </c>
      <c r="D1047" s="302">
        <v>9.0315397150519061E-2</v>
      </c>
      <c r="E1047" s="302">
        <f t="shared" ref="E1047:E1054" si="448">SUM(B1047:D1047)</f>
        <v>0.88997339142598242</v>
      </c>
      <c r="F1047" s="303"/>
      <c r="G1047" s="302">
        <v>1.3439821679296642</v>
      </c>
      <c r="H1047" s="302">
        <v>0.1987337926068323</v>
      </c>
      <c r="I1047" s="302">
        <v>0.14292717560531537</v>
      </c>
      <c r="J1047" s="302">
        <f t="shared" ref="J1047:J1049" si="449">SUM(G1047:I1047)</f>
        <v>1.6856431361418118</v>
      </c>
      <c r="K1047" s="303"/>
      <c r="L1047" s="302">
        <v>1.7985891202828703</v>
      </c>
      <c r="M1047" s="302">
        <v>0.29675914343792159</v>
      </c>
      <c r="N1047" s="302">
        <v>0.11723417002041253</v>
      </c>
      <c r="O1047" s="302">
        <f t="shared" ref="O1047:O1054" si="450">SUM(L1047:N1047)</f>
        <v>2.2125824337412046</v>
      </c>
    </row>
    <row r="1048" spans="1:15" s="236" customFormat="1" x14ac:dyDescent="0.2">
      <c r="A1048" s="237" t="str">
        <f>name!E$6</f>
        <v>Associate professional occupations</v>
      </c>
      <c r="B1048" s="302">
        <v>0.81933714254010492</v>
      </c>
      <c r="C1048" s="302">
        <v>0.29768547533211642</v>
      </c>
      <c r="D1048" s="302">
        <v>0.20796643366017725</v>
      </c>
      <c r="E1048" s="302">
        <f t="shared" si="448"/>
        <v>1.3249890515323985</v>
      </c>
      <c r="F1048" s="303"/>
      <c r="G1048" s="302">
        <v>1.5717037027870646</v>
      </c>
      <c r="H1048" s="302">
        <v>0.28346311604793689</v>
      </c>
      <c r="I1048" s="302">
        <v>0.33290512866307176</v>
      </c>
      <c r="J1048" s="302">
        <f t="shared" si="449"/>
        <v>2.1880719474980732</v>
      </c>
      <c r="K1048" s="303"/>
      <c r="L1048" s="302">
        <v>1.6326940358951716</v>
      </c>
      <c r="M1048" s="302">
        <v>0.34982211834267285</v>
      </c>
      <c r="N1048" s="302">
        <v>0.31475737104710272</v>
      </c>
      <c r="O1048" s="302">
        <f t="shared" si="450"/>
        <v>2.2972735252849472</v>
      </c>
    </row>
    <row r="1049" spans="1:15" s="236" customFormat="1" x14ac:dyDescent="0.2">
      <c r="A1049" s="237" t="str">
        <f>name!E$7</f>
        <v>Administrative and secretarial occupations</v>
      </c>
      <c r="B1049" s="302">
        <v>0.58801995484426284</v>
      </c>
      <c r="C1049" s="302">
        <v>0.54615680926946131</v>
      </c>
      <c r="D1049" s="302">
        <v>2.2295783690115464E-2</v>
      </c>
      <c r="E1049" s="302">
        <f t="shared" si="448"/>
        <v>1.1564725478038396</v>
      </c>
      <c r="F1049" s="303"/>
      <c r="G1049" s="302">
        <v>0.92650972225861938</v>
      </c>
      <c r="H1049" s="302">
        <v>0.40576334066498992</v>
      </c>
      <c r="I1049" s="302">
        <v>3.4165877337713681E-2</v>
      </c>
      <c r="J1049" s="302">
        <f t="shared" si="449"/>
        <v>1.3664389402613228</v>
      </c>
      <c r="K1049" s="303"/>
      <c r="L1049" s="302">
        <v>0.81133842750853469</v>
      </c>
      <c r="M1049" s="302">
        <v>0.46806880801133161</v>
      </c>
      <c r="N1049" s="302">
        <v>3.2642645599939374E-2</v>
      </c>
      <c r="O1049" s="302">
        <f t="shared" si="450"/>
        <v>1.3120498811198056</v>
      </c>
    </row>
    <row r="1050" spans="1:15" s="236" customFormat="1" x14ac:dyDescent="0.2">
      <c r="A1050" s="237" t="str">
        <f>name!E$8</f>
        <v>Skilled trades occupations</v>
      </c>
      <c r="B1050" s="302">
        <v>0.21167364081224632</v>
      </c>
      <c r="C1050" s="302">
        <v>0.11136208820317151</v>
      </c>
      <c r="D1050" s="302">
        <v>9.5986209541064432E-2</v>
      </c>
      <c r="E1050" s="302">
        <f t="shared" si="448"/>
        <v>0.41902193855648229</v>
      </c>
      <c r="F1050" s="303"/>
      <c r="G1050" s="302">
        <v>0.28627786374474135</v>
      </c>
      <c r="H1050" s="302">
        <v>6.311589901233651E-2</v>
      </c>
      <c r="I1050" s="302">
        <v>0.12019624628899024</v>
      </c>
      <c r="J1050" s="302">
        <f>SUM(G1050:I1050)</f>
        <v>0.46959000904606807</v>
      </c>
      <c r="K1050" s="303"/>
      <c r="L1050" s="302">
        <v>0.29047474183428418</v>
      </c>
      <c r="M1050" s="302">
        <v>8.7830778139777119E-2</v>
      </c>
      <c r="N1050" s="302">
        <v>0.10686274545792659</v>
      </c>
      <c r="O1050" s="302">
        <f t="shared" si="450"/>
        <v>0.48516826543198788</v>
      </c>
    </row>
    <row r="1051" spans="1:15" s="236" customFormat="1" x14ac:dyDescent="0.2">
      <c r="A1051" s="237" t="str">
        <f>name!E$9</f>
        <v>Caring, leisure and other service occupations</v>
      </c>
      <c r="B1051" s="302">
        <v>0.30136551606993017</v>
      </c>
      <c r="C1051" s="302">
        <v>0.46364936674023038</v>
      </c>
      <c r="D1051" s="302">
        <v>7.5787109088274643E-2</v>
      </c>
      <c r="E1051" s="302">
        <f t="shared" si="448"/>
        <v>0.8408019918984353</v>
      </c>
      <c r="F1051" s="303"/>
      <c r="G1051" s="302">
        <v>0.48989110575293282</v>
      </c>
      <c r="H1051" s="302">
        <v>0.36408354735471454</v>
      </c>
      <c r="I1051" s="302">
        <v>0.14172723713516766</v>
      </c>
      <c r="J1051" s="302">
        <f t="shared" ref="J1051:J1054" si="451">SUM(G1051:I1051)</f>
        <v>0.99570189024281497</v>
      </c>
      <c r="K1051" s="303"/>
      <c r="L1051" s="302">
        <v>0.62491513983962477</v>
      </c>
      <c r="M1051" s="302">
        <v>0.45956765480061884</v>
      </c>
      <c r="N1051" s="302">
        <v>0.19292855939549158</v>
      </c>
      <c r="O1051" s="302">
        <f t="shared" si="450"/>
        <v>1.2774113540357352</v>
      </c>
    </row>
    <row r="1052" spans="1:15" s="236" customFormat="1" x14ac:dyDescent="0.2">
      <c r="A1052" s="237" t="str">
        <f>name!E$10</f>
        <v>Sales and customer service occupations</v>
      </c>
      <c r="B1052" s="302">
        <v>0.26677721065784532</v>
      </c>
      <c r="C1052" s="302">
        <v>0.32306458408228361</v>
      </c>
      <c r="D1052" s="302">
        <v>6.2086627201733358E-2</v>
      </c>
      <c r="E1052" s="302">
        <f t="shared" si="448"/>
        <v>0.65192842194186218</v>
      </c>
      <c r="F1052" s="303"/>
      <c r="G1052" s="302">
        <v>0.42900335717152871</v>
      </c>
      <c r="H1052" s="302">
        <v>0.26476302684207376</v>
      </c>
      <c r="I1052" s="302">
        <v>7.9931631047645141E-2</v>
      </c>
      <c r="J1052" s="302">
        <f t="shared" si="451"/>
        <v>0.77369801506124758</v>
      </c>
      <c r="K1052" s="303"/>
      <c r="L1052" s="302">
        <v>0.52205706550916509</v>
      </c>
      <c r="M1052" s="302">
        <v>0.41603156452815415</v>
      </c>
      <c r="N1052" s="302">
        <v>7.8903495076137239E-2</v>
      </c>
      <c r="O1052" s="302">
        <f t="shared" si="450"/>
        <v>1.0169921251134564</v>
      </c>
    </row>
    <row r="1053" spans="1:15" s="236" customFormat="1" x14ac:dyDescent="0.2">
      <c r="A1053" s="237" t="str">
        <f>name!E$11</f>
        <v>Process, plant and machine operatives</v>
      </c>
      <c r="B1053" s="302">
        <v>0.25868357578328915</v>
      </c>
      <c r="C1053" s="302">
        <v>0.22338651982121716</v>
      </c>
      <c r="D1053" s="302">
        <v>1.1562498271088028E-2</v>
      </c>
      <c r="E1053" s="302">
        <f t="shared" si="448"/>
        <v>0.49363259387559433</v>
      </c>
      <c r="F1053" s="303"/>
      <c r="G1053" s="302">
        <v>0.3601699308715165</v>
      </c>
      <c r="H1053" s="302">
        <v>0.2073719135843608</v>
      </c>
      <c r="I1053" s="302">
        <v>1.9490484356907353E-2</v>
      </c>
      <c r="J1053" s="302">
        <f t="shared" si="451"/>
        <v>0.58703232881278467</v>
      </c>
      <c r="K1053" s="303"/>
      <c r="L1053" s="302">
        <v>0.3632665516114697</v>
      </c>
      <c r="M1053" s="302">
        <v>0.23163105019042274</v>
      </c>
      <c r="N1053" s="302">
        <v>1.693768210264239E-2</v>
      </c>
      <c r="O1053" s="302">
        <f t="shared" si="450"/>
        <v>0.61183528390453479</v>
      </c>
    </row>
    <row r="1054" spans="1:15" s="236" customFormat="1" x14ac:dyDescent="0.2">
      <c r="A1054" s="237" t="str">
        <f>name!E$12</f>
        <v>Elementary occupations</v>
      </c>
      <c r="B1054" s="302">
        <v>1.5464673919106031</v>
      </c>
      <c r="C1054" s="302">
        <v>2.0638335698551984</v>
      </c>
      <c r="D1054" s="302">
        <v>0.13696723010717213</v>
      </c>
      <c r="E1054" s="302">
        <f t="shared" si="448"/>
        <v>3.747268191872974</v>
      </c>
      <c r="F1054" s="303"/>
      <c r="G1054" s="302">
        <v>2.3049797725484247</v>
      </c>
      <c r="H1054" s="302">
        <v>1.4063092305629432</v>
      </c>
      <c r="I1054" s="302">
        <v>0.1836564284841731</v>
      </c>
      <c r="J1054" s="302">
        <f t="shared" si="451"/>
        <v>3.894945431595541</v>
      </c>
      <c r="K1054" s="303"/>
      <c r="L1054" s="302">
        <v>2.7908929495249115</v>
      </c>
      <c r="M1054" s="302">
        <v>1.1977091076825328</v>
      </c>
      <c r="N1054" s="302">
        <v>0.19717121824092446</v>
      </c>
      <c r="O1054" s="302">
        <f t="shared" si="450"/>
        <v>4.1857732754483692</v>
      </c>
    </row>
    <row r="1055" spans="1:15" s="236" customFormat="1" x14ac:dyDescent="0.2">
      <c r="A1055" s="237"/>
      <c r="B1055" s="302"/>
      <c r="C1055" s="302"/>
      <c r="D1055" s="302"/>
      <c r="E1055" s="302"/>
      <c r="F1055" s="303"/>
      <c r="G1055" s="302"/>
      <c r="H1055" s="302"/>
      <c r="I1055" s="302"/>
      <c r="J1055" s="302"/>
      <c r="K1055" s="303"/>
      <c r="L1055" s="302"/>
      <c r="M1055" s="302"/>
      <c r="N1055" s="302"/>
      <c r="O1055" s="302"/>
    </row>
    <row r="1056" spans="1:15" s="236" customFormat="1" x14ac:dyDescent="0.2">
      <c r="A1056" s="244" t="s">
        <v>32</v>
      </c>
      <c r="B1056" s="311">
        <f>SUM(B1046:B1054)</f>
        <v>5.2099999999833697</v>
      </c>
      <c r="C1056" s="311">
        <f t="shared" ref="C1056:E1056" si="452">SUM(C1046:C1054)</f>
        <v>4.3590000000415889</v>
      </c>
      <c r="D1056" s="311">
        <f t="shared" si="452"/>
        <v>0.95600000001663343</v>
      </c>
      <c r="E1056" s="311">
        <f t="shared" si="452"/>
        <v>10.525000000041592</v>
      </c>
      <c r="F1056" s="311"/>
      <c r="G1056" s="311">
        <f t="shared" ref="G1056:J1056" si="453">SUM(G1046:G1054)</f>
        <v>8.8120000000213299</v>
      </c>
      <c r="H1056" s="311">
        <f t="shared" si="453"/>
        <v>3.3850000000328748</v>
      </c>
      <c r="I1056" s="311">
        <f t="shared" si="453"/>
        <v>1.4450000000066614</v>
      </c>
      <c r="J1056" s="311">
        <f t="shared" si="453"/>
        <v>13.642000000060865</v>
      </c>
      <c r="K1056" s="311"/>
      <c r="L1056" s="311">
        <f t="shared" ref="L1056:O1056" si="454">SUM(L1046:L1054)</f>
        <v>10.123999999977951</v>
      </c>
      <c r="M1056" s="311">
        <f t="shared" si="454"/>
        <v>3.7290000000059371</v>
      </c>
      <c r="N1056" s="311">
        <f t="shared" si="454"/>
        <v>1.6190000000269602</v>
      </c>
      <c r="O1056" s="311">
        <f t="shared" si="454"/>
        <v>15.472000000010848</v>
      </c>
    </row>
    <row r="1057" spans="1:15" s="236" customFormat="1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37"/>
      <c r="M1057" s="237"/>
      <c r="N1057" s="240"/>
    </row>
    <row r="1058" spans="1:15" s="236" customFormat="1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37"/>
      <c r="M1058" s="237"/>
      <c r="N1058" s="240"/>
      <c r="O1058" s="251" t="s">
        <v>35</v>
      </c>
    </row>
    <row r="1059" spans="1:15" s="236" customFormat="1" x14ac:dyDescent="0.2">
      <c r="A1059" s="242"/>
      <c r="B1059" s="242"/>
      <c r="C1059" s="242"/>
      <c r="D1059" s="242"/>
      <c r="E1059" s="242"/>
      <c r="F1059" s="242"/>
      <c r="G1059" s="242"/>
      <c r="H1059" s="242"/>
      <c r="I1059" s="242"/>
      <c r="J1059" s="242"/>
      <c r="K1059" s="242"/>
      <c r="L1059" s="242"/>
      <c r="M1059" s="242"/>
      <c r="N1059" s="242"/>
      <c r="O1059" s="242"/>
    </row>
    <row r="1060" spans="1:15" s="236" customFormat="1" x14ac:dyDescent="0.2">
      <c r="A1060" s="241" t="str">
        <f>name!A65</f>
        <v>Services to buildings</v>
      </c>
      <c r="B1060" s="374">
        <f>$B$6</f>
        <v>2015</v>
      </c>
      <c r="C1060" s="374"/>
      <c r="D1060" s="374"/>
      <c r="E1060" s="374"/>
      <c r="F1060" s="263"/>
      <c r="G1060" s="374">
        <f>$G$6</f>
        <v>2020</v>
      </c>
      <c r="H1060" s="374"/>
      <c r="I1060" s="374"/>
      <c r="J1060" s="374"/>
      <c r="K1060" s="263"/>
      <c r="L1060" s="374">
        <f>$L$6</f>
        <v>2035</v>
      </c>
      <c r="M1060" s="374"/>
      <c r="N1060" s="374"/>
      <c r="O1060" s="374"/>
    </row>
    <row r="1061" spans="1:15" s="236" customFormat="1" x14ac:dyDescent="0.2">
      <c r="A1061" s="254"/>
      <c r="B1061" s="268" t="str">
        <f>$B$7</f>
        <v>FT</v>
      </c>
      <c r="C1061" s="268" t="str">
        <f>$C$7</f>
        <v>PT</v>
      </c>
      <c r="D1061" s="268" t="str">
        <f>$D$7</f>
        <v>SE</v>
      </c>
      <c r="E1061" s="268" t="str">
        <f>$E$7</f>
        <v>Total</v>
      </c>
      <c r="F1061" s="268"/>
      <c r="G1061" s="268" t="str">
        <f>$G$7</f>
        <v>FT</v>
      </c>
      <c r="H1061" s="268" t="str">
        <f>$H$7</f>
        <v>PT</v>
      </c>
      <c r="I1061" s="268" t="str">
        <f>$I$7</f>
        <v>SE</v>
      </c>
      <c r="J1061" s="268" t="str">
        <f>$J$7</f>
        <v>Total</v>
      </c>
      <c r="K1061" s="268"/>
      <c r="L1061" s="268" t="str">
        <f>$L$7</f>
        <v>FT</v>
      </c>
      <c r="M1061" s="268" t="str">
        <f>$M$7</f>
        <v>PT</v>
      </c>
      <c r="N1061" s="268" t="str">
        <f>$N$7</f>
        <v>SE</v>
      </c>
      <c r="O1061" s="268" t="str">
        <f>$O$7</f>
        <v>Total</v>
      </c>
    </row>
    <row r="1062" spans="1:15" s="236" customFormat="1" x14ac:dyDescent="0.2">
      <c r="A1062" s="258"/>
      <c r="B1062" s="239"/>
      <c r="C1062" s="239"/>
      <c r="D1062" s="239"/>
      <c r="E1062" s="239"/>
      <c r="F1062" s="239"/>
      <c r="G1062" s="239"/>
      <c r="H1062" s="239"/>
      <c r="I1062" s="239"/>
      <c r="J1062" s="239"/>
      <c r="K1062" s="239"/>
      <c r="L1062" s="239"/>
      <c r="M1062" s="239"/>
      <c r="N1062" s="239"/>
      <c r="O1062" s="239"/>
    </row>
    <row r="1063" spans="1:15" s="236" customFormat="1" x14ac:dyDescent="0.2">
      <c r="A1063" s="237" t="str">
        <f>name!E$4</f>
        <v>Managers, directors and senior officials</v>
      </c>
      <c r="B1063" s="302">
        <v>2.318346343727375</v>
      </c>
      <c r="C1063" s="302">
        <v>0.56976343041087418</v>
      </c>
      <c r="D1063" s="302">
        <v>0.92271962198645763</v>
      </c>
      <c r="E1063" s="302">
        <f>SUM(B1063:D1063)</f>
        <v>3.8108293961247068</v>
      </c>
      <c r="F1063" s="303"/>
      <c r="G1063" s="302">
        <v>2.14882649407325</v>
      </c>
      <c r="H1063" s="302">
        <v>0.8706342258456875</v>
      </c>
      <c r="I1063" s="302">
        <v>1.1718681750671252</v>
      </c>
      <c r="J1063" s="302">
        <f>SUM(G1063:I1063)</f>
        <v>4.1913288949860625</v>
      </c>
      <c r="K1063" s="303"/>
      <c r="L1063" s="302">
        <v>2.5186159315423993</v>
      </c>
      <c r="M1063" s="302">
        <v>1.0690948692907833</v>
      </c>
      <c r="N1063" s="302">
        <v>1.4152985284900317</v>
      </c>
      <c r="O1063" s="302">
        <f>SUM(L1063:N1063)</f>
        <v>5.0030093293232145</v>
      </c>
    </row>
    <row r="1064" spans="1:15" s="236" customFormat="1" x14ac:dyDescent="0.2">
      <c r="A1064" s="237" t="str">
        <f>name!E$5</f>
        <v>Professional occupations</v>
      </c>
      <c r="B1064" s="302">
        <v>2.9349365264395093</v>
      </c>
      <c r="C1064" s="302">
        <v>1.1891585549260426</v>
      </c>
      <c r="D1064" s="302">
        <v>0.29893355597714344</v>
      </c>
      <c r="E1064" s="302">
        <f t="shared" ref="E1064:E1071" si="455">SUM(B1064:D1064)</f>
        <v>4.4230286373426955</v>
      </c>
      <c r="F1064" s="303"/>
      <c r="G1064" s="302">
        <v>3.1540881718942693</v>
      </c>
      <c r="H1064" s="302">
        <v>1.5807426472172845</v>
      </c>
      <c r="I1064" s="302">
        <v>0.36958445042851179</v>
      </c>
      <c r="J1064" s="302">
        <f t="shared" ref="J1064:J1066" si="456">SUM(G1064:I1064)</f>
        <v>5.1044152695400662</v>
      </c>
      <c r="K1064" s="303"/>
      <c r="L1064" s="302">
        <v>4.2395413577451526</v>
      </c>
      <c r="M1064" s="302">
        <v>2.2140038115363909</v>
      </c>
      <c r="N1064" s="302">
        <v>0.29017852446474884</v>
      </c>
      <c r="O1064" s="302">
        <f t="shared" ref="O1064:O1071" si="457">SUM(L1064:N1064)</f>
        <v>6.7437236937462925</v>
      </c>
    </row>
    <row r="1065" spans="1:15" s="236" customFormat="1" x14ac:dyDescent="0.2">
      <c r="A1065" s="237" t="str">
        <f>name!E$6</f>
        <v>Associate professional occupations</v>
      </c>
      <c r="B1065" s="302">
        <v>3.0750819843126691</v>
      </c>
      <c r="C1065" s="302">
        <v>1.595696333522344</v>
      </c>
      <c r="D1065" s="302">
        <v>0.61957902995485825</v>
      </c>
      <c r="E1065" s="302">
        <f t="shared" si="455"/>
        <v>5.2903573477898709</v>
      </c>
      <c r="F1065" s="303"/>
      <c r="G1065" s="302">
        <v>2.996589539247466</v>
      </c>
      <c r="H1065" s="302">
        <v>1.898398144796279</v>
      </c>
      <c r="I1065" s="302">
        <v>0.72014570415724688</v>
      </c>
      <c r="J1065" s="302">
        <f t="shared" si="456"/>
        <v>5.6151333882009915</v>
      </c>
      <c r="K1065" s="303"/>
      <c r="L1065" s="302">
        <v>3.2145876645998506</v>
      </c>
      <c r="M1065" s="302">
        <v>2.4557005283755462</v>
      </c>
      <c r="N1065" s="302">
        <v>0.72215566848885937</v>
      </c>
      <c r="O1065" s="302">
        <f t="shared" si="457"/>
        <v>6.3924438614642565</v>
      </c>
    </row>
    <row r="1066" spans="1:15" s="236" customFormat="1" x14ac:dyDescent="0.2">
      <c r="A1066" s="237" t="str">
        <f>name!E$7</f>
        <v>Administrative and secretarial occupations</v>
      </c>
      <c r="B1066" s="302">
        <v>3.3655378457593081</v>
      </c>
      <c r="C1066" s="302">
        <v>4.0739334358184385</v>
      </c>
      <c r="D1066" s="302">
        <v>0.22436150844166725</v>
      </c>
      <c r="E1066" s="302">
        <f t="shared" si="455"/>
        <v>7.6638327900194145</v>
      </c>
      <c r="F1066" s="303"/>
      <c r="G1066" s="302">
        <v>2.5417260876431316</v>
      </c>
      <c r="H1066" s="302">
        <v>3.9736344392515277</v>
      </c>
      <c r="I1066" s="302">
        <v>0.25895117857762706</v>
      </c>
      <c r="J1066" s="302">
        <f t="shared" si="456"/>
        <v>6.7743117054722859</v>
      </c>
      <c r="K1066" s="303"/>
      <c r="L1066" s="302">
        <v>1.9073616287112245</v>
      </c>
      <c r="M1066" s="302">
        <v>4.4586970173101905</v>
      </c>
      <c r="N1066" s="302">
        <v>0.24129612369823827</v>
      </c>
      <c r="O1066" s="302">
        <f t="shared" si="457"/>
        <v>6.6073547697196533</v>
      </c>
    </row>
    <row r="1067" spans="1:15" s="236" customFormat="1" x14ac:dyDescent="0.2">
      <c r="A1067" s="237" t="str">
        <f>name!E$8</f>
        <v>Skilled trades occupations</v>
      </c>
      <c r="B1067" s="302">
        <v>0.68788083887487561</v>
      </c>
      <c r="C1067" s="302">
        <v>0.25722181108884645</v>
      </c>
      <c r="D1067" s="302">
        <v>0.33284798145609906</v>
      </c>
      <c r="E1067" s="302">
        <f t="shared" si="455"/>
        <v>1.277950631419821</v>
      </c>
      <c r="F1067" s="303"/>
      <c r="G1067" s="302">
        <v>0.47775428075463677</v>
      </c>
      <c r="H1067" s="302">
        <v>0.2268140638789502</v>
      </c>
      <c r="I1067" s="302">
        <v>0.38130201153327198</v>
      </c>
      <c r="J1067" s="302">
        <f>SUM(G1067:I1067)</f>
        <v>1.085870356166859</v>
      </c>
      <c r="K1067" s="303"/>
      <c r="L1067" s="302">
        <v>0.48648167798722125</v>
      </c>
      <c r="M1067" s="302">
        <v>0.35209247129070109</v>
      </c>
      <c r="N1067" s="302">
        <v>0.56876299114387119</v>
      </c>
      <c r="O1067" s="302">
        <f t="shared" si="457"/>
        <v>1.4073371404217936</v>
      </c>
    </row>
    <row r="1068" spans="1:15" s="236" customFormat="1" x14ac:dyDescent="0.2">
      <c r="A1068" s="237" t="str">
        <f>name!E$9</f>
        <v>Caring, leisure and other service occupations</v>
      </c>
      <c r="B1068" s="302">
        <v>2.2466105857499379</v>
      </c>
      <c r="C1068" s="302">
        <v>3.3074117525011983</v>
      </c>
      <c r="D1068" s="302">
        <v>0.30681661708195113</v>
      </c>
      <c r="E1068" s="302">
        <f t="shared" si="455"/>
        <v>5.8608389553330875</v>
      </c>
      <c r="F1068" s="303"/>
      <c r="G1068" s="302">
        <v>1.922820225628779</v>
      </c>
      <c r="H1068" s="302">
        <v>3.3108572428137939</v>
      </c>
      <c r="I1068" s="302">
        <v>0.4166155243568519</v>
      </c>
      <c r="J1068" s="302">
        <f t="shared" ref="J1068:J1071" si="458">SUM(G1068:I1068)</f>
        <v>5.6502929927994252</v>
      </c>
      <c r="K1068" s="303"/>
      <c r="L1068" s="302">
        <v>2.7462572962622622</v>
      </c>
      <c r="M1068" s="302">
        <v>4.1646078184255995</v>
      </c>
      <c r="N1068" s="302">
        <v>0.49205111982369432</v>
      </c>
      <c r="O1068" s="302">
        <f t="shared" si="457"/>
        <v>7.4029162345115562</v>
      </c>
    </row>
    <row r="1069" spans="1:15" s="236" customFormat="1" x14ac:dyDescent="0.2">
      <c r="A1069" s="237" t="str">
        <f>name!E$10</f>
        <v>Sales and customer service occupations</v>
      </c>
      <c r="B1069" s="302">
        <v>1.3252431300984608</v>
      </c>
      <c r="C1069" s="302">
        <v>1.2761559375404399</v>
      </c>
      <c r="D1069" s="302">
        <v>0.25120761598832253</v>
      </c>
      <c r="E1069" s="302">
        <f t="shared" si="455"/>
        <v>2.852606683627223</v>
      </c>
      <c r="F1069" s="303"/>
      <c r="G1069" s="302">
        <v>1.0152579873062062</v>
      </c>
      <c r="H1069" s="302">
        <v>1.4629323377136791</v>
      </c>
      <c r="I1069" s="302">
        <v>0.22196986537189997</v>
      </c>
      <c r="J1069" s="302">
        <f t="shared" si="458"/>
        <v>2.7001601903917853</v>
      </c>
      <c r="K1069" s="303"/>
      <c r="L1069" s="302">
        <v>1.1865698755978602</v>
      </c>
      <c r="M1069" s="302">
        <v>2.6183895322684392</v>
      </c>
      <c r="N1069" s="302">
        <v>0.18690641774298178</v>
      </c>
      <c r="O1069" s="302">
        <f t="shared" si="457"/>
        <v>3.9918658256092812</v>
      </c>
    </row>
    <row r="1070" spans="1:15" s="236" customFormat="1" x14ac:dyDescent="0.2">
      <c r="A1070" s="237" t="str">
        <f>name!E$11</f>
        <v>Process, plant and machine operatives</v>
      </c>
      <c r="B1070" s="302">
        <v>0.68692497203500014</v>
      </c>
      <c r="C1070" s="302">
        <v>0.30426896697503164</v>
      </c>
      <c r="D1070" s="302">
        <v>2.5376630053063204E-2</v>
      </c>
      <c r="E1070" s="302">
        <f t="shared" si="455"/>
        <v>1.0165705690630948</v>
      </c>
      <c r="F1070" s="303"/>
      <c r="G1070" s="302">
        <v>0.47967351258339225</v>
      </c>
      <c r="H1070" s="302">
        <v>0.36876275276529258</v>
      </c>
      <c r="I1070" s="302">
        <v>3.2775980981685084E-2</v>
      </c>
      <c r="J1070" s="302">
        <f t="shared" si="458"/>
        <v>0.88121224633036987</v>
      </c>
      <c r="K1070" s="303"/>
      <c r="L1070" s="302">
        <v>0.50329277939419714</v>
      </c>
      <c r="M1070" s="302">
        <v>0.52423186475144334</v>
      </c>
      <c r="N1070" s="302">
        <v>3.663643978033336E-2</v>
      </c>
      <c r="O1070" s="302">
        <f t="shared" si="457"/>
        <v>1.0641610839259739</v>
      </c>
    </row>
    <row r="1071" spans="1:15" s="236" customFormat="1" x14ac:dyDescent="0.2">
      <c r="A1071" s="237" t="str">
        <f>name!E$12</f>
        <v>Elementary occupations</v>
      </c>
      <c r="B1071" s="302">
        <v>4.5724377729790673</v>
      </c>
      <c r="C1071" s="302">
        <v>7.8453897775089212</v>
      </c>
      <c r="D1071" s="302">
        <v>0.60815743910037157</v>
      </c>
      <c r="E1071" s="302">
        <f t="shared" si="455"/>
        <v>13.025984989588361</v>
      </c>
      <c r="F1071" s="303"/>
      <c r="G1071" s="302">
        <v>3.3952637008980302</v>
      </c>
      <c r="H1071" s="302">
        <v>6.7722241459273338</v>
      </c>
      <c r="I1071" s="302">
        <v>0.53278710948749131</v>
      </c>
      <c r="J1071" s="302">
        <f t="shared" si="458"/>
        <v>10.700274956312855</v>
      </c>
      <c r="K1071" s="303"/>
      <c r="L1071" s="302">
        <v>4.2402917880660302</v>
      </c>
      <c r="M1071" s="302">
        <v>4.2731820867287231</v>
      </c>
      <c r="N1071" s="302">
        <v>0.65871418641023272</v>
      </c>
      <c r="O1071" s="302">
        <f t="shared" si="457"/>
        <v>9.1721880612049862</v>
      </c>
    </row>
    <row r="1072" spans="1:15" s="236" customFormat="1" x14ac:dyDescent="0.2">
      <c r="A1072" s="237"/>
      <c r="B1072" s="302"/>
      <c r="C1072" s="302"/>
      <c r="D1072" s="302"/>
      <c r="E1072" s="302"/>
      <c r="F1072" s="303"/>
      <c r="G1072" s="302"/>
      <c r="H1072" s="302"/>
      <c r="I1072" s="302"/>
      <c r="J1072" s="302"/>
      <c r="K1072" s="303"/>
      <c r="L1072" s="302"/>
      <c r="M1072" s="302"/>
      <c r="N1072" s="302"/>
      <c r="O1072" s="302"/>
    </row>
    <row r="1073" spans="1:15" s="236" customFormat="1" x14ac:dyDescent="0.2">
      <c r="A1073" s="244" t="s">
        <v>32</v>
      </c>
      <c r="B1073" s="311">
        <f>SUM(B1063:B1071)</f>
        <v>21.212999999976205</v>
      </c>
      <c r="C1073" s="311">
        <f t="shared" ref="C1073:E1073" si="459">SUM(C1063:C1071)</f>
        <v>20.419000000292137</v>
      </c>
      <c r="D1073" s="311">
        <f t="shared" si="459"/>
        <v>3.5900000000399341</v>
      </c>
      <c r="E1073" s="311">
        <f t="shared" si="459"/>
        <v>45.22200000030827</v>
      </c>
      <c r="F1073" s="311"/>
      <c r="G1073" s="311">
        <f t="shared" ref="G1073:J1073" si="460">SUM(G1063:G1071)</f>
        <v>18.132000000029162</v>
      </c>
      <c r="H1073" s="311">
        <f t="shared" si="460"/>
        <v>20.465000000209827</v>
      </c>
      <c r="I1073" s="311">
        <f t="shared" si="460"/>
        <v>4.1059999999617114</v>
      </c>
      <c r="J1073" s="311">
        <f t="shared" si="460"/>
        <v>42.703000000200696</v>
      </c>
      <c r="K1073" s="311"/>
      <c r="L1073" s="311">
        <f t="shared" ref="L1073:O1073" si="461">SUM(L1063:L1071)</f>
        <v>21.042999999906201</v>
      </c>
      <c r="M1073" s="311">
        <f t="shared" si="461"/>
        <v>22.129999999977816</v>
      </c>
      <c r="N1073" s="311">
        <f t="shared" si="461"/>
        <v>4.6120000000429915</v>
      </c>
      <c r="O1073" s="311">
        <f t="shared" si="461"/>
        <v>47.784999999927003</v>
      </c>
    </row>
    <row r="1074" spans="1:15" s="236" customFormat="1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37"/>
      <c r="M1074" s="237"/>
      <c r="N1074" s="240"/>
    </row>
    <row r="1075" spans="1:15" s="236" customFormat="1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37"/>
      <c r="M1075" s="237"/>
      <c r="N1075" s="240"/>
      <c r="O1075" s="251" t="s">
        <v>35</v>
      </c>
    </row>
    <row r="1076" spans="1:15" s="236" customFormat="1" x14ac:dyDescent="0.2">
      <c r="A1076" s="242"/>
      <c r="B1076" s="242"/>
      <c r="C1076" s="242"/>
      <c r="D1076" s="242"/>
      <c r="E1076" s="242"/>
      <c r="F1076" s="242"/>
      <c r="G1076" s="242"/>
      <c r="H1076" s="242"/>
      <c r="I1076" s="242"/>
      <c r="J1076" s="242"/>
      <c r="K1076" s="242"/>
      <c r="L1076" s="242"/>
      <c r="M1076" s="242"/>
      <c r="N1076" s="242"/>
      <c r="O1076" s="242"/>
    </row>
    <row r="1077" spans="1:15" s="236" customFormat="1" x14ac:dyDescent="0.2">
      <c r="A1077" s="241" t="str">
        <f>name!A66</f>
        <v>Office administrative</v>
      </c>
      <c r="B1077" s="374">
        <f>$B$6</f>
        <v>2015</v>
      </c>
      <c r="C1077" s="374"/>
      <c r="D1077" s="374"/>
      <c r="E1077" s="374"/>
      <c r="F1077" s="263"/>
      <c r="G1077" s="374">
        <f>$G$6</f>
        <v>2020</v>
      </c>
      <c r="H1077" s="374"/>
      <c r="I1077" s="374"/>
      <c r="J1077" s="374"/>
      <c r="K1077" s="263"/>
      <c r="L1077" s="374">
        <f>$L$6</f>
        <v>2035</v>
      </c>
      <c r="M1077" s="374"/>
      <c r="N1077" s="374"/>
      <c r="O1077" s="374"/>
    </row>
    <row r="1078" spans="1:15" s="236" customFormat="1" x14ac:dyDescent="0.2">
      <c r="A1078" s="254"/>
      <c r="B1078" s="268" t="str">
        <f>$B$7</f>
        <v>FT</v>
      </c>
      <c r="C1078" s="268" t="str">
        <f>$C$7</f>
        <v>PT</v>
      </c>
      <c r="D1078" s="268" t="str">
        <f>$D$7</f>
        <v>SE</v>
      </c>
      <c r="E1078" s="268" t="str">
        <f>$E$7</f>
        <v>Total</v>
      </c>
      <c r="F1078" s="268"/>
      <c r="G1078" s="268" t="str">
        <f>$G$7</f>
        <v>FT</v>
      </c>
      <c r="H1078" s="268" t="str">
        <f>$H$7</f>
        <v>PT</v>
      </c>
      <c r="I1078" s="268" t="str">
        <f>$I$7</f>
        <v>SE</v>
      </c>
      <c r="J1078" s="268" t="str">
        <f>$J$7</f>
        <v>Total</v>
      </c>
      <c r="K1078" s="268"/>
      <c r="L1078" s="268" t="str">
        <f>$L$7</f>
        <v>FT</v>
      </c>
      <c r="M1078" s="268" t="str">
        <f>$M$7</f>
        <v>PT</v>
      </c>
      <c r="N1078" s="268" t="str">
        <f>$N$7</f>
        <v>SE</v>
      </c>
      <c r="O1078" s="268" t="str">
        <f>$O$7</f>
        <v>Total</v>
      </c>
    </row>
    <row r="1079" spans="1:15" s="236" customFormat="1" x14ac:dyDescent="0.2">
      <c r="A1079" s="258"/>
      <c r="B1079" s="239"/>
      <c r="C1079" s="239"/>
      <c r="D1079" s="239"/>
      <c r="E1079" s="239"/>
      <c r="F1079" s="239"/>
      <c r="G1079" s="239"/>
      <c r="H1079" s="239"/>
      <c r="I1079" s="239"/>
      <c r="J1079" s="239"/>
      <c r="K1079" s="239"/>
      <c r="L1079" s="239"/>
      <c r="M1079" s="239"/>
      <c r="N1079" s="239"/>
      <c r="O1079" s="239"/>
    </row>
    <row r="1080" spans="1:15" s="236" customFormat="1" x14ac:dyDescent="0.2">
      <c r="A1080" s="237" t="str">
        <f>name!E$4</f>
        <v>Managers, directors and senior officials</v>
      </c>
      <c r="B1080" s="302">
        <v>3.0854146291687559</v>
      </c>
      <c r="C1080" s="302">
        <v>0.27068468588465966</v>
      </c>
      <c r="D1080" s="302">
        <v>0.72715324900334999</v>
      </c>
      <c r="E1080" s="302">
        <f>SUM(B1080:D1080)</f>
        <v>4.0832525640567656</v>
      </c>
      <c r="F1080" s="303"/>
      <c r="G1080" s="302">
        <v>2.7542352902075429</v>
      </c>
      <c r="H1080" s="302">
        <v>0.24587764489609867</v>
      </c>
      <c r="I1080" s="302">
        <v>0.67924359201885842</v>
      </c>
      <c r="J1080" s="302">
        <f>SUM(G1080:I1080)</f>
        <v>3.6793565271225002</v>
      </c>
      <c r="K1080" s="303"/>
      <c r="L1080" s="302">
        <v>3.1546334028958714</v>
      </c>
      <c r="M1080" s="302">
        <v>0.28475653094140141</v>
      </c>
      <c r="N1080" s="302">
        <v>0.90078109041501009</v>
      </c>
      <c r="O1080" s="302">
        <f>SUM(L1080:N1080)</f>
        <v>4.3401710242522826</v>
      </c>
    </row>
    <row r="1081" spans="1:15" s="236" customFormat="1" x14ac:dyDescent="0.2">
      <c r="A1081" s="237" t="str">
        <f>name!E$5</f>
        <v>Professional occupations</v>
      </c>
      <c r="B1081" s="302">
        <v>3.3065907776164503</v>
      </c>
      <c r="C1081" s="302">
        <v>0.27998664416977448</v>
      </c>
      <c r="D1081" s="302">
        <v>0.31366105631234431</v>
      </c>
      <c r="E1081" s="302">
        <f t="shared" ref="E1081:E1088" si="462">SUM(B1081:D1081)</f>
        <v>3.9002384780985691</v>
      </c>
      <c r="F1081" s="303"/>
      <c r="G1081" s="302">
        <v>3.3085028105868433</v>
      </c>
      <c r="H1081" s="302">
        <v>0.2558631619124237</v>
      </c>
      <c r="I1081" s="302">
        <v>0.28866688254744721</v>
      </c>
      <c r="J1081" s="302">
        <f t="shared" ref="J1081:J1083" si="463">SUM(G1081:I1081)</f>
        <v>3.8530328550467141</v>
      </c>
      <c r="K1081" s="303"/>
      <c r="L1081" s="302">
        <v>4.4038524361726816</v>
      </c>
      <c r="M1081" s="302">
        <v>0.38198325650877452</v>
      </c>
      <c r="N1081" s="302">
        <v>0.24878931870801307</v>
      </c>
      <c r="O1081" s="302">
        <f t="shared" ref="O1081:O1088" si="464">SUM(L1081:N1081)</f>
        <v>5.0346250113894691</v>
      </c>
    </row>
    <row r="1082" spans="1:15" s="236" customFormat="1" x14ac:dyDescent="0.2">
      <c r="A1082" s="237" t="str">
        <f>name!E$6</f>
        <v>Associate professional occupations</v>
      </c>
      <c r="B1082" s="302">
        <v>4.3827029292788255</v>
      </c>
      <c r="C1082" s="302">
        <v>0.49756044128578081</v>
      </c>
      <c r="D1082" s="302">
        <v>0.83013591381879304</v>
      </c>
      <c r="E1082" s="302">
        <f t="shared" si="462"/>
        <v>5.7103992843833993</v>
      </c>
      <c r="F1082" s="303"/>
      <c r="G1082" s="302">
        <v>3.9609105005133305</v>
      </c>
      <c r="H1082" s="302">
        <v>0.36499521950574082</v>
      </c>
      <c r="I1082" s="302">
        <v>0.76765595629896499</v>
      </c>
      <c r="J1082" s="302">
        <f t="shared" si="463"/>
        <v>5.0935616763180365</v>
      </c>
      <c r="K1082" s="303"/>
      <c r="L1082" s="302">
        <v>4.0639521576169146</v>
      </c>
      <c r="M1082" s="302">
        <v>0.45069509502627214</v>
      </c>
      <c r="N1082" s="302">
        <v>0.78388663831385741</v>
      </c>
      <c r="O1082" s="302">
        <f t="shared" si="464"/>
        <v>5.2985338909570441</v>
      </c>
    </row>
    <row r="1083" spans="1:15" s="236" customFormat="1" x14ac:dyDescent="0.2">
      <c r="A1083" s="237" t="str">
        <f>name!E$7</f>
        <v>Administrative and secretarial occupations</v>
      </c>
      <c r="B1083" s="302">
        <v>2.1103708060138642</v>
      </c>
      <c r="C1083" s="302">
        <v>0.9157064346657412</v>
      </c>
      <c r="D1083" s="302">
        <v>0.18314802117772988</v>
      </c>
      <c r="E1083" s="302">
        <f t="shared" si="462"/>
        <v>3.2092252618573354</v>
      </c>
      <c r="F1083" s="303"/>
      <c r="G1083" s="302">
        <v>1.6492008597692447</v>
      </c>
      <c r="H1083" s="302">
        <v>0.52420409861071904</v>
      </c>
      <c r="I1083" s="302">
        <v>0.16870918918869815</v>
      </c>
      <c r="J1083" s="302">
        <f t="shared" si="463"/>
        <v>2.3421141475686618</v>
      </c>
      <c r="K1083" s="303"/>
      <c r="L1083" s="302">
        <v>1.5452340940435787</v>
      </c>
      <c r="M1083" s="302">
        <v>0.60528586916289806</v>
      </c>
      <c r="N1083" s="302">
        <v>0.15796017756033814</v>
      </c>
      <c r="O1083" s="302">
        <f t="shared" si="464"/>
        <v>2.308480140766815</v>
      </c>
    </row>
    <row r="1084" spans="1:15" s="236" customFormat="1" x14ac:dyDescent="0.2">
      <c r="A1084" s="237" t="str">
        <f>name!E$8</f>
        <v>Skilled trades occupations</v>
      </c>
      <c r="B1084" s="302">
        <v>1.2551268067863888</v>
      </c>
      <c r="C1084" s="302">
        <v>0.18526920180943793</v>
      </c>
      <c r="D1084" s="302">
        <v>0.27309108819493344</v>
      </c>
      <c r="E1084" s="302">
        <f t="shared" si="462"/>
        <v>1.7134870967907601</v>
      </c>
      <c r="F1084" s="303"/>
      <c r="G1084" s="302">
        <v>0.79016012029086091</v>
      </c>
      <c r="H1084" s="302">
        <v>8.1005996690237558E-2</v>
      </c>
      <c r="I1084" s="302">
        <v>0.2134045264404455</v>
      </c>
      <c r="J1084" s="302">
        <f>SUM(G1084:I1084)</f>
        <v>1.0845706434215439</v>
      </c>
      <c r="K1084" s="303"/>
      <c r="L1084" s="302">
        <v>0.77700705464779318</v>
      </c>
      <c r="M1084" s="302">
        <v>0.11277382996913482</v>
      </c>
      <c r="N1084" s="302">
        <v>0.22611040213093508</v>
      </c>
      <c r="O1084" s="302">
        <f t="shared" si="464"/>
        <v>1.115891286747863</v>
      </c>
    </row>
    <row r="1085" spans="1:15" s="236" customFormat="1" x14ac:dyDescent="0.2">
      <c r="A1085" s="237" t="str">
        <f>name!E$9</f>
        <v>Caring, leisure and other service occupations</v>
      </c>
      <c r="B1085" s="302">
        <v>1.1687656790361165</v>
      </c>
      <c r="C1085" s="302">
        <v>0.7766253821939807</v>
      </c>
      <c r="D1085" s="302">
        <v>0.42227878457950546</v>
      </c>
      <c r="E1085" s="302">
        <f t="shared" si="462"/>
        <v>2.3676698458096026</v>
      </c>
      <c r="F1085" s="303"/>
      <c r="G1085" s="302">
        <v>0.93295669492046629</v>
      </c>
      <c r="H1085" s="302">
        <v>0.46974003888009253</v>
      </c>
      <c r="I1085" s="302">
        <v>0.46390730309043277</v>
      </c>
      <c r="J1085" s="302">
        <f t="shared" ref="J1085:J1088" si="465">SUM(G1085:I1085)</f>
        <v>1.8666040368909915</v>
      </c>
      <c r="K1085" s="303"/>
      <c r="L1085" s="302">
        <v>1.1624546598081524</v>
      </c>
      <c r="M1085" s="302">
        <v>0.59293585652709169</v>
      </c>
      <c r="N1085" s="302">
        <v>0.55935822791895684</v>
      </c>
      <c r="O1085" s="302">
        <f t="shared" si="464"/>
        <v>2.3147487442542012</v>
      </c>
    </row>
    <row r="1086" spans="1:15" s="236" customFormat="1" x14ac:dyDescent="0.2">
      <c r="A1086" s="237" t="str">
        <f>name!E$10</f>
        <v>Sales and customer service occupations</v>
      </c>
      <c r="B1086" s="302">
        <v>1.1543932298397912</v>
      </c>
      <c r="C1086" s="302">
        <v>0.53908111754764454</v>
      </c>
      <c r="D1086" s="302">
        <v>0.19407726848665477</v>
      </c>
      <c r="E1086" s="302">
        <f t="shared" si="462"/>
        <v>1.8875516158740906</v>
      </c>
      <c r="F1086" s="303"/>
      <c r="G1086" s="302">
        <v>0.8929109478615137</v>
      </c>
      <c r="H1086" s="302">
        <v>0.34070641640499522</v>
      </c>
      <c r="I1086" s="302">
        <v>0.13835601879765103</v>
      </c>
      <c r="J1086" s="302">
        <f t="shared" si="465"/>
        <v>1.3719733830641601</v>
      </c>
      <c r="K1086" s="303"/>
      <c r="L1086" s="302">
        <v>1.0473403016269389</v>
      </c>
      <c r="M1086" s="302">
        <v>0.53590174646993338</v>
      </c>
      <c r="N1086" s="302">
        <v>0.12755776385029913</v>
      </c>
      <c r="O1086" s="302">
        <f t="shared" si="464"/>
        <v>1.7107998119471715</v>
      </c>
    </row>
    <row r="1087" spans="1:15" s="236" customFormat="1" x14ac:dyDescent="0.2">
      <c r="A1087" s="237" t="str">
        <f>name!E$11</f>
        <v>Process, plant and machine operatives</v>
      </c>
      <c r="B1087" s="302">
        <v>1.5432295522986683</v>
      </c>
      <c r="C1087" s="302">
        <v>0.3711855294565124</v>
      </c>
      <c r="D1087" s="302">
        <v>3.4015461316314478E-2</v>
      </c>
      <c r="E1087" s="302">
        <f t="shared" si="462"/>
        <v>1.9484305430714952</v>
      </c>
      <c r="F1087" s="303"/>
      <c r="G1087" s="302">
        <v>1.0191708060105036</v>
      </c>
      <c r="H1087" s="302">
        <v>0.26571687106819125</v>
      </c>
      <c r="I1087" s="302">
        <v>3.3180223880477866E-2</v>
      </c>
      <c r="J1087" s="302">
        <f t="shared" si="465"/>
        <v>1.3180679009591727</v>
      </c>
      <c r="K1087" s="303"/>
      <c r="L1087" s="302">
        <v>1.0181081464014492</v>
      </c>
      <c r="M1087" s="302">
        <v>0.29686882054898239</v>
      </c>
      <c r="N1087" s="302">
        <v>3.6652807819089035E-2</v>
      </c>
      <c r="O1087" s="302">
        <f t="shared" si="464"/>
        <v>1.3516297747695207</v>
      </c>
    </row>
    <row r="1088" spans="1:15" s="236" customFormat="1" x14ac:dyDescent="0.2">
      <c r="A1088" s="237" t="str">
        <f>name!E$12</f>
        <v>Elementary occupations</v>
      </c>
      <c r="B1088" s="302">
        <v>8.5534055898422157</v>
      </c>
      <c r="C1088" s="302">
        <v>3.4449005630564007</v>
      </c>
      <c r="D1088" s="302">
        <v>0.90043915716894374</v>
      </c>
      <c r="E1088" s="302">
        <f t="shared" si="462"/>
        <v>12.898745310067559</v>
      </c>
      <c r="F1088" s="303"/>
      <c r="G1088" s="302">
        <v>6.0679519698960673</v>
      </c>
      <c r="H1088" s="302">
        <v>1.8088905520739205</v>
      </c>
      <c r="I1088" s="302">
        <v>0.64287630771954474</v>
      </c>
      <c r="J1088" s="302">
        <f t="shared" si="465"/>
        <v>8.5197188296895323</v>
      </c>
      <c r="K1088" s="303"/>
      <c r="L1088" s="302">
        <v>7.2424177467755735</v>
      </c>
      <c r="M1088" s="302">
        <v>1.5377989948530233</v>
      </c>
      <c r="N1088" s="302">
        <v>0.7709035733211107</v>
      </c>
      <c r="O1088" s="302">
        <f t="shared" si="464"/>
        <v>9.5511203149497064</v>
      </c>
    </row>
    <row r="1089" spans="1:15" s="236" customFormat="1" x14ac:dyDescent="0.2">
      <c r="A1089" s="237"/>
      <c r="B1089" s="302"/>
      <c r="C1089" s="302"/>
      <c r="D1089" s="302"/>
      <c r="E1089" s="302"/>
      <c r="F1089" s="303"/>
      <c r="G1089" s="302"/>
      <c r="H1089" s="302"/>
      <c r="I1089" s="302"/>
      <c r="J1089" s="302"/>
      <c r="K1089" s="303"/>
      <c r="L1089" s="302"/>
      <c r="M1089" s="302"/>
      <c r="N1089" s="302"/>
      <c r="O1089" s="302"/>
    </row>
    <row r="1090" spans="1:15" s="236" customFormat="1" x14ac:dyDescent="0.2">
      <c r="A1090" s="244" t="s">
        <v>32</v>
      </c>
      <c r="B1090" s="311">
        <f>SUM(B1080:B1088)</f>
        <v>26.559999999881079</v>
      </c>
      <c r="C1090" s="311">
        <f t="shared" ref="C1090:E1090" si="466">SUM(C1080:C1088)</f>
        <v>7.2810000000699322</v>
      </c>
      <c r="D1090" s="311">
        <f t="shared" si="466"/>
        <v>3.8780000000585688</v>
      </c>
      <c r="E1090" s="311">
        <f t="shared" si="466"/>
        <v>37.719000000009579</v>
      </c>
      <c r="F1090" s="311"/>
      <c r="G1090" s="311">
        <f t="shared" ref="G1090:J1090" si="467">SUM(G1080:G1088)</f>
        <v>21.376000000056372</v>
      </c>
      <c r="H1090" s="311">
        <f t="shared" si="467"/>
        <v>4.3570000000424187</v>
      </c>
      <c r="I1090" s="311">
        <f t="shared" si="467"/>
        <v>3.3959999999825206</v>
      </c>
      <c r="J1090" s="311">
        <f t="shared" si="467"/>
        <v>29.129000000081305</v>
      </c>
      <c r="K1090" s="311"/>
      <c r="L1090" s="311">
        <f t="shared" ref="L1090:O1090" si="468">SUM(L1080:L1088)</f>
        <v>24.41499999998895</v>
      </c>
      <c r="M1090" s="311">
        <f t="shared" si="468"/>
        <v>4.7990000000075117</v>
      </c>
      <c r="N1090" s="311">
        <f t="shared" si="468"/>
        <v>3.8120000000376097</v>
      </c>
      <c r="O1090" s="311">
        <f t="shared" si="468"/>
        <v>33.026000000034074</v>
      </c>
    </row>
    <row r="1091" spans="1:15" s="236" customFormat="1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37"/>
      <c r="M1091" s="237"/>
      <c r="N1091" s="240"/>
    </row>
    <row r="1092" spans="1:15" s="236" customFormat="1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37"/>
      <c r="M1092" s="237"/>
      <c r="N1092" s="240"/>
      <c r="O1092" s="251" t="s">
        <v>35</v>
      </c>
    </row>
    <row r="1093" spans="1:15" s="236" customFormat="1" x14ac:dyDescent="0.2">
      <c r="A1093" s="242"/>
      <c r="B1093" s="242"/>
      <c r="C1093" s="242"/>
      <c r="D1093" s="242"/>
      <c r="E1093" s="242"/>
      <c r="F1093" s="242"/>
      <c r="G1093" s="242"/>
      <c r="H1093" s="242"/>
      <c r="I1093" s="242"/>
      <c r="J1093" s="242"/>
      <c r="K1093" s="242"/>
      <c r="L1093" s="242"/>
      <c r="M1093" s="242"/>
      <c r="N1093" s="242"/>
      <c r="O1093" s="242"/>
    </row>
    <row r="1094" spans="1:15" s="236" customFormat="1" x14ac:dyDescent="0.2">
      <c r="A1094" s="241" t="str">
        <f>name!A67</f>
        <v>Public administration and defence</v>
      </c>
      <c r="B1094" s="374">
        <f>$B$6</f>
        <v>2015</v>
      </c>
      <c r="C1094" s="374"/>
      <c r="D1094" s="374"/>
      <c r="E1094" s="374"/>
      <c r="F1094" s="263"/>
      <c r="G1094" s="374">
        <f>$G$6</f>
        <v>2020</v>
      </c>
      <c r="H1094" s="374"/>
      <c r="I1094" s="374"/>
      <c r="J1094" s="374"/>
      <c r="K1094" s="263"/>
      <c r="L1094" s="374">
        <f>$L$6</f>
        <v>2035</v>
      </c>
      <c r="M1094" s="374"/>
      <c r="N1094" s="374"/>
      <c r="O1094" s="374"/>
    </row>
    <row r="1095" spans="1:15" s="236" customFormat="1" x14ac:dyDescent="0.2">
      <c r="A1095" s="254"/>
      <c r="B1095" s="268" t="str">
        <f>$B$7</f>
        <v>FT</v>
      </c>
      <c r="C1095" s="268" t="str">
        <f>$C$7</f>
        <v>PT</v>
      </c>
      <c r="D1095" s="268" t="str">
        <f>$D$7</f>
        <v>SE</v>
      </c>
      <c r="E1095" s="268" t="str">
        <f>$E$7</f>
        <v>Total</v>
      </c>
      <c r="F1095" s="268"/>
      <c r="G1095" s="268" t="str">
        <f>$G$7</f>
        <v>FT</v>
      </c>
      <c r="H1095" s="268" t="str">
        <f>$H$7</f>
        <v>PT</v>
      </c>
      <c r="I1095" s="268" t="str">
        <f>$I$7</f>
        <v>SE</v>
      </c>
      <c r="J1095" s="268" t="str">
        <f>$J$7</f>
        <v>Total</v>
      </c>
      <c r="K1095" s="268"/>
      <c r="L1095" s="268" t="str">
        <f>$L$7</f>
        <v>FT</v>
      </c>
      <c r="M1095" s="268" t="str">
        <f>$M$7</f>
        <v>PT</v>
      </c>
      <c r="N1095" s="268" t="str">
        <f>$N$7</f>
        <v>SE</v>
      </c>
      <c r="O1095" s="268" t="str">
        <f>$O$7</f>
        <v>Total</v>
      </c>
    </row>
    <row r="1096" spans="1:15" s="236" customFormat="1" x14ac:dyDescent="0.2">
      <c r="A1096" s="258"/>
      <c r="B1096" s="239"/>
      <c r="C1096" s="239"/>
      <c r="D1096" s="239"/>
      <c r="E1096" s="239"/>
      <c r="F1096" s="239"/>
      <c r="G1096" s="239"/>
      <c r="H1096" s="239"/>
      <c r="I1096" s="239"/>
      <c r="J1096" s="239"/>
      <c r="K1096" s="239"/>
      <c r="L1096" s="239"/>
      <c r="M1096" s="239"/>
      <c r="N1096" s="239"/>
      <c r="O1096" s="239"/>
    </row>
    <row r="1097" spans="1:15" s="236" customFormat="1" x14ac:dyDescent="0.2">
      <c r="A1097" s="237" t="str">
        <f>name!E$4</f>
        <v>Managers, directors and senior officials</v>
      </c>
      <c r="B1097" s="302">
        <v>4.5165848498829453</v>
      </c>
      <c r="C1097" s="302">
        <v>1.5170250349374395</v>
      </c>
      <c r="D1097" s="302">
        <v>0.17578365136105953</v>
      </c>
      <c r="E1097" s="302">
        <f>SUM(B1097:D1097)</f>
        <v>6.2093935361814436</v>
      </c>
      <c r="F1097" s="303"/>
      <c r="G1097" s="302">
        <v>4.8636223772981824</v>
      </c>
      <c r="H1097" s="302">
        <v>2.0348953985446112</v>
      </c>
      <c r="I1097" s="302">
        <v>0.28416149744010732</v>
      </c>
      <c r="J1097" s="302">
        <f>SUM(G1097:I1097)</f>
        <v>7.1826792732829006</v>
      </c>
      <c r="K1097" s="303"/>
      <c r="L1097" s="302">
        <v>5.2725796319318237</v>
      </c>
      <c r="M1097" s="302">
        <v>2.9243844756796378</v>
      </c>
      <c r="N1097" s="302">
        <v>0.34658610615060192</v>
      </c>
      <c r="O1097" s="302">
        <f>SUM(L1097:N1097)</f>
        <v>8.543550213762062</v>
      </c>
    </row>
    <row r="1098" spans="1:15" s="236" customFormat="1" x14ac:dyDescent="0.2">
      <c r="A1098" s="237" t="str">
        <f>name!E$5</f>
        <v>Professional occupations</v>
      </c>
      <c r="B1098" s="302">
        <v>10.365553162812633</v>
      </c>
      <c r="C1098" s="302">
        <v>4.656560262688763</v>
      </c>
      <c r="D1098" s="302">
        <v>0.73841036941274407</v>
      </c>
      <c r="E1098" s="302">
        <f t="shared" ref="E1098:E1105" si="469">SUM(B1098:D1098)</f>
        <v>15.760523794914139</v>
      </c>
      <c r="F1098" s="303"/>
      <c r="G1098" s="302">
        <v>12.867945018281446</v>
      </c>
      <c r="H1098" s="302">
        <v>5.8209762552139237</v>
      </c>
      <c r="I1098" s="302">
        <v>1.0480763661367691</v>
      </c>
      <c r="J1098" s="302">
        <f t="shared" ref="J1098:J1100" si="470">SUM(G1098:I1098)</f>
        <v>19.73699763963214</v>
      </c>
      <c r="K1098" s="303"/>
      <c r="L1098" s="302">
        <v>16.197035685051706</v>
      </c>
      <c r="M1098" s="302">
        <v>8.7574712492659632</v>
      </c>
      <c r="N1098" s="302">
        <v>0.98061446638925209</v>
      </c>
      <c r="O1098" s="302">
        <f t="shared" ref="O1098:O1105" si="471">SUM(L1098:N1098)</f>
        <v>25.935121400706922</v>
      </c>
    </row>
    <row r="1099" spans="1:15" s="236" customFormat="1" x14ac:dyDescent="0.2">
      <c r="A1099" s="237" t="str">
        <f>name!E$6</f>
        <v>Associate professional occupations</v>
      </c>
      <c r="B1099" s="302">
        <v>20.662131683466246</v>
      </c>
      <c r="C1099" s="302">
        <v>5.0537501201652146</v>
      </c>
      <c r="D1099" s="302">
        <v>0.17862044303944058</v>
      </c>
      <c r="E1099" s="302">
        <f t="shared" si="469"/>
        <v>25.894502246670903</v>
      </c>
      <c r="F1099" s="303"/>
      <c r="G1099" s="302">
        <v>22.263442940494677</v>
      </c>
      <c r="H1099" s="302">
        <v>5.080005212633651</v>
      </c>
      <c r="I1099" s="302">
        <v>0.36727068618072284</v>
      </c>
      <c r="J1099" s="302">
        <f t="shared" si="470"/>
        <v>27.710718839309052</v>
      </c>
      <c r="K1099" s="303"/>
      <c r="L1099" s="302">
        <v>27.632484902464444</v>
      </c>
      <c r="M1099" s="302">
        <v>6.5130108229855876</v>
      </c>
      <c r="N1099" s="302">
        <v>0.3531443698430804</v>
      </c>
      <c r="O1099" s="302">
        <f t="shared" si="471"/>
        <v>34.498640095293112</v>
      </c>
    </row>
    <row r="1100" spans="1:15" s="236" customFormat="1" x14ac:dyDescent="0.2">
      <c r="A1100" s="237" t="str">
        <f>name!E$7</f>
        <v>Administrative and secretarial occupations</v>
      </c>
      <c r="B1100" s="302">
        <v>7.5973555314447445</v>
      </c>
      <c r="C1100" s="302">
        <v>10.014940363081896</v>
      </c>
      <c r="D1100" s="302">
        <v>4.1154238311926508E-2</v>
      </c>
      <c r="E1100" s="302">
        <f t="shared" si="469"/>
        <v>17.653450132838564</v>
      </c>
      <c r="F1100" s="303"/>
      <c r="G1100" s="302">
        <v>7.0088487642570234</v>
      </c>
      <c r="H1100" s="302">
        <v>8.9395092332702166</v>
      </c>
      <c r="I1100" s="302">
        <v>0.12582995864921209</v>
      </c>
      <c r="J1100" s="302">
        <f t="shared" si="470"/>
        <v>16.074187956176452</v>
      </c>
      <c r="K1100" s="303"/>
      <c r="L1100" s="302">
        <v>4.1739640611108175</v>
      </c>
      <c r="M1100" s="302">
        <v>7.8351799739322079</v>
      </c>
      <c r="N1100" s="302">
        <v>5.9542053475709358E-2</v>
      </c>
      <c r="O1100" s="302">
        <f t="shared" si="471"/>
        <v>12.068686088518735</v>
      </c>
    </row>
    <row r="1101" spans="1:15" s="236" customFormat="1" x14ac:dyDescent="0.2">
      <c r="A1101" s="237" t="str">
        <f>name!E$8</f>
        <v>Skilled trades occupations</v>
      </c>
      <c r="B1101" s="302">
        <v>0.47060502362924039</v>
      </c>
      <c r="C1101" s="302">
        <v>0.11298100001030303</v>
      </c>
      <c r="D1101" s="302">
        <v>7.4140837389237449E-2</v>
      </c>
      <c r="E1101" s="302">
        <f t="shared" si="469"/>
        <v>0.65772686102878086</v>
      </c>
      <c r="F1101" s="303"/>
      <c r="G1101" s="302">
        <v>0.38073963414211925</v>
      </c>
      <c r="H1101" s="302">
        <v>9.7064915329349452E-2</v>
      </c>
      <c r="I1101" s="302">
        <v>4.1613323113751169E-2</v>
      </c>
      <c r="J1101" s="302">
        <f>SUM(G1101:I1101)</f>
        <v>0.51941787258521988</v>
      </c>
      <c r="K1101" s="303"/>
      <c r="L1101" s="302">
        <v>0.42676851715122427</v>
      </c>
      <c r="M1101" s="302">
        <v>0.2786909918997591</v>
      </c>
      <c r="N1101" s="302">
        <v>6.5392287782189792E-2</v>
      </c>
      <c r="O1101" s="302">
        <f t="shared" si="471"/>
        <v>0.77085179683317318</v>
      </c>
    </row>
    <row r="1102" spans="1:15" s="236" customFormat="1" x14ac:dyDescent="0.2">
      <c r="A1102" s="237" t="str">
        <f>name!E$9</f>
        <v>Caring, leisure and other service occupations</v>
      </c>
      <c r="B1102" s="302">
        <v>2.2547797300036088</v>
      </c>
      <c r="C1102" s="302">
        <v>2.4780147656990841</v>
      </c>
      <c r="D1102" s="302">
        <v>2.8997984708498445E-2</v>
      </c>
      <c r="E1102" s="302">
        <f t="shared" si="469"/>
        <v>4.7617924804111915</v>
      </c>
      <c r="F1102" s="303"/>
      <c r="G1102" s="302">
        <v>2.1315492479566371</v>
      </c>
      <c r="H1102" s="302">
        <v>2.2659925499738494</v>
      </c>
      <c r="I1102" s="302">
        <v>0.22009622113234018</v>
      </c>
      <c r="J1102" s="302">
        <f t="shared" ref="J1102:J1105" si="472">SUM(G1102:I1102)</f>
        <v>4.6176380190628263</v>
      </c>
      <c r="K1102" s="303"/>
      <c r="L1102" s="302">
        <v>2.5565658548574737</v>
      </c>
      <c r="M1102" s="302">
        <v>2.7649416144627454</v>
      </c>
      <c r="N1102" s="302">
        <v>0.21078908519124623</v>
      </c>
      <c r="O1102" s="302">
        <f t="shared" si="471"/>
        <v>5.5322965545114648</v>
      </c>
    </row>
    <row r="1103" spans="1:15" s="236" customFormat="1" x14ac:dyDescent="0.2">
      <c r="A1103" s="237" t="str">
        <f>name!E$10</f>
        <v>Sales and customer service occupations</v>
      </c>
      <c r="B1103" s="302">
        <v>0.76427124286365999</v>
      </c>
      <c r="C1103" s="302">
        <v>0.90930401210668765</v>
      </c>
      <c r="D1103" s="302">
        <v>2.3580813996689501E-2</v>
      </c>
      <c r="E1103" s="302">
        <f t="shared" si="469"/>
        <v>1.6971560689670371</v>
      </c>
      <c r="F1103" s="303"/>
      <c r="G1103" s="302">
        <v>0.72413174621382015</v>
      </c>
      <c r="H1103" s="302">
        <v>0.90071463514615502</v>
      </c>
      <c r="I1103" s="302">
        <v>5.1209671535765243E-2</v>
      </c>
      <c r="J1103" s="302">
        <f t="shared" si="472"/>
        <v>1.6760560528957404</v>
      </c>
      <c r="K1103" s="303"/>
      <c r="L1103" s="302">
        <v>0.81594617167304673</v>
      </c>
      <c r="M1103" s="302">
        <v>1.2736187629614035</v>
      </c>
      <c r="N1103" s="302">
        <v>6.7815972955349149E-2</v>
      </c>
      <c r="O1103" s="302">
        <f t="shared" si="471"/>
        <v>2.1573809075897992</v>
      </c>
    </row>
    <row r="1104" spans="1:15" s="236" customFormat="1" x14ac:dyDescent="0.2">
      <c r="A1104" s="237" t="str">
        <f>name!E$11</f>
        <v>Process, plant and machine operatives</v>
      </c>
      <c r="B1104" s="302">
        <v>0.15582330749242584</v>
      </c>
      <c r="C1104" s="302">
        <v>0.22748959512300854</v>
      </c>
      <c r="D1104" s="302">
        <v>8.5956757052521975E-3</v>
      </c>
      <c r="E1104" s="302">
        <f t="shared" si="469"/>
        <v>0.3919085783206866</v>
      </c>
      <c r="F1104" s="303"/>
      <c r="G1104" s="302">
        <v>0.11449170330235794</v>
      </c>
      <c r="H1104" s="302">
        <v>0.16607219396464767</v>
      </c>
      <c r="I1104" s="302">
        <v>3.4464612109673047E-2</v>
      </c>
      <c r="J1104" s="302">
        <f t="shared" si="472"/>
        <v>0.31502850937667864</v>
      </c>
      <c r="K1104" s="303"/>
      <c r="L1104" s="302">
        <v>8.549357145606605E-2</v>
      </c>
      <c r="M1104" s="302">
        <v>0.30294231242484349</v>
      </c>
      <c r="N1104" s="302">
        <v>9.0007285471694162E-2</v>
      </c>
      <c r="O1104" s="302">
        <f t="shared" si="471"/>
        <v>0.47844316935260373</v>
      </c>
    </row>
    <row r="1105" spans="1:15" s="236" customFormat="1" x14ac:dyDescent="0.2">
      <c r="A1105" s="237" t="str">
        <f>name!E$12</f>
        <v>Elementary occupations</v>
      </c>
      <c r="B1105" s="302">
        <v>1.3518954680148427</v>
      </c>
      <c r="C1105" s="302">
        <v>1.2759348458500892</v>
      </c>
      <c r="D1105" s="302">
        <v>1.1715986139103992E-2</v>
      </c>
      <c r="E1105" s="302">
        <f t="shared" si="469"/>
        <v>2.6395463000040356</v>
      </c>
      <c r="F1105" s="303"/>
      <c r="G1105" s="302">
        <v>1.0682285673150052</v>
      </c>
      <c r="H1105" s="302">
        <v>0.92076960565284838</v>
      </c>
      <c r="I1105" s="302">
        <v>0.40227766366224688</v>
      </c>
      <c r="J1105" s="302">
        <f t="shared" si="472"/>
        <v>2.3912758366301001</v>
      </c>
      <c r="K1105" s="303"/>
      <c r="L1105" s="302">
        <v>0.99116160423693123</v>
      </c>
      <c r="M1105" s="302">
        <v>0.91075979647923189</v>
      </c>
      <c r="N1105" s="302">
        <v>0.86610837277986863</v>
      </c>
      <c r="O1105" s="302">
        <f t="shared" si="471"/>
        <v>2.768029773496032</v>
      </c>
    </row>
    <row r="1106" spans="1:15" s="236" customFormat="1" x14ac:dyDescent="0.2">
      <c r="A1106" s="237"/>
      <c r="B1106" s="302"/>
      <c r="C1106" s="302"/>
      <c r="D1106" s="302"/>
      <c r="E1106" s="302"/>
      <c r="F1106" s="303"/>
      <c r="G1106" s="302"/>
      <c r="H1106" s="302"/>
      <c r="I1106" s="302"/>
      <c r="J1106" s="302"/>
      <c r="K1106" s="303"/>
      <c r="L1106" s="302"/>
      <c r="M1106" s="302"/>
      <c r="N1106" s="302"/>
      <c r="O1106" s="302"/>
    </row>
    <row r="1107" spans="1:15" s="236" customFormat="1" x14ac:dyDescent="0.2">
      <c r="A1107" s="244" t="s">
        <v>32</v>
      </c>
      <c r="B1107" s="311">
        <f>SUM(B1097:B1105)</f>
        <v>48.138999999610348</v>
      </c>
      <c r="C1107" s="311">
        <f t="shared" ref="C1107:E1107" si="473">SUM(C1097:C1105)</f>
        <v>26.245999999662484</v>
      </c>
      <c r="D1107" s="311">
        <f t="shared" si="473"/>
        <v>1.2810000000639523</v>
      </c>
      <c r="E1107" s="311">
        <f t="shared" si="473"/>
        <v>75.665999999336776</v>
      </c>
      <c r="F1107" s="311"/>
      <c r="G1107" s="311">
        <f t="shared" ref="G1107:J1107" si="474">SUM(G1097:G1105)</f>
        <v>51.422999999261258</v>
      </c>
      <c r="H1107" s="311">
        <f t="shared" si="474"/>
        <v>26.225999999729247</v>
      </c>
      <c r="I1107" s="311">
        <f t="shared" si="474"/>
        <v>2.5749999999605877</v>
      </c>
      <c r="J1107" s="311">
        <f t="shared" si="474"/>
        <v>80.223999998951115</v>
      </c>
      <c r="K1107" s="311"/>
      <c r="L1107" s="311">
        <f t="shared" ref="L1107:O1107" si="475">SUM(L1097:L1105)</f>
        <v>58.15199999993353</v>
      </c>
      <c r="M1107" s="311">
        <f t="shared" si="475"/>
        <v>31.561000000091383</v>
      </c>
      <c r="N1107" s="311">
        <f t="shared" si="475"/>
        <v>3.040000000038992</v>
      </c>
      <c r="O1107" s="311">
        <f t="shared" si="475"/>
        <v>92.753000000063878</v>
      </c>
    </row>
    <row r="1108" spans="1:15" s="236" customFormat="1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37"/>
      <c r="M1108" s="237"/>
      <c r="N1108" s="240"/>
    </row>
    <row r="1109" spans="1:15" s="236" customFormat="1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37"/>
      <c r="M1109" s="237"/>
      <c r="N1109" s="240"/>
      <c r="O1109" s="251" t="s">
        <v>35</v>
      </c>
    </row>
    <row r="1110" spans="1:15" s="236" customFormat="1" x14ac:dyDescent="0.2">
      <c r="A1110" s="242"/>
      <c r="B1110" s="242"/>
      <c r="C1110" s="242"/>
      <c r="D1110" s="242"/>
      <c r="E1110" s="242"/>
      <c r="F1110" s="242"/>
      <c r="G1110" s="242"/>
      <c r="H1110" s="242"/>
      <c r="I1110" s="242"/>
      <c r="J1110" s="242"/>
      <c r="K1110" s="242"/>
      <c r="L1110" s="242"/>
      <c r="M1110" s="242"/>
      <c r="N1110" s="242"/>
      <c r="O1110" s="242"/>
    </row>
    <row r="1111" spans="1:15" s="236" customFormat="1" x14ac:dyDescent="0.2">
      <c r="A1111" s="241" t="str">
        <f>name!A68</f>
        <v xml:space="preserve">Education </v>
      </c>
      <c r="B1111" s="374">
        <f>$B$6</f>
        <v>2015</v>
      </c>
      <c r="C1111" s="374"/>
      <c r="D1111" s="374"/>
      <c r="E1111" s="374"/>
      <c r="F1111" s="263"/>
      <c r="G1111" s="374">
        <f>$G$6</f>
        <v>2020</v>
      </c>
      <c r="H1111" s="374"/>
      <c r="I1111" s="374"/>
      <c r="J1111" s="374"/>
      <c r="K1111" s="263"/>
      <c r="L1111" s="374">
        <f>$L$6</f>
        <v>2035</v>
      </c>
      <c r="M1111" s="374"/>
      <c r="N1111" s="374"/>
      <c r="O1111" s="374"/>
    </row>
    <row r="1112" spans="1:15" s="236" customFormat="1" x14ac:dyDescent="0.2">
      <c r="A1112" s="254"/>
      <c r="B1112" s="268" t="str">
        <f>$B$7</f>
        <v>FT</v>
      </c>
      <c r="C1112" s="268" t="str">
        <f>$C$7</f>
        <v>PT</v>
      </c>
      <c r="D1112" s="268" t="str">
        <f>$D$7</f>
        <v>SE</v>
      </c>
      <c r="E1112" s="268" t="str">
        <f>$E$7</f>
        <v>Total</v>
      </c>
      <c r="F1112" s="268"/>
      <c r="G1112" s="268" t="str">
        <f>$G$7</f>
        <v>FT</v>
      </c>
      <c r="H1112" s="268" t="str">
        <f>$H$7</f>
        <v>PT</v>
      </c>
      <c r="I1112" s="268" t="str">
        <f>$I$7</f>
        <v>SE</v>
      </c>
      <c r="J1112" s="268" t="str">
        <f>$J$7</f>
        <v>Total</v>
      </c>
      <c r="K1112" s="268"/>
      <c r="L1112" s="268" t="str">
        <f>$L$7</f>
        <v>FT</v>
      </c>
      <c r="M1112" s="268" t="str">
        <f>$M$7</f>
        <v>PT</v>
      </c>
      <c r="N1112" s="268" t="str">
        <f>$N$7</f>
        <v>SE</v>
      </c>
      <c r="O1112" s="268" t="str">
        <f>$O$7</f>
        <v>Total</v>
      </c>
    </row>
    <row r="1113" spans="1:15" s="236" customFormat="1" x14ac:dyDescent="0.2">
      <c r="A1113" s="258"/>
      <c r="B1113" s="239"/>
      <c r="C1113" s="239"/>
      <c r="D1113" s="239"/>
      <c r="E1113" s="239"/>
      <c r="F1113" s="239"/>
      <c r="G1113" s="239"/>
      <c r="H1113" s="239"/>
      <c r="I1113" s="239"/>
      <c r="J1113" s="239"/>
      <c r="K1113" s="239"/>
      <c r="L1113" s="239"/>
      <c r="M1113" s="239"/>
      <c r="N1113" s="239"/>
      <c r="O1113" s="239"/>
    </row>
    <row r="1114" spans="1:15" s="236" customFormat="1" x14ac:dyDescent="0.2">
      <c r="A1114" s="237" t="str">
        <f>name!E$4</f>
        <v>Managers, directors and senior officials</v>
      </c>
      <c r="B1114" s="302">
        <v>2.8556414947112798</v>
      </c>
      <c r="C1114" s="302">
        <v>1.1049396612125293</v>
      </c>
      <c r="D1114" s="302">
        <v>1.5333481622801746</v>
      </c>
      <c r="E1114" s="302">
        <f>SUM(B1114:D1114)</f>
        <v>5.4939293182039837</v>
      </c>
      <c r="F1114" s="303"/>
      <c r="G1114" s="302">
        <v>2.7218998198803721</v>
      </c>
      <c r="H1114" s="302">
        <v>1.6289597598515437</v>
      </c>
      <c r="I1114" s="302">
        <v>2.0728665677409595</v>
      </c>
      <c r="J1114" s="302">
        <f>SUM(G1114:I1114)</f>
        <v>6.4237261474728751</v>
      </c>
      <c r="K1114" s="303"/>
      <c r="L1114" s="302">
        <v>2.7038140232767836</v>
      </c>
      <c r="M1114" s="302">
        <v>1.7998590506742516</v>
      </c>
      <c r="N1114" s="302">
        <v>2.3351909907075021</v>
      </c>
      <c r="O1114" s="302">
        <f>SUM(L1114:N1114)</f>
        <v>6.8388640646585372</v>
      </c>
    </row>
    <row r="1115" spans="1:15" s="236" customFormat="1" x14ac:dyDescent="0.2">
      <c r="A1115" s="237" t="str">
        <f>name!E$5</f>
        <v>Professional occupations</v>
      </c>
      <c r="B1115" s="302">
        <v>53.444479068947409</v>
      </c>
      <c r="C1115" s="302">
        <v>24.365186896342689</v>
      </c>
      <c r="D1115" s="302">
        <v>6.637791223664224</v>
      </c>
      <c r="E1115" s="302">
        <f t="shared" ref="E1115:E1122" si="476">SUM(B1115:D1115)</f>
        <v>84.447457188954317</v>
      </c>
      <c r="F1115" s="303"/>
      <c r="G1115" s="302">
        <v>53.876207692495498</v>
      </c>
      <c r="H1115" s="302">
        <v>30.39747008577605</v>
      </c>
      <c r="I1115" s="302">
        <v>9.8917992660729457</v>
      </c>
      <c r="J1115" s="302">
        <f t="shared" ref="J1115:J1117" si="477">SUM(G1115:I1115)</f>
        <v>94.165477044344499</v>
      </c>
      <c r="K1115" s="303"/>
      <c r="L1115" s="302">
        <v>53.557956465305949</v>
      </c>
      <c r="M1115" s="302">
        <v>34.163078412271105</v>
      </c>
      <c r="N1115" s="302">
        <v>9.7238863265154603</v>
      </c>
      <c r="O1115" s="302">
        <f t="shared" ref="O1115:O1122" si="478">SUM(L1115:N1115)</f>
        <v>97.444921204092509</v>
      </c>
    </row>
    <row r="1116" spans="1:15" s="236" customFormat="1" x14ac:dyDescent="0.2">
      <c r="A1116" s="237" t="str">
        <f>name!E$6</f>
        <v>Associate professional occupations</v>
      </c>
      <c r="B1116" s="302">
        <v>7.0409784657433399</v>
      </c>
      <c r="C1116" s="302">
        <v>6.1551655947008541</v>
      </c>
      <c r="D1116" s="302">
        <v>3.4356977144641943</v>
      </c>
      <c r="E1116" s="302">
        <f t="shared" si="476"/>
        <v>16.631841774908388</v>
      </c>
      <c r="F1116" s="303"/>
      <c r="G1116" s="302">
        <v>7.1377542794818547</v>
      </c>
      <c r="H1116" s="302">
        <v>7.6446642446264672</v>
      </c>
      <c r="I1116" s="302">
        <v>3.576422932913327</v>
      </c>
      <c r="J1116" s="302">
        <f t="shared" si="477"/>
        <v>18.358841457021651</v>
      </c>
      <c r="K1116" s="303"/>
      <c r="L1116" s="302">
        <v>6.6427886327416488</v>
      </c>
      <c r="M1116" s="302">
        <v>7.2803443452952079</v>
      </c>
      <c r="N1116" s="302">
        <v>3.3736726356022699</v>
      </c>
      <c r="O1116" s="302">
        <f t="shared" si="478"/>
        <v>17.296805613639126</v>
      </c>
    </row>
    <row r="1117" spans="1:15" s="236" customFormat="1" x14ac:dyDescent="0.2">
      <c r="A1117" s="237" t="str">
        <f>name!E$7</f>
        <v>Administrative and secretarial occupations</v>
      </c>
      <c r="B1117" s="302">
        <v>4.1830651782543473</v>
      </c>
      <c r="C1117" s="302">
        <v>7.9651530221065263</v>
      </c>
      <c r="D1117" s="302">
        <v>0.63166478544468552</v>
      </c>
      <c r="E1117" s="302">
        <f t="shared" si="476"/>
        <v>12.779882985805559</v>
      </c>
      <c r="F1117" s="303"/>
      <c r="G1117" s="302">
        <v>3.4596748857516539</v>
      </c>
      <c r="H1117" s="302">
        <v>7.6360643220677424</v>
      </c>
      <c r="I1117" s="302">
        <v>0.6781997869740144</v>
      </c>
      <c r="J1117" s="302">
        <f t="shared" si="477"/>
        <v>11.77393899479341</v>
      </c>
      <c r="K1117" s="303"/>
      <c r="L1117" s="302">
        <v>1.7923538231221323</v>
      </c>
      <c r="M1117" s="302">
        <v>3.7146366195338691</v>
      </c>
      <c r="N1117" s="302">
        <v>0.56691780114873891</v>
      </c>
      <c r="O1117" s="302">
        <f t="shared" si="478"/>
        <v>6.0739082438047403</v>
      </c>
    </row>
    <row r="1118" spans="1:15" s="236" customFormat="1" x14ac:dyDescent="0.2">
      <c r="A1118" s="237" t="str">
        <f>name!E$8</f>
        <v>Skilled trades occupations</v>
      </c>
      <c r="B1118" s="302">
        <v>1.5240928658997108</v>
      </c>
      <c r="C1118" s="302">
        <v>1.2766848540182101</v>
      </c>
      <c r="D1118" s="302">
        <v>0.23217530428626276</v>
      </c>
      <c r="E1118" s="302">
        <f t="shared" si="476"/>
        <v>3.0329530242041836</v>
      </c>
      <c r="F1118" s="303"/>
      <c r="G1118" s="302">
        <v>1.0379001401886025</v>
      </c>
      <c r="H1118" s="302">
        <v>0.97632578580110863</v>
      </c>
      <c r="I1118" s="302">
        <v>0.27926191916719262</v>
      </c>
      <c r="J1118" s="302">
        <f>SUM(G1118:I1118)</f>
        <v>2.2934878451569038</v>
      </c>
      <c r="K1118" s="303"/>
      <c r="L1118" s="302">
        <v>0.6793712977660793</v>
      </c>
      <c r="M1118" s="302">
        <v>0.42553115620591547</v>
      </c>
      <c r="N1118" s="302">
        <v>0.44716901873567577</v>
      </c>
      <c r="O1118" s="302">
        <f t="shared" si="478"/>
        <v>1.5520714727076705</v>
      </c>
    </row>
    <row r="1119" spans="1:15" s="236" customFormat="1" x14ac:dyDescent="0.2">
      <c r="A1119" s="237" t="str">
        <f>name!E$9</f>
        <v>Caring, leisure and other service occupations</v>
      </c>
      <c r="B1119" s="302">
        <v>27.829239306607192</v>
      </c>
      <c r="C1119" s="302">
        <v>33.997185433891168</v>
      </c>
      <c r="D1119" s="302">
        <v>1.0716719396990502</v>
      </c>
      <c r="E1119" s="302">
        <f t="shared" si="476"/>
        <v>62.898096680197412</v>
      </c>
      <c r="F1119" s="303"/>
      <c r="G1119" s="302">
        <v>24.234857137853371</v>
      </c>
      <c r="H1119" s="302">
        <v>34.708694072606875</v>
      </c>
      <c r="I1119" s="302">
        <v>1.4314286505185037</v>
      </c>
      <c r="J1119" s="302">
        <f t="shared" ref="J1119:J1122" si="479">SUM(G1119:I1119)</f>
        <v>60.374979860978748</v>
      </c>
      <c r="K1119" s="303"/>
      <c r="L1119" s="302">
        <v>28.495196578987837</v>
      </c>
      <c r="M1119" s="302">
        <v>34.130789851662129</v>
      </c>
      <c r="N1119" s="302">
        <v>1.8141056579585908</v>
      </c>
      <c r="O1119" s="302">
        <f t="shared" si="478"/>
        <v>64.440092088608552</v>
      </c>
    </row>
    <row r="1120" spans="1:15" s="236" customFormat="1" x14ac:dyDescent="0.2">
      <c r="A1120" s="237" t="str">
        <f>name!E$10</f>
        <v>Sales and customer service occupations</v>
      </c>
      <c r="B1120" s="302">
        <v>0.43249032704731327</v>
      </c>
      <c r="C1120" s="302">
        <v>0.60674203382285141</v>
      </c>
      <c r="D1120" s="302">
        <v>0.25260343706458799</v>
      </c>
      <c r="E1120" s="302">
        <f t="shared" si="476"/>
        <v>1.2918357979347526</v>
      </c>
      <c r="F1120" s="303"/>
      <c r="G1120" s="302">
        <v>0.35940777297221665</v>
      </c>
      <c r="H1120" s="302">
        <v>0.60853223687826585</v>
      </c>
      <c r="I1120" s="302">
        <v>0.22752598485321107</v>
      </c>
      <c r="J1120" s="302">
        <f t="shared" si="479"/>
        <v>1.1954659947036936</v>
      </c>
      <c r="K1120" s="303"/>
      <c r="L1120" s="302">
        <v>0.37083024345561166</v>
      </c>
      <c r="M1120" s="302">
        <v>0.56736451253116305</v>
      </c>
      <c r="N1120" s="302">
        <v>0.25085224197896794</v>
      </c>
      <c r="O1120" s="302">
        <f t="shared" si="478"/>
        <v>1.1890469979657428</v>
      </c>
    </row>
    <row r="1121" spans="1:15" s="236" customFormat="1" x14ac:dyDescent="0.2">
      <c r="A1121" s="237" t="str">
        <f>name!E$11</f>
        <v>Process, plant and machine operatives</v>
      </c>
      <c r="B1121" s="302">
        <v>0.25459089468142165</v>
      </c>
      <c r="C1121" s="302">
        <v>0.42794419363735231</v>
      </c>
      <c r="D1121" s="302">
        <v>2.481479276770763</v>
      </c>
      <c r="E1121" s="302">
        <f t="shared" si="476"/>
        <v>3.1640143650895372</v>
      </c>
      <c r="F1121" s="303"/>
      <c r="G1121" s="302">
        <v>0.16514753184963402</v>
      </c>
      <c r="H1121" s="302">
        <v>0.38578979898056381</v>
      </c>
      <c r="I1121" s="302">
        <v>3.0028973076340226</v>
      </c>
      <c r="J1121" s="302">
        <f t="shared" si="479"/>
        <v>3.5538346384642203</v>
      </c>
      <c r="K1121" s="303"/>
      <c r="L1121" s="302">
        <v>0.12717311747313931</v>
      </c>
      <c r="M1121" s="302">
        <v>0.45102868562404347</v>
      </c>
      <c r="N1121" s="302">
        <v>2.9720619765600742</v>
      </c>
      <c r="O1121" s="302">
        <f t="shared" si="478"/>
        <v>3.5502637796572571</v>
      </c>
    </row>
    <row r="1122" spans="1:15" s="236" customFormat="1" x14ac:dyDescent="0.2">
      <c r="A1122" s="237" t="str">
        <f>name!E$12</f>
        <v>Elementary occupations</v>
      </c>
      <c r="B1122" s="302">
        <v>2.7024224012762552</v>
      </c>
      <c r="C1122" s="302">
        <v>11.873998306825774</v>
      </c>
      <c r="D1122" s="302">
        <v>5.8568156198721806E-2</v>
      </c>
      <c r="E1122" s="302">
        <f t="shared" si="476"/>
        <v>14.634988864300752</v>
      </c>
      <c r="F1122" s="303"/>
      <c r="G1122" s="302">
        <v>2.0041507404321344</v>
      </c>
      <c r="H1122" s="302">
        <v>9.5944996899640245</v>
      </c>
      <c r="I1122" s="302">
        <v>5.5597583940582583E-2</v>
      </c>
      <c r="J1122" s="302">
        <f t="shared" si="479"/>
        <v>11.654248014336741</v>
      </c>
      <c r="K1122" s="303"/>
      <c r="L1122" s="302">
        <v>2.2715158181130786</v>
      </c>
      <c r="M1122" s="302">
        <v>5.6203673666854819</v>
      </c>
      <c r="N1122" s="302">
        <v>4.7143351489456559E-2</v>
      </c>
      <c r="O1122" s="302">
        <f t="shared" si="478"/>
        <v>7.9390265362880168</v>
      </c>
    </row>
    <row r="1123" spans="1:15" s="236" customFormat="1" x14ac:dyDescent="0.2">
      <c r="A1123" s="237"/>
      <c r="B1123" s="302"/>
      <c r="C1123" s="302"/>
      <c r="D1123" s="302"/>
      <c r="E1123" s="302"/>
      <c r="F1123" s="303"/>
      <c r="G1123" s="302"/>
      <c r="H1123" s="302"/>
      <c r="I1123" s="302"/>
      <c r="J1123" s="302"/>
      <c r="K1123" s="303"/>
      <c r="L1123" s="302"/>
      <c r="M1123" s="302"/>
      <c r="N1123" s="302"/>
      <c r="O1123" s="302"/>
    </row>
    <row r="1124" spans="1:15" s="236" customFormat="1" x14ac:dyDescent="0.2">
      <c r="A1124" s="244" t="s">
        <v>32</v>
      </c>
      <c r="B1124" s="311">
        <f>SUM(B1114:B1122)</f>
        <v>100.26700000316829</v>
      </c>
      <c r="C1124" s="311">
        <f t="shared" ref="C1124:E1124" si="480">SUM(C1114:C1122)</f>
        <v>87.772999996557957</v>
      </c>
      <c r="D1124" s="311">
        <f t="shared" si="480"/>
        <v>16.334999999872661</v>
      </c>
      <c r="E1124" s="311">
        <f t="shared" si="480"/>
        <v>204.37499999959891</v>
      </c>
      <c r="F1124" s="311"/>
      <c r="G1124" s="311">
        <f t="shared" ref="G1124:J1124" si="481">SUM(G1114:G1122)</f>
        <v>94.997000000905345</v>
      </c>
      <c r="H1124" s="311">
        <f t="shared" si="481"/>
        <v>93.580999996552649</v>
      </c>
      <c r="I1124" s="311">
        <f t="shared" si="481"/>
        <v>21.215999999814763</v>
      </c>
      <c r="J1124" s="311">
        <f t="shared" si="481"/>
        <v>209.79399999727272</v>
      </c>
      <c r="K1124" s="311"/>
      <c r="L1124" s="311">
        <f t="shared" ref="L1124:O1124" si="482">SUM(L1114:L1122)</f>
        <v>96.641000000242258</v>
      </c>
      <c r="M1124" s="311">
        <f t="shared" si="482"/>
        <v>88.153000000483161</v>
      </c>
      <c r="N1124" s="311">
        <f t="shared" si="482"/>
        <v>21.531000000696739</v>
      </c>
      <c r="O1124" s="311">
        <f t="shared" si="482"/>
        <v>206.32500000142215</v>
      </c>
    </row>
    <row r="1125" spans="1:15" s="236" customFormat="1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37"/>
      <c r="M1125" s="237"/>
      <c r="N1125" s="240"/>
    </row>
    <row r="1126" spans="1:15" s="236" customFormat="1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37"/>
      <c r="M1126" s="237"/>
      <c r="N1126" s="240"/>
      <c r="O1126" s="251" t="s">
        <v>35</v>
      </c>
    </row>
    <row r="1127" spans="1:15" s="236" customFormat="1" x14ac:dyDescent="0.2">
      <c r="A1127" s="242"/>
      <c r="B1127" s="242"/>
      <c r="C1127" s="242"/>
      <c r="D1127" s="242"/>
      <c r="E1127" s="242"/>
      <c r="F1127" s="242"/>
      <c r="G1127" s="242"/>
      <c r="H1127" s="242"/>
      <c r="I1127" s="242"/>
      <c r="J1127" s="242"/>
      <c r="K1127" s="242"/>
      <c r="L1127" s="242"/>
      <c r="M1127" s="242"/>
      <c r="N1127" s="242"/>
      <c r="O1127" s="242"/>
    </row>
    <row r="1128" spans="1:15" s="236" customFormat="1" x14ac:dyDescent="0.2">
      <c r="A1128" s="241" t="str">
        <f>name!A69</f>
        <v>Health</v>
      </c>
      <c r="B1128" s="374">
        <f>$B$6</f>
        <v>2015</v>
      </c>
      <c r="C1128" s="374"/>
      <c r="D1128" s="374"/>
      <c r="E1128" s="374"/>
      <c r="F1128" s="263"/>
      <c r="G1128" s="374">
        <f>$G$6</f>
        <v>2020</v>
      </c>
      <c r="H1128" s="374"/>
      <c r="I1128" s="374"/>
      <c r="J1128" s="374"/>
      <c r="K1128" s="263"/>
      <c r="L1128" s="374">
        <f>$L$6</f>
        <v>2035</v>
      </c>
      <c r="M1128" s="374"/>
      <c r="N1128" s="374"/>
      <c r="O1128" s="374"/>
    </row>
    <row r="1129" spans="1:15" s="236" customFormat="1" x14ac:dyDescent="0.2">
      <c r="A1129" s="254"/>
      <c r="B1129" s="268" t="str">
        <f>$B$7</f>
        <v>FT</v>
      </c>
      <c r="C1129" s="268" t="str">
        <f>$C$7</f>
        <v>PT</v>
      </c>
      <c r="D1129" s="268" t="str">
        <f>$D$7</f>
        <v>SE</v>
      </c>
      <c r="E1129" s="268" t="str">
        <f>$E$7</f>
        <v>Total</v>
      </c>
      <c r="F1129" s="268"/>
      <c r="G1129" s="268" t="str">
        <f>$G$7</f>
        <v>FT</v>
      </c>
      <c r="H1129" s="268" t="str">
        <f>$H$7</f>
        <v>PT</v>
      </c>
      <c r="I1129" s="268" t="str">
        <f>$I$7</f>
        <v>SE</v>
      </c>
      <c r="J1129" s="268" t="str">
        <f>$J$7</f>
        <v>Total</v>
      </c>
      <c r="K1129" s="268"/>
      <c r="L1129" s="268" t="str">
        <f>$L$7</f>
        <v>FT</v>
      </c>
      <c r="M1129" s="268" t="str">
        <f>$M$7</f>
        <v>PT</v>
      </c>
      <c r="N1129" s="268" t="str">
        <f>$N$7</f>
        <v>SE</v>
      </c>
      <c r="O1129" s="268" t="str">
        <f>$O$7</f>
        <v>Total</v>
      </c>
    </row>
    <row r="1130" spans="1:15" s="236" customFormat="1" x14ac:dyDescent="0.2">
      <c r="A1130" s="258"/>
      <c r="B1130" s="239"/>
      <c r="C1130" s="239"/>
      <c r="D1130" s="239"/>
      <c r="E1130" s="239"/>
      <c r="F1130" s="239"/>
      <c r="G1130" s="239"/>
      <c r="H1130" s="239"/>
      <c r="I1130" s="239"/>
      <c r="J1130" s="239"/>
      <c r="K1130" s="239"/>
      <c r="L1130" s="239"/>
      <c r="M1130" s="239"/>
      <c r="N1130" s="239"/>
      <c r="O1130" s="239"/>
    </row>
    <row r="1131" spans="1:15" s="236" customFormat="1" x14ac:dyDescent="0.2">
      <c r="A1131" s="237" t="str">
        <f>name!E$4</f>
        <v>Managers, directors and senior officials</v>
      </c>
      <c r="B1131" s="302">
        <v>4.350759060045216</v>
      </c>
      <c r="C1131" s="302">
        <v>1.2977029374744438</v>
      </c>
      <c r="D1131" s="302">
        <v>0.91435147692790231</v>
      </c>
      <c r="E1131" s="302">
        <f>SUM(B1131:D1131)</f>
        <v>6.5628134744475624</v>
      </c>
      <c r="F1131" s="303"/>
      <c r="G1131" s="302">
        <v>4.9279270793159311</v>
      </c>
      <c r="H1131" s="302">
        <v>1.7799677442008348</v>
      </c>
      <c r="I1131" s="302">
        <v>0.93080732016169643</v>
      </c>
      <c r="J1131" s="302">
        <f>SUM(G1131:I1131)</f>
        <v>7.6387021436784615</v>
      </c>
      <c r="K1131" s="303"/>
      <c r="L1131" s="302">
        <v>5.5150775446555027</v>
      </c>
      <c r="M1131" s="302">
        <v>2.1666803664918244</v>
      </c>
      <c r="N1131" s="302">
        <v>1.0438394263218183</v>
      </c>
      <c r="O1131" s="302">
        <f>SUM(L1131:N1131)</f>
        <v>8.7255973374691465</v>
      </c>
    </row>
    <row r="1132" spans="1:15" s="236" customFormat="1" x14ac:dyDescent="0.2">
      <c r="A1132" s="237" t="str">
        <f>name!E$5</f>
        <v>Professional occupations</v>
      </c>
      <c r="B1132" s="302">
        <v>27.187411018399633</v>
      </c>
      <c r="C1132" s="302">
        <v>12.578514225270958</v>
      </c>
      <c r="D1132" s="302">
        <v>5.0781807935415522</v>
      </c>
      <c r="E1132" s="302">
        <f t="shared" ref="E1132:E1139" si="483">SUM(B1132:D1132)</f>
        <v>44.844106037212143</v>
      </c>
      <c r="F1132" s="303"/>
      <c r="G1132" s="302">
        <v>32.39221882627767</v>
      </c>
      <c r="H1132" s="302">
        <v>14.70774679004561</v>
      </c>
      <c r="I1132" s="302">
        <v>4.8027369155728632</v>
      </c>
      <c r="J1132" s="302">
        <f t="shared" ref="J1132:J1134" si="484">SUM(G1132:I1132)</f>
        <v>51.902702531896146</v>
      </c>
      <c r="K1132" s="303"/>
      <c r="L1132" s="302">
        <v>36.725905211029229</v>
      </c>
      <c r="M1132" s="302">
        <v>17.470224083184931</v>
      </c>
      <c r="N1132" s="302">
        <v>5.5905708263953198</v>
      </c>
      <c r="O1132" s="302">
        <f t="shared" ref="O1132:O1139" si="485">SUM(L1132:N1132)</f>
        <v>59.786700120609481</v>
      </c>
    </row>
    <row r="1133" spans="1:15" s="236" customFormat="1" x14ac:dyDescent="0.2">
      <c r="A1133" s="237" t="str">
        <f>name!E$6</f>
        <v>Associate professional occupations</v>
      </c>
      <c r="B1133" s="302">
        <v>11.297187689888824</v>
      </c>
      <c r="C1133" s="302">
        <v>6.8622821685659972</v>
      </c>
      <c r="D1133" s="302">
        <v>1.7321204695101995</v>
      </c>
      <c r="E1133" s="302">
        <f t="shared" si="483"/>
        <v>19.891590327965019</v>
      </c>
      <c r="F1133" s="303"/>
      <c r="G1133" s="302">
        <v>13.195063628990869</v>
      </c>
      <c r="H1133" s="302">
        <v>7.9834774615997812</v>
      </c>
      <c r="I1133" s="302">
        <v>1.330456156647738</v>
      </c>
      <c r="J1133" s="302">
        <f t="shared" si="484"/>
        <v>22.508997247238387</v>
      </c>
      <c r="K1133" s="303"/>
      <c r="L1133" s="302">
        <v>13.603582108979605</v>
      </c>
      <c r="M1133" s="302">
        <v>8.5469609283170485</v>
      </c>
      <c r="N1133" s="302">
        <v>1.7992326157621705</v>
      </c>
      <c r="O1133" s="302">
        <f t="shared" si="485"/>
        <v>23.949775653058825</v>
      </c>
    </row>
    <row r="1134" spans="1:15" s="236" customFormat="1" x14ac:dyDescent="0.2">
      <c r="A1134" s="237" t="str">
        <f>name!E$7</f>
        <v>Administrative and secretarial occupations</v>
      </c>
      <c r="B1134" s="302">
        <v>5.9353047543957693</v>
      </c>
      <c r="C1134" s="302">
        <v>7.161550820849361</v>
      </c>
      <c r="D1134" s="302">
        <v>0.41536850602405462</v>
      </c>
      <c r="E1134" s="302">
        <f t="shared" si="483"/>
        <v>13.512224081269185</v>
      </c>
      <c r="F1134" s="303"/>
      <c r="G1134" s="302">
        <v>5.7355254442794914</v>
      </c>
      <c r="H1134" s="302">
        <v>6.4458071318375039</v>
      </c>
      <c r="I1134" s="302">
        <v>0.26371427084132565</v>
      </c>
      <c r="J1134" s="302">
        <f t="shared" si="484"/>
        <v>12.445046846958322</v>
      </c>
      <c r="K1134" s="303"/>
      <c r="L1134" s="302">
        <v>4.4859594238099127</v>
      </c>
      <c r="M1134" s="302">
        <v>2.8102833588325002</v>
      </c>
      <c r="N1134" s="302">
        <v>0.20894080298025167</v>
      </c>
      <c r="O1134" s="302">
        <f t="shared" si="485"/>
        <v>7.5051835856226639</v>
      </c>
    </row>
    <row r="1135" spans="1:15" s="236" customFormat="1" x14ac:dyDescent="0.2">
      <c r="A1135" s="237" t="str">
        <f>name!E$8</f>
        <v>Skilled trades occupations</v>
      </c>
      <c r="B1135" s="302">
        <v>0.78671402003083157</v>
      </c>
      <c r="C1135" s="302">
        <v>0.75190745700481765</v>
      </c>
      <c r="D1135" s="302">
        <v>0.31822041350231456</v>
      </c>
      <c r="E1135" s="302">
        <f t="shared" si="483"/>
        <v>1.8568418905379638</v>
      </c>
      <c r="F1135" s="303"/>
      <c r="G1135" s="302">
        <v>0.62873208920899992</v>
      </c>
      <c r="H1135" s="302">
        <v>0.56674937756936528</v>
      </c>
      <c r="I1135" s="302">
        <v>0.27388674681624631</v>
      </c>
      <c r="J1135" s="302">
        <f>SUM(G1135:I1135)</f>
        <v>1.4693682135946116</v>
      </c>
      <c r="K1135" s="303"/>
      <c r="L1135" s="302">
        <v>0.33771809458350377</v>
      </c>
      <c r="M1135" s="302">
        <v>0.38962844701328186</v>
      </c>
      <c r="N1135" s="302">
        <v>0.34654317946120999</v>
      </c>
      <c r="O1135" s="302">
        <f t="shared" si="485"/>
        <v>1.0738897210579956</v>
      </c>
    </row>
    <row r="1136" spans="1:15" s="236" customFormat="1" x14ac:dyDescent="0.2">
      <c r="A1136" s="237" t="str">
        <f>name!E$9</f>
        <v>Caring, leisure and other service occupations</v>
      </c>
      <c r="B1136" s="302">
        <v>34.33386203138226</v>
      </c>
      <c r="C1136" s="302">
        <v>29.057190420109496</v>
      </c>
      <c r="D1136" s="302">
        <v>3.2080519291844274</v>
      </c>
      <c r="E1136" s="302">
        <f t="shared" si="483"/>
        <v>66.599104380676181</v>
      </c>
      <c r="F1136" s="303"/>
      <c r="G1136" s="302">
        <v>35.460396846095293</v>
      </c>
      <c r="H1136" s="302">
        <v>27.9875302046343</v>
      </c>
      <c r="I1136" s="302">
        <v>3.0221425458177267</v>
      </c>
      <c r="J1136" s="302">
        <f t="shared" ref="J1136:J1139" si="486">SUM(G1136:I1136)</f>
        <v>66.470069596547319</v>
      </c>
      <c r="K1136" s="303"/>
      <c r="L1136" s="302">
        <v>42.377424659258295</v>
      </c>
      <c r="M1136" s="302">
        <v>31.748290366141507</v>
      </c>
      <c r="N1136" s="302">
        <v>3.6524038277066473</v>
      </c>
      <c r="O1136" s="302">
        <f t="shared" si="485"/>
        <v>77.778118853106449</v>
      </c>
    </row>
    <row r="1137" spans="1:15" s="236" customFormat="1" x14ac:dyDescent="0.2">
      <c r="A1137" s="237" t="str">
        <f>name!E$10</f>
        <v>Sales and customer service occupations</v>
      </c>
      <c r="B1137" s="302">
        <v>0.92604799379849445</v>
      </c>
      <c r="C1137" s="302">
        <v>0.88553951745954795</v>
      </c>
      <c r="D1137" s="302">
        <v>0.16990973234653012</v>
      </c>
      <c r="E1137" s="302">
        <f t="shared" si="483"/>
        <v>1.9814972436045726</v>
      </c>
      <c r="F1137" s="303"/>
      <c r="G1137" s="302">
        <v>0.8985584316305224</v>
      </c>
      <c r="H1137" s="302">
        <v>0.81238717371606772</v>
      </c>
      <c r="I1137" s="302">
        <v>9.7950018671961292E-2</v>
      </c>
      <c r="J1137" s="302">
        <f t="shared" si="486"/>
        <v>1.8088956240185514</v>
      </c>
      <c r="K1137" s="303"/>
      <c r="L1137" s="302">
        <v>0.91875770335294071</v>
      </c>
      <c r="M1137" s="302">
        <v>0.8709176403653901</v>
      </c>
      <c r="N1137" s="302">
        <v>0.13299409694496497</v>
      </c>
      <c r="O1137" s="302">
        <f t="shared" si="485"/>
        <v>1.9226694406632958</v>
      </c>
    </row>
    <row r="1138" spans="1:15" s="236" customFormat="1" x14ac:dyDescent="0.2">
      <c r="A1138" s="237" t="str">
        <f>name!E$11</f>
        <v>Process, plant and machine operatives</v>
      </c>
      <c r="B1138" s="302">
        <v>0.26483455855777349</v>
      </c>
      <c r="C1138" s="302">
        <v>0.50945960585451588</v>
      </c>
      <c r="D1138" s="302">
        <v>4.2735494901820173E-2</v>
      </c>
      <c r="E1138" s="302">
        <f t="shared" si="483"/>
        <v>0.81702965931410954</v>
      </c>
      <c r="F1138" s="303"/>
      <c r="G1138" s="302">
        <v>0.20873771444209746</v>
      </c>
      <c r="H1138" s="302">
        <v>0.43459990413871491</v>
      </c>
      <c r="I1138" s="302">
        <v>3.758926083768506E-2</v>
      </c>
      <c r="J1138" s="302">
        <f t="shared" si="486"/>
        <v>0.6809268794184975</v>
      </c>
      <c r="K1138" s="303"/>
      <c r="L1138" s="302">
        <v>8.8761385138643567E-2</v>
      </c>
      <c r="M1138" s="302">
        <v>0.29232219397724279</v>
      </c>
      <c r="N1138" s="302">
        <v>2.4336074251945498E-2</v>
      </c>
      <c r="O1138" s="302">
        <f t="shared" si="485"/>
        <v>0.40541965336783187</v>
      </c>
    </row>
    <row r="1139" spans="1:15" s="236" customFormat="1" x14ac:dyDescent="0.2">
      <c r="A1139" s="237" t="str">
        <f>name!E$12</f>
        <v>Elementary occupations</v>
      </c>
      <c r="B1139" s="302">
        <v>0.95687887302899699</v>
      </c>
      <c r="C1139" s="302">
        <v>3.6358528461862756</v>
      </c>
      <c r="D1139" s="302">
        <v>8.3061183777389039E-2</v>
      </c>
      <c r="E1139" s="302">
        <f t="shared" si="483"/>
        <v>4.6757929029926615</v>
      </c>
      <c r="F1139" s="303"/>
      <c r="G1139" s="302">
        <v>0.85783993890210475</v>
      </c>
      <c r="H1139" s="302">
        <v>2.7287342113147441</v>
      </c>
      <c r="I1139" s="302">
        <v>4.4716765115666295E-2</v>
      </c>
      <c r="J1139" s="302">
        <f t="shared" si="486"/>
        <v>3.631290915332515</v>
      </c>
      <c r="K1139" s="303"/>
      <c r="L1139" s="302">
        <v>0.43181386897571999</v>
      </c>
      <c r="M1139" s="302">
        <v>1.911692615540926</v>
      </c>
      <c r="N1139" s="302">
        <v>2.1139150383417998E-2</v>
      </c>
      <c r="O1139" s="302">
        <f t="shared" si="485"/>
        <v>2.364645634900064</v>
      </c>
    </row>
    <row r="1140" spans="1:15" s="236" customFormat="1" x14ac:dyDescent="0.2">
      <c r="A1140" s="237"/>
      <c r="B1140" s="302"/>
      <c r="C1140" s="302"/>
      <c r="D1140" s="302"/>
      <c r="E1140" s="302"/>
      <c r="F1140" s="303"/>
      <c r="G1140" s="302"/>
      <c r="H1140" s="302"/>
      <c r="I1140" s="302"/>
      <c r="J1140" s="302"/>
      <c r="K1140" s="303"/>
      <c r="L1140" s="302"/>
      <c r="M1140" s="302"/>
      <c r="N1140" s="302"/>
      <c r="O1140" s="302"/>
    </row>
    <row r="1141" spans="1:15" s="236" customFormat="1" x14ac:dyDescent="0.2">
      <c r="A1141" s="244" t="s">
        <v>32</v>
      </c>
      <c r="B1141" s="311">
        <f>SUM(B1131:B1139)</f>
        <v>86.038999999527803</v>
      </c>
      <c r="C1141" s="311">
        <f t="shared" ref="C1141:E1141" si="487">SUM(C1131:C1139)</f>
        <v>62.73999999877541</v>
      </c>
      <c r="D1141" s="311">
        <f t="shared" si="487"/>
        <v>11.961999999716189</v>
      </c>
      <c r="E1141" s="311">
        <f t="shared" si="487"/>
        <v>160.74099999801939</v>
      </c>
      <c r="F1141" s="311"/>
      <c r="G1141" s="311">
        <f t="shared" ref="G1141:J1141" si="488">SUM(G1131:G1139)</f>
        <v>94.304999999142979</v>
      </c>
      <c r="H1141" s="311">
        <f t="shared" si="488"/>
        <v>63.446999999056928</v>
      </c>
      <c r="I1141" s="311">
        <f t="shared" si="488"/>
        <v>10.804000000482906</v>
      </c>
      <c r="J1141" s="311">
        <f t="shared" si="488"/>
        <v>168.55599999868284</v>
      </c>
      <c r="K1141" s="311"/>
      <c r="L1141" s="311">
        <f t="shared" ref="L1141:O1141" si="489">SUM(L1131:L1139)</f>
        <v>104.48499999978334</v>
      </c>
      <c r="M1141" s="311">
        <f t="shared" si="489"/>
        <v>66.206999999864649</v>
      </c>
      <c r="N1141" s="311">
        <f t="shared" si="489"/>
        <v>12.820000000207745</v>
      </c>
      <c r="O1141" s="311">
        <f t="shared" si="489"/>
        <v>183.51199999985573</v>
      </c>
    </row>
    <row r="1142" spans="1:15" s="236" customFormat="1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37"/>
      <c r="M1142" s="237"/>
      <c r="N1142" s="240"/>
    </row>
    <row r="1143" spans="1:15" s="236" customFormat="1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37"/>
      <c r="M1143" s="237"/>
      <c r="N1143" s="240"/>
      <c r="O1143" s="251" t="s">
        <v>35</v>
      </c>
    </row>
    <row r="1144" spans="1:15" s="236" customFormat="1" x14ac:dyDescent="0.2">
      <c r="A1144" s="242"/>
      <c r="B1144" s="242"/>
      <c r="C1144" s="242"/>
      <c r="D1144" s="242"/>
      <c r="E1144" s="242"/>
      <c r="F1144" s="242"/>
      <c r="G1144" s="242"/>
      <c r="H1144" s="242"/>
      <c r="I1144" s="242"/>
      <c r="J1144" s="242"/>
      <c r="K1144" s="242"/>
      <c r="L1144" s="242"/>
      <c r="M1144" s="242"/>
      <c r="N1144" s="242"/>
      <c r="O1144" s="242"/>
    </row>
    <row r="1145" spans="1:15" s="236" customFormat="1" x14ac:dyDescent="0.2">
      <c r="A1145" s="241" t="str">
        <f>name!A70</f>
        <v>Residential care</v>
      </c>
      <c r="B1145" s="374">
        <f>$B$6</f>
        <v>2015</v>
      </c>
      <c r="C1145" s="374"/>
      <c r="D1145" s="374"/>
      <c r="E1145" s="374"/>
      <c r="F1145" s="263"/>
      <c r="G1145" s="374">
        <f>$G$6</f>
        <v>2020</v>
      </c>
      <c r="H1145" s="374"/>
      <c r="I1145" s="374"/>
      <c r="J1145" s="374"/>
      <c r="K1145" s="263"/>
      <c r="L1145" s="374">
        <f>$L$6</f>
        <v>2035</v>
      </c>
      <c r="M1145" s="374"/>
      <c r="N1145" s="374"/>
      <c r="O1145" s="374"/>
    </row>
    <row r="1146" spans="1:15" s="236" customFormat="1" x14ac:dyDescent="0.2">
      <c r="A1146" s="254"/>
      <c r="B1146" s="268" t="str">
        <f>$B$7</f>
        <v>FT</v>
      </c>
      <c r="C1146" s="268" t="str">
        <f>$C$7</f>
        <v>PT</v>
      </c>
      <c r="D1146" s="268" t="str">
        <f>$D$7</f>
        <v>SE</v>
      </c>
      <c r="E1146" s="268" t="str">
        <f>$E$7</f>
        <v>Total</v>
      </c>
      <c r="F1146" s="268"/>
      <c r="G1146" s="268" t="str">
        <f>$G$7</f>
        <v>FT</v>
      </c>
      <c r="H1146" s="268" t="str">
        <f>$H$7</f>
        <v>PT</v>
      </c>
      <c r="I1146" s="268" t="str">
        <f>$I$7</f>
        <v>SE</v>
      </c>
      <c r="J1146" s="268" t="str">
        <f>$J$7</f>
        <v>Total</v>
      </c>
      <c r="K1146" s="268"/>
      <c r="L1146" s="268" t="str">
        <f>$L$7</f>
        <v>FT</v>
      </c>
      <c r="M1146" s="268" t="str">
        <f>$M$7</f>
        <v>PT</v>
      </c>
      <c r="N1146" s="268" t="str">
        <f>$N$7</f>
        <v>SE</v>
      </c>
      <c r="O1146" s="268" t="str">
        <f>$O$7</f>
        <v>Total</v>
      </c>
    </row>
    <row r="1147" spans="1:15" s="236" customFormat="1" x14ac:dyDescent="0.2">
      <c r="A1147" s="258"/>
      <c r="B1147" s="239"/>
      <c r="C1147" s="239"/>
      <c r="D1147" s="239"/>
      <c r="E1147" s="239"/>
      <c r="F1147" s="239"/>
      <c r="G1147" s="239"/>
      <c r="H1147" s="239"/>
      <c r="I1147" s="239"/>
      <c r="J1147" s="239"/>
      <c r="K1147" s="239"/>
      <c r="L1147" s="239"/>
      <c r="M1147" s="239"/>
      <c r="N1147" s="239"/>
      <c r="O1147" s="239"/>
    </row>
    <row r="1148" spans="1:15" s="236" customFormat="1" x14ac:dyDescent="0.2">
      <c r="A1148" s="237" t="str">
        <f>name!E$4</f>
        <v>Managers, directors and senior officials</v>
      </c>
      <c r="B1148" s="302">
        <v>1.2783949293796324</v>
      </c>
      <c r="C1148" s="302">
        <v>0.48492219051681412</v>
      </c>
      <c r="D1148" s="302">
        <v>0.28062031492744061</v>
      </c>
      <c r="E1148" s="302">
        <f>SUM(B1148:D1148)</f>
        <v>2.0439374348238872</v>
      </c>
      <c r="F1148" s="303"/>
      <c r="G1148" s="302">
        <v>1.4136897437410114</v>
      </c>
      <c r="H1148" s="302">
        <v>0.51212719817704722</v>
      </c>
      <c r="I1148" s="302">
        <v>0.22311188988043523</v>
      </c>
      <c r="J1148" s="302">
        <f>SUM(G1148:I1148)</f>
        <v>2.1489288317984938</v>
      </c>
      <c r="K1148" s="303"/>
      <c r="L1148" s="302">
        <v>1.9099947518393809</v>
      </c>
      <c r="M1148" s="302">
        <v>0.59603460007222386</v>
      </c>
      <c r="N1148" s="302">
        <v>0.30023465035636576</v>
      </c>
      <c r="O1148" s="302">
        <f>SUM(L1148:N1148)</f>
        <v>2.8062640022679703</v>
      </c>
    </row>
    <row r="1149" spans="1:15" s="236" customFormat="1" x14ac:dyDescent="0.2">
      <c r="A1149" s="237" t="str">
        <f>name!E$5</f>
        <v>Professional occupations</v>
      </c>
      <c r="B1149" s="302">
        <v>8.0023384208571873</v>
      </c>
      <c r="C1149" s="302">
        <v>4.3991646177738106</v>
      </c>
      <c r="D1149" s="302">
        <v>1.4812736396316917</v>
      </c>
      <c r="E1149" s="302">
        <f t="shared" ref="E1149:E1156" si="490">SUM(B1149:D1149)</f>
        <v>13.88277667826269</v>
      </c>
      <c r="F1149" s="303"/>
      <c r="G1149" s="302">
        <v>9.3236828017895874</v>
      </c>
      <c r="H1149" s="302">
        <v>4.0830725582177383</v>
      </c>
      <c r="I1149" s="302">
        <v>1.4036795862985447</v>
      </c>
      <c r="J1149" s="302">
        <f t="shared" ref="J1149:J1151" si="491">SUM(G1149:I1149)</f>
        <v>14.81043494630587</v>
      </c>
      <c r="K1149" s="303"/>
      <c r="L1149" s="302">
        <v>12.75975253463025</v>
      </c>
      <c r="M1149" s="302">
        <v>4.7325040580063051</v>
      </c>
      <c r="N1149" s="302">
        <v>1.8357314234796658</v>
      </c>
      <c r="O1149" s="302">
        <f t="shared" ref="O1149:O1156" si="492">SUM(L1149:N1149)</f>
        <v>19.327988016116219</v>
      </c>
    </row>
    <row r="1150" spans="1:15" s="236" customFormat="1" x14ac:dyDescent="0.2">
      <c r="A1150" s="237" t="str">
        <f>name!E$6</f>
        <v>Associate professional occupations</v>
      </c>
      <c r="B1150" s="302">
        <v>3.3231337167858075</v>
      </c>
      <c r="C1150" s="302">
        <v>2.4442617912126958</v>
      </c>
      <c r="D1150" s="302">
        <v>0.66497811658927575</v>
      </c>
      <c r="E1150" s="302">
        <f t="shared" si="490"/>
        <v>6.4323736245877789</v>
      </c>
      <c r="F1150" s="303"/>
      <c r="G1150" s="302">
        <v>3.7976357124204654</v>
      </c>
      <c r="H1150" s="302">
        <v>2.2372536862424957</v>
      </c>
      <c r="I1150" s="302">
        <v>0.49812462857183532</v>
      </c>
      <c r="J1150" s="302">
        <f t="shared" si="491"/>
        <v>6.5330140272347963</v>
      </c>
      <c r="K1150" s="303"/>
      <c r="L1150" s="302">
        <v>4.7580778264824719</v>
      </c>
      <c r="M1150" s="302">
        <v>2.3354106075202292</v>
      </c>
      <c r="N1150" s="302">
        <v>0.68163528318183408</v>
      </c>
      <c r="O1150" s="302">
        <f t="shared" si="492"/>
        <v>7.7751237171845355</v>
      </c>
    </row>
    <row r="1151" spans="1:15" s="236" customFormat="1" x14ac:dyDescent="0.2">
      <c r="A1151" s="237" t="str">
        <f>name!E$7</f>
        <v>Administrative and secretarial occupations</v>
      </c>
      <c r="B1151" s="302">
        <v>1.7518076090940577</v>
      </c>
      <c r="C1151" s="302">
        <v>2.5305507780128744</v>
      </c>
      <c r="D1151" s="302">
        <v>0.17430727959990303</v>
      </c>
      <c r="E1151" s="302">
        <f t="shared" si="490"/>
        <v>4.4566656667068347</v>
      </c>
      <c r="F1151" s="303"/>
      <c r="G1151" s="302">
        <v>1.6865282447206746</v>
      </c>
      <c r="H1151" s="302">
        <v>1.7814936094656686</v>
      </c>
      <c r="I1151" s="302">
        <v>9.8679193504821697E-2</v>
      </c>
      <c r="J1151" s="302">
        <f t="shared" si="491"/>
        <v>3.5667010476911649</v>
      </c>
      <c r="K1151" s="303"/>
      <c r="L1151" s="302">
        <v>1.6052918783015218</v>
      </c>
      <c r="M1151" s="302">
        <v>0.82527503353877107</v>
      </c>
      <c r="N1151" s="302">
        <v>7.212530209818041E-2</v>
      </c>
      <c r="O1151" s="302">
        <f t="shared" si="492"/>
        <v>2.5026922139384733</v>
      </c>
    </row>
    <row r="1152" spans="1:15" s="236" customFormat="1" x14ac:dyDescent="0.2">
      <c r="A1152" s="237" t="str">
        <f>name!E$8</f>
        <v>Skilled trades occupations</v>
      </c>
      <c r="B1152" s="302">
        <v>0.22993301715944339</v>
      </c>
      <c r="C1152" s="302">
        <v>0.2932603838180563</v>
      </c>
      <c r="D1152" s="302">
        <v>7.1715569031392049E-2</v>
      </c>
      <c r="E1152" s="302">
        <f t="shared" si="490"/>
        <v>0.59490897000889176</v>
      </c>
      <c r="F1152" s="303"/>
      <c r="G1152" s="302">
        <v>0.17329014826340863</v>
      </c>
      <c r="H1152" s="302">
        <v>0.16634933153198786</v>
      </c>
      <c r="I1152" s="302">
        <v>5.0615020029206488E-2</v>
      </c>
      <c r="J1152" s="302">
        <f>SUM(G1152:I1152)</f>
        <v>0.39025449982460297</v>
      </c>
      <c r="K1152" s="303"/>
      <c r="L1152" s="302">
        <v>0.10909059815027071</v>
      </c>
      <c r="M1152" s="302">
        <v>0.11423166293616031</v>
      </c>
      <c r="N1152" s="302">
        <v>8.8276996588407736E-2</v>
      </c>
      <c r="O1152" s="302">
        <f t="shared" si="492"/>
        <v>0.31159925767483876</v>
      </c>
    </row>
    <row r="1153" spans="1:15" s="236" customFormat="1" x14ac:dyDescent="0.2">
      <c r="A1153" s="237" t="str">
        <f>name!E$9</f>
        <v>Caring, leisure and other service occupations</v>
      </c>
      <c r="B1153" s="302">
        <v>10.114724108501854</v>
      </c>
      <c r="C1153" s="302">
        <v>10.163862319650391</v>
      </c>
      <c r="D1153" s="302">
        <v>1.4160757250110796</v>
      </c>
      <c r="E1153" s="302">
        <f t="shared" si="490"/>
        <v>21.694662153163325</v>
      </c>
      <c r="F1153" s="303"/>
      <c r="G1153" s="302">
        <v>10.30738490958254</v>
      </c>
      <c r="H1153" s="302">
        <v>7.7295067188104065</v>
      </c>
      <c r="I1153" s="302">
        <v>1.269775008702438</v>
      </c>
      <c r="J1153" s="302">
        <f t="shared" ref="J1153:J1156" si="493">SUM(G1153:I1153)</f>
        <v>19.306666637095386</v>
      </c>
      <c r="K1153" s="303"/>
      <c r="L1153" s="302">
        <v>14.62731730087174</v>
      </c>
      <c r="M1153" s="302">
        <v>8.6896068292328437</v>
      </c>
      <c r="N1153" s="302">
        <v>1.4646997380889009</v>
      </c>
      <c r="O1153" s="302">
        <f t="shared" si="492"/>
        <v>24.781623868193481</v>
      </c>
    </row>
    <row r="1154" spans="1:15" s="236" customFormat="1" x14ac:dyDescent="0.2">
      <c r="A1154" s="237" t="str">
        <f>name!E$10</f>
        <v>Sales and customer service occupations</v>
      </c>
      <c r="B1154" s="302">
        <v>0.27297867984225849</v>
      </c>
      <c r="C1154" s="302">
        <v>0.3313709336047001</v>
      </c>
      <c r="D1154" s="302">
        <v>6.310497835383265E-2</v>
      </c>
      <c r="E1154" s="302">
        <f t="shared" si="490"/>
        <v>0.66745459180079125</v>
      </c>
      <c r="F1154" s="303"/>
      <c r="G1154" s="302">
        <v>0.26243219437458948</v>
      </c>
      <c r="H1154" s="302">
        <v>0.2329260581843188</v>
      </c>
      <c r="I1154" s="302">
        <v>2.9351122002061265E-2</v>
      </c>
      <c r="J1154" s="302">
        <f t="shared" si="493"/>
        <v>0.52470937456096955</v>
      </c>
      <c r="K1154" s="303"/>
      <c r="L1154" s="302">
        <v>0.32705923931632092</v>
      </c>
      <c r="M1154" s="302">
        <v>0.2457909985212261</v>
      </c>
      <c r="N1154" s="302">
        <v>4.8066845970768504E-2</v>
      </c>
      <c r="O1154" s="302">
        <f t="shared" si="492"/>
        <v>0.62091708380831556</v>
      </c>
    </row>
    <row r="1155" spans="1:15" s="236" customFormat="1" x14ac:dyDescent="0.2">
      <c r="A1155" s="237" t="str">
        <f>name!E$11</f>
        <v>Process, plant and machine operatives</v>
      </c>
      <c r="B1155" s="302">
        <v>7.8086606631393801E-2</v>
      </c>
      <c r="C1155" s="302">
        <v>0.2327198204059279</v>
      </c>
      <c r="D1155" s="302">
        <v>7.3387380111240765E-3</v>
      </c>
      <c r="E1155" s="302">
        <f t="shared" si="490"/>
        <v>0.31814516504844575</v>
      </c>
      <c r="F1155" s="303"/>
      <c r="G1155" s="302">
        <v>6.0921516859036413E-2</v>
      </c>
      <c r="H1155" s="302">
        <v>0.1521240122453161</v>
      </c>
      <c r="I1155" s="302">
        <v>4.3368816271460008E-3</v>
      </c>
      <c r="J1155" s="302">
        <f t="shared" si="493"/>
        <v>0.2173824107314985</v>
      </c>
      <c r="K1155" s="303"/>
      <c r="L1155" s="302">
        <v>3.1727858688074422E-2</v>
      </c>
      <c r="M1155" s="302">
        <v>0.10470747164718046</v>
      </c>
      <c r="N1155" s="302">
        <v>3.0273888092246432E-3</v>
      </c>
      <c r="O1155" s="302">
        <f t="shared" si="492"/>
        <v>0.13946271914447952</v>
      </c>
    </row>
    <row r="1156" spans="1:15" s="236" customFormat="1" x14ac:dyDescent="0.2">
      <c r="A1156" s="237" t="str">
        <f>name!E$12</f>
        <v>Elementary occupations</v>
      </c>
      <c r="B1156" s="302">
        <v>0.27960291160619777</v>
      </c>
      <c r="C1156" s="302">
        <v>1.4108871645955143</v>
      </c>
      <c r="D1156" s="302">
        <v>2.8585638571841498E-2</v>
      </c>
      <c r="E1156" s="302">
        <f t="shared" si="490"/>
        <v>1.7190757147735536</v>
      </c>
      <c r="F1156" s="303"/>
      <c r="G1156" s="302">
        <v>0.23343472800860141</v>
      </c>
      <c r="H1156" s="302">
        <v>0.81014682688204709</v>
      </c>
      <c r="I1156" s="302">
        <v>1.1326669585401777E-2</v>
      </c>
      <c r="J1156" s="302">
        <f t="shared" si="493"/>
        <v>1.0549082244760501</v>
      </c>
      <c r="K1156" s="303"/>
      <c r="L1156" s="302">
        <v>0.12468801166610971</v>
      </c>
      <c r="M1156" s="302">
        <v>0.56843873848878634</v>
      </c>
      <c r="N1156" s="302">
        <v>3.2023714579937431E-3</v>
      </c>
      <c r="O1156" s="302">
        <f t="shared" si="492"/>
        <v>0.69632912161288985</v>
      </c>
    </row>
    <row r="1157" spans="1:15" s="236" customFormat="1" x14ac:dyDescent="0.2">
      <c r="A1157" s="237"/>
      <c r="B1157" s="302"/>
      <c r="C1157" s="302"/>
      <c r="D1157" s="302"/>
      <c r="E1157" s="302"/>
      <c r="F1157" s="303"/>
      <c r="G1157" s="302"/>
      <c r="H1157" s="302"/>
      <c r="I1157" s="302"/>
      <c r="J1157" s="302"/>
      <c r="K1157" s="303"/>
      <c r="L1157" s="302"/>
      <c r="M1157" s="302"/>
      <c r="N1157" s="302"/>
      <c r="O1157" s="302"/>
    </row>
    <row r="1158" spans="1:15" s="236" customFormat="1" x14ac:dyDescent="0.2">
      <c r="A1158" s="244" t="s">
        <v>32</v>
      </c>
      <c r="B1158" s="311">
        <f>SUM(B1148:B1156)</f>
        <v>25.330999999857831</v>
      </c>
      <c r="C1158" s="311">
        <f t="shared" ref="C1158:E1158" si="494">SUM(C1148:C1156)</f>
        <v>22.290999999590788</v>
      </c>
      <c r="D1158" s="311">
        <f t="shared" si="494"/>
        <v>4.1879999997275803</v>
      </c>
      <c r="E1158" s="311">
        <f t="shared" si="494"/>
        <v>51.809999999176199</v>
      </c>
      <c r="F1158" s="311"/>
      <c r="G1158" s="311">
        <f t="shared" ref="G1158:J1158" si="495">SUM(G1148:G1156)</f>
        <v>27.258999999759915</v>
      </c>
      <c r="H1158" s="311">
        <f t="shared" si="495"/>
        <v>17.704999999757028</v>
      </c>
      <c r="I1158" s="311">
        <f t="shared" si="495"/>
        <v>3.5890000002018905</v>
      </c>
      <c r="J1158" s="311">
        <f t="shared" si="495"/>
        <v>48.552999999718828</v>
      </c>
      <c r="K1158" s="311"/>
      <c r="L1158" s="311">
        <f t="shared" ref="L1158:O1158" si="496">SUM(L1148:L1156)</f>
        <v>36.252999999946134</v>
      </c>
      <c r="M1158" s="311">
        <f t="shared" si="496"/>
        <v>18.211999999963727</v>
      </c>
      <c r="N1158" s="311">
        <f t="shared" si="496"/>
        <v>4.497000000031341</v>
      </c>
      <c r="O1158" s="311">
        <f t="shared" si="496"/>
        <v>58.961999999941199</v>
      </c>
    </row>
    <row r="1159" spans="1:15" s="236" customFormat="1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37"/>
      <c r="M1159" s="237"/>
      <c r="N1159" s="240"/>
    </row>
    <row r="1160" spans="1:15" s="236" customFormat="1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37"/>
      <c r="M1160" s="237"/>
      <c r="N1160" s="240"/>
      <c r="O1160" s="251" t="s">
        <v>35</v>
      </c>
    </row>
    <row r="1161" spans="1:15" s="236" customFormat="1" x14ac:dyDescent="0.2">
      <c r="A1161" s="242"/>
      <c r="B1161" s="242"/>
      <c r="C1161" s="242"/>
      <c r="D1161" s="242"/>
      <c r="E1161" s="242"/>
      <c r="F1161" s="242"/>
      <c r="G1161" s="242"/>
      <c r="H1161" s="242"/>
      <c r="I1161" s="242"/>
      <c r="J1161" s="242"/>
      <c r="K1161" s="242"/>
      <c r="L1161" s="242"/>
      <c r="M1161" s="242"/>
      <c r="N1161" s="242"/>
      <c r="O1161" s="242"/>
    </row>
    <row r="1162" spans="1:15" s="236" customFormat="1" x14ac:dyDescent="0.2">
      <c r="A1162" s="241" t="str">
        <f>name!A71</f>
        <v>Social work</v>
      </c>
      <c r="B1162" s="374">
        <f>$B$6</f>
        <v>2015</v>
      </c>
      <c r="C1162" s="374"/>
      <c r="D1162" s="374"/>
      <c r="E1162" s="374"/>
      <c r="F1162" s="263"/>
      <c r="G1162" s="374">
        <f>$G$6</f>
        <v>2020</v>
      </c>
      <c r="H1162" s="374"/>
      <c r="I1162" s="374"/>
      <c r="J1162" s="374"/>
      <c r="K1162" s="263"/>
      <c r="L1162" s="374">
        <f>$L$6</f>
        <v>2035</v>
      </c>
      <c r="M1162" s="374"/>
      <c r="N1162" s="374"/>
      <c r="O1162" s="374"/>
    </row>
    <row r="1163" spans="1:15" s="236" customFormat="1" x14ac:dyDescent="0.2">
      <c r="A1163" s="254"/>
      <c r="B1163" s="268" t="str">
        <f>$B$7</f>
        <v>FT</v>
      </c>
      <c r="C1163" s="268" t="str">
        <f>$C$7</f>
        <v>PT</v>
      </c>
      <c r="D1163" s="268" t="str">
        <f>$D$7</f>
        <v>SE</v>
      </c>
      <c r="E1163" s="268" t="str">
        <f>$E$7</f>
        <v>Total</v>
      </c>
      <c r="F1163" s="268"/>
      <c r="G1163" s="268" t="str">
        <f>$G$7</f>
        <v>FT</v>
      </c>
      <c r="H1163" s="268" t="str">
        <f>$H$7</f>
        <v>PT</v>
      </c>
      <c r="I1163" s="268" t="str">
        <f>$I$7</f>
        <v>SE</v>
      </c>
      <c r="J1163" s="268" t="str">
        <f>$J$7</f>
        <v>Total</v>
      </c>
      <c r="K1163" s="268"/>
      <c r="L1163" s="268" t="str">
        <f>$L$7</f>
        <v>FT</v>
      </c>
      <c r="M1163" s="268" t="str">
        <f>$M$7</f>
        <v>PT</v>
      </c>
      <c r="N1163" s="268" t="str">
        <f>$N$7</f>
        <v>SE</v>
      </c>
      <c r="O1163" s="268" t="str">
        <f>$O$7</f>
        <v>Total</v>
      </c>
    </row>
    <row r="1164" spans="1:15" s="236" customFormat="1" x14ac:dyDescent="0.2">
      <c r="A1164" s="258"/>
      <c r="B1164" s="239"/>
      <c r="C1164" s="239"/>
      <c r="D1164" s="239"/>
      <c r="E1164" s="239"/>
      <c r="F1164" s="239"/>
      <c r="G1164" s="239"/>
      <c r="H1164" s="239"/>
      <c r="I1164" s="239"/>
      <c r="J1164" s="239"/>
      <c r="K1164" s="239"/>
      <c r="L1164" s="239"/>
      <c r="M1164" s="239"/>
      <c r="N1164" s="239"/>
      <c r="O1164" s="239"/>
    </row>
    <row r="1165" spans="1:15" s="236" customFormat="1" x14ac:dyDescent="0.2">
      <c r="A1165" s="237" t="str">
        <f>name!E$4</f>
        <v>Managers, directors and senior officials</v>
      </c>
      <c r="B1165" s="302">
        <v>1.3621233241819222</v>
      </c>
      <c r="C1165" s="302">
        <v>0.61409170772829902</v>
      </c>
      <c r="D1165" s="302">
        <v>0.30278573791098212</v>
      </c>
      <c r="E1165" s="302">
        <f>SUM(B1165:D1165)</f>
        <v>2.2790007698212031</v>
      </c>
      <c r="F1165" s="303"/>
      <c r="G1165" s="302">
        <v>1.4515151413110081</v>
      </c>
      <c r="H1165" s="302">
        <v>0.80895798280353093</v>
      </c>
      <c r="I1165" s="302">
        <v>0.25654798651433941</v>
      </c>
      <c r="J1165" s="302">
        <f>SUM(G1165:I1165)</f>
        <v>2.5170211106288787</v>
      </c>
      <c r="K1165" s="303"/>
      <c r="L1165" s="302">
        <v>1.9903226754431185</v>
      </c>
      <c r="M1165" s="302">
        <v>0.95165652771689335</v>
      </c>
      <c r="N1165" s="302">
        <v>0.34221676136553186</v>
      </c>
      <c r="O1165" s="302">
        <f>SUM(L1165:N1165)</f>
        <v>3.2841959645255439</v>
      </c>
    </row>
    <row r="1166" spans="1:15" s="236" customFormat="1" x14ac:dyDescent="0.2">
      <c r="A1166" s="237" t="str">
        <f>name!E$5</f>
        <v>Professional occupations</v>
      </c>
      <c r="B1166" s="302">
        <v>8.695447868908337</v>
      </c>
      <c r="C1166" s="302">
        <v>5.7843471294813975</v>
      </c>
      <c r="D1166" s="302">
        <v>1.611250565429746</v>
      </c>
      <c r="E1166" s="302">
        <f t="shared" ref="E1166:E1173" si="497">SUM(B1166:D1166)</f>
        <v>16.091045563819481</v>
      </c>
      <c r="F1166" s="303"/>
      <c r="G1166" s="302">
        <v>9.6194590597706142</v>
      </c>
      <c r="H1166" s="302">
        <v>6.5888634255647949</v>
      </c>
      <c r="I1166" s="302">
        <v>1.5819880737236345</v>
      </c>
      <c r="J1166" s="302">
        <f t="shared" ref="J1166:J1168" si="498">SUM(G1166:I1166)</f>
        <v>17.790310559059044</v>
      </c>
      <c r="K1166" s="303"/>
      <c r="L1166" s="302">
        <v>13.331589783617796</v>
      </c>
      <c r="M1166" s="302">
        <v>7.6230295298708999</v>
      </c>
      <c r="N1166" s="302">
        <v>2.0587198418575259</v>
      </c>
      <c r="O1166" s="302">
        <f t="shared" ref="O1166:O1173" si="499">SUM(L1166:N1166)</f>
        <v>23.013339155346223</v>
      </c>
    </row>
    <row r="1167" spans="1:15" s="236" customFormat="1" x14ac:dyDescent="0.2">
      <c r="A1167" s="237" t="str">
        <f>name!E$6</f>
        <v>Associate professional occupations</v>
      </c>
      <c r="B1167" s="302">
        <v>3.5855302408782554</v>
      </c>
      <c r="C1167" s="302">
        <v>3.1803807749633517</v>
      </c>
      <c r="D1167" s="302">
        <v>0.69510072038431203</v>
      </c>
      <c r="E1167" s="302">
        <f t="shared" si="497"/>
        <v>7.4610117362259194</v>
      </c>
      <c r="F1167" s="303"/>
      <c r="G1167" s="302">
        <v>3.9175272125548561</v>
      </c>
      <c r="H1167" s="302">
        <v>3.5899368842077459</v>
      </c>
      <c r="I1167" s="302">
        <v>0.5500242010547689</v>
      </c>
      <c r="J1167" s="302">
        <f t="shared" si="498"/>
        <v>8.0574882978173719</v>
      </c>
      <c r="K1167" s="303"/>
      <c r="L1167" s="302">
        <v>4.9986643926995526</v>
      </c>
      <c r="M1167" s="302">
        <v>3.7432087754836592</v>
      </c>
      <c r="N1167" s="302">
        <v>0.75265918629707962</v>
      </c>
      <c r="O1167" s="302">
        <f t="shared" si="499"/>
        <v>9.4945323544802918</v>
      </c>
    </row>
    <row r="1168" spans="1:15" s="236" customFormat="1" x14ac:dyDescent="0.2">
      <c r="A1168" s="237" t="str">
        <f>name!E$7</f>
        <v>Administrative and secretarial occupations</v>
      </c>
      <c r="B1168" s="302">
        <v>1.9623927859977284</v>
      </c>
      <c r="C1168" s="302">
        <v>3.3077514064209761</v>
      </c>
      <c r="D1168" s="302">
        <v>0.18021016511641716</v>
      </c>
      <c r="E1168" s="302">
        <f t="shared" si="497"/>
        <v>5.4503543575351214</v>
      </c>
      <c r="F1168" s="303"/>
      <c r="G1168" s="302">
        <v>1.7926923025722243</v>
      </c>
      <c r="H1168" s="302">
        <v>2.8825209828554148</v>
      </c>
      <c r="I1168" s="302">
        <v>0.10896510674550895</v>
      </c>
      <c r="J1168" s="302">
        <f t="shared" si="498"/>
        <v>4.784178392173148</v>
      </c>
      <c r="K1168" s="303"/>
      <c r="L1168" s="302">
        <v>1.7174736899075833</v>
      </c>
      <c r="M1168" s="302">
        <v>1.2701077968680872</v>
      </c>
      <c r="N1168" s="302">
        <v>8.0430524173752752E-2</v>
      </c>
      <c r="O1168" s="302">
        <f t="shared" si="499"/>
        <v>3.0680120109494231</v>
      </c>
    </row>
    <row r="1169" spans="1:15" s="236" customFormat="1" x14ac:dyDescent="0.2">
      <c r="A1169" s="237" t="str">
        <f>name!E$8</f>
        <v>Skilled trades occupations</v>
      </c>
      <c r="B1169" s="302">
        <v>0.22992855547915156</v>
      </c>
      <c r="C1169" s="302">
        <v>0.36266898935639968</v>
      </c>
      <c r="D1169" s="302">
        <v>8.1738422461351573E-2</v>
      </c>
      <c r="E1169" s="302">
        <f t="shared" si="497"/>
        <v>0.67433596729690282</v>
      </c>
      <c r="F1169" s="303"/>
      <c r="G1169" s="302">
        <v>0.16743319178744731</v>
      </c>
      <c r="H1169" s="302">
        <v>0.25968738751423109</v>
      </c>
      <c r="I1169" s="302">
        <v>6.0108893022958201E-2</v>
      </c>
      <c r="J1169" s="302">
        <f>SUM(G1169:I1169)</f>
        <v>0.48722947232463659</v>
      </c>
      <c r="K1169" s="303"/>
      <c r="L1169" s="302">
        <v>0.10688050881800563</v>
      </c>
      <c r="M1169" s="302">
        <v>0.17596402958782453</v>
      </c>
      <c r="N1169" s="302">
        <v>0.10230759987731801</v>
      </c>
      <c r="O1169" s="302">
        <f t="shared" si="499"/>
        <v>0.3851521382831482</v>
      </c>
    </row>
    <row r="1170" spans="1:15" s="236" customFormat="1" x14ac:dyDescent="0.2">
      <c r="A1170" s="237" t="str">
        <f>name!E$9</f>
        <v>Caring, leisure and other service occupations</v>
      </c>
      <c r="B1170" s="302">
        <v>11.099678987651908</v>
      </c>
      <c r="C1170" s="302">
        <v>13.36305932176983</v>
      </c>
      <c r="D1170" s="302">
        <v>1.4554528628999335</v>
      </c>
      <c r="E1170" s="302">
        <f t="shared" si="497"/>
        <v>25.91819117232167</v>
      </c>
      <c r="F1170" s="303"/>
      <c r="G1170" s="302">
        <v>10.78300268972642</v>
      </c>
      <c r="H1170" s="302">
        <v>12.512173843143204</v>
      </c>
      <c r="I1170" s="302">
        <v>1.3908345461638785</v>
      </c>
      <c r="J1170" s="302">
        <f t="shared" ref="J1170:J1173" si="500">SUM(G1170:I1170)</f>
        <v>24.686011079033506</v>
      </c>
      <c r="K1170" s="303"/>
      <c r="L1170" s="302">
        <v>15.20021788540212</v>
      </c>
      <c r="M1170" s="302">
        <v>13.914390691505799</v>
      </c>
      <c r="N1170" s="302">
        <v>1.6082158230434298</v>
      </c>
      <c r="O1170" s="302">
        <f t="shared" si="499"/>
        <v>30.72282439995135</v>
      </c>
    </row>
    <row r="1171" spans="1:15" s="236" customFormat="1" x14ac:dyDescent="0.2">
      <c r="A1171" s="237" t="str">
        <f>name!E$10</f>
        <v>Sales and customer service occupations</v>
      </c>
      <c r="B1171" s="302">
        <v>0.30158737997227408</v>
      </c>
      <c r="C1171" s="302">
        <v>0.41930936901636762</v>
      </c>
      <c r="D1171" s="302">
        <v>6.6248877172432385E-2</v>
      </c>
      <c r="E1171" s="302">
        <f t="shared" si="497"/>
        <v>0.78714562616107409</v>
      </c>
      <c r="F1171" s="303"/>
      <c r="G1171" s="302">
        <v>0.27636441543122625</v>
      </c>
      <c r="H1171" s="302">
        <v>0.36869130625129048</v>
      </c>
      <c r="I1171" s="302">
        <v>3.300424080024484E-2</v>
      </c>
      <c r="J1171" s="302">
        <f t="shared" si="500"/>
        <v>0.67805996248276168</v>
      </c>
      <c r="K1171" s="303"/>
      <c r="L1171" s="302">
        <v>0.34847984116845976</v>
      </c>
      <c r="M1171" s="302">
        <v>0.38678246315348574</v>
      </c>
      <c r="N1171" s="302">
        <v>5.3335640894045168E-2</v>
      </c>
      <c r="O1171" s="302">
        <f t="shared" si="499"/>
        <v>0.78859794521599069</v>
      </c>
    </row>
    <row r="1172" spans="1:15" s="236" customFormat="1" x14ac:dyDescent="0.2">
      <c r="A1172" s="237" t="str">
        <f>name!E$11</f>
        <v>Process, plant and machine operatives</v>
      </c>
      <c r="B1172" s="302">
        <v>8.6504471846605813E-2</v>
      </c>
      <c r="C1172" s="302">
        <v>0.26470583347663135</v>
      </c>
      <c r="D1172" s="302">
        <v>8.8887106396071322E-3</v>
      </c>
      <c r="E1172" s="302">
        <f t="shared" si="497"/>
        <v>0.36009901596284427</v>
      </c>
      <c r="F1172" s="303"/>
      <c r="G1172" s="302">
        <v>6.4094244303212033E-2</v>
      </c>
      <c r="H1172" s="302">
        <v>0.21492131401818204</v>
      </c>
      <c r="I1172" s="302">
        <v>5.580045592582847E-3</v>
      </c>
      <c r="J1172" s="302">
        <f t="shared" si="500"/>
        <v>0.28459560391397692</v>
      </c>
      <c r="K1172" s="303"/>
      <c r="L1172" s="302">
        <v>3.3915624022667956E-2</v>
      </c>
      <c r="M1172" s="302">
        <v>0.14504189223077976</v>
      </c>
      <c r="N1172" s="302">
        <v>4.0385739812694704E-3</v>
      </c>
      <c r="O1172" s="302">
        <f t="shared" si="499"/>
        <v>0.18299609023471719</v>
      </c>
    </row>
    <row r="1173" spans="1:15" s="236" customFormat="1" x14ac:dyDescent="0.2">
      <c r="A1173" s="237" t="str">
        <f>name!E$12</f>
        <v>Elementary occupations</v>
      </c>
      <c r="B1173" s="302">
        <v>0.27880638489045817</v>
      </c>
      <c r="C1173" s="302">
        <v>1.7496854672342583</v>
      </c>
      <c r="D1173" s="302">
        <v>3.0323937722407001E-2</v>
      </c>
      <c r="E1173" s="302">
        <f t="shared" si="497"/>
        <v>2.0588157898471233</v>
      </c>
      <c r="F1173" s="303"/>
      <c r="G1173" s="302">
        <v>0.22091174230511082</v>
      </c>
      <c r="H1173" s="302">
        <v>1.2562468732312302</v>
      </c>
      <c r="I1173" s="302">
        <v>1.2946906603298763E-2</v>
      </c>
      <c r="J1173" s="302">
        <f t="shared" si="500"/>
        <v>1.4901055221396398</v>
      </c>
      <c r="K1173" s="303"/>
      <c r="L1173" s="302">
        <v>0.10845559888282215</v>
      </c>
      <c r="M1173" s="302">
        <v>0.86881829352380302</v>
      </c>
      <c r="N1173" s="302">
        <v>4.0760485499770367E-3</v>
      </c>
      <c r="O1173" s="302">
        <f t="shared" si="499"/>
        <v>0.98134994095660222</v>
      </c>
    </row>
    <row r="1174" spans="1:15" s="236" customFormat="1" x14ac:dyDescent="0.2">
      <c r="A1174" s="237"/>
      <c r="B1174" s="302"/>
      <c r="C1174" s="302"/>
      <c r="D1174" s="302"/>
      <c r="E1174" s="302"/>
      <c r="F1174" s="303"/>
      <c r="G1174" s="302"/>
      <c r="H1174" s="302"/>
      <c r="I1174" s="302"/>
      <c r="J1174" s="302"/>
      <c r="K1174" s="303"/>
      <c r="L1174" s="302"/>
      <c r="M1174" s="302"/>
      <c r="N1174" s="302"/>
      <c r="O1174" s="302"/>
    </row>
    <row r="1175" spans="1:15" s="236" customFormat="1" x14ac:dyDescent="0.2">
      <c r="A1175" s="244" t="s">
        <v>32</v>
      </c>
      <c r="B1175" s="311">
        <f>SUM(B1165:B1173)</f>
        <v>27.60199999980664</v>
      </c>
      <c r="C1175" s="311">
        <f t="shared" ref="C1175:E1175" si="501">SUM(C1165:C1173)</f>
        <v>29.045999999447517</v>
      </c>
      <c r="D1175" s="311">
        <f t="shared" si="501"/>
        <v>4.4319999997371893</v>
      </c>
      <c r="E1175" s="311">
        <f t="shared" si="501"/>
        <v>61.079999998991347</v>
      </c>
      <c r="F1175" s="311"/>
      <c r="G1175" s="311">
        <f t="shared" ref="G1175:J1175" si="502">SUM(G1165:G1173)</f>
        <v>28.29299999976212</v>
      </c>
      <c r="H1175" s="311">
        <f t="shared" si="502"/>
        <v>28.481999999589622</v>
      </c>
      <c r="I1175" s="311">
        <f t="shared" si="502"/>
        <v>4.000000000221215</v>
      </c>
      <c r="J1175" s="311">
        <f t="shared" si="502"/>
        <v>60.77499999957297</v>
      </c>
      <c r="K1175" s="311"/>
      <c r="L1175" s="311">
        <f t="shared" ref="L1175:O1175" si="503">SUM(L1165:L1173)</f>
        <v>37.835999999962127</v>
      </c>
      <c r="M1175" s="311">
        <f t="shared" si="503"/>
        <v>29.078999999941232</v>
      </c>
      <c r="N1175" s="311">
        <f t="shared" si="503"/>
        <v>5.0060000000399292</v>
      </c>
      <c r="O1175" s="311">
        <f t="shared" si="503"/>
        <v>71.920999999943305</v>
      </c>
    </row>
    <row r="1176" spans="1:15" s="236" customFormat="1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37"/>
      <c r="M1176" s="237"/>
      <c r="N1176" s="240"/>
    </row>
    <row r="1177" spans="1:15" s="236" customFormat="1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37"/>
      <c r="M1177" s="237"/>
      <c r="N1177" s="240"/>
      <c r="O1177" s="251" t="s">
        <v>35</v>
      </c>
    </row>
    <row r="1178" spans="1:15" s="236" customFormat="1" x14ac:dyDescent="0.2">
      <c r="A1178" s="242"/>
      <c r="B1178" s="242"/>
      <c r="C1178" s="242"/>
      <c r="D1178" s="242"/>
      <c r="E1178" s="242"/>
      <c r="F1178" s="242"/>
      <c r="G1178" s="242"/>
      <c r="H1178" s="242"/>
      <c r="I1178" s="242"/>
      <c r="J1178" s="242"/>
      <c r="K1178" s="242"/>
      <c r="L1178" s="242"/>
      <c r="M1178" s="242"/>
      <c r="N1178" s="242"/>
      <c r="O1178" s="242"/>
    </row>
    <row r="1179" spans="1:15" s="236" customFormat="1" x14ac:dyDescent="0.2">
      <c r="A1179" s="241" t="str">
        <f>name!A72</f>
        <v>Arts and entertainment</v>
      </c>
      <c r="B1179" s="374">
        <f>$B$6</f>
        <v>2015</v>
      </c>
      <c r="C1179" s="374"/>
      <c r="D1179" s="374"/>
      <c r="E1179" s="374"/>
      <c r="F1179" s="263"/>
      <c r="G1179" s="374">
        <f>$G$6</f>
        <v>2020</v>
      </c>
      <c r="H1179" s="374"/>
      <c r="I1179" s="374"/>
      <c r="J1179" s="374"/>
      <c r="K1179" s="263"/>
      <c r="L1179" s="374">
        <f>$L$6</f>
        <v>2035</v>
      </c>
      <c r="M1179" s="374"/>
      <c r="N1179" s="374"/>
      <c r="O1179" s="374"/>
    </row>
    <row r="1180" spans="1:15" s="236" customFormat="1" x14ac:dyDescent="0.2">
      <c r="A1180" s="254"/>
      <c r="B1180" s="268" t="str">
        <f>$B$7</f>
        <v>FT</v>
      </c>
      <c r="C1180" s="268" t="str">
        <f>$C$7</f>
        <v>PT</v>
      </c>
      <c r="D1180" s="268" t="str">
        <f>$D$7</f>
        <v>SE</v>
      </c>
      <c r="E1180" s="268" t="str">
        <f>$E$7</f>
        <v>Total</v>
      </c>
      <c r="F1180" s="268"/>
      <c r="G1180" s="268" t="str">
        <f>$G$7</f>
        <v>FT</v>
      </c>
      <c r="H1180" s="268" t="str">
        <f>$H$7</f>
        <v>PT</v>
      </c>
      <c r="I1180" s="268" t="str">
        <f>$I$7</f>
        <v>SE</v>
      </c>
      <c r="J1180" s="268" t="str">
        <f>$J$7</f>
        <v>Total</v>
      </c>
      <c r="K1180" s="268"/>
      <c r="L1180" s="268" t="str">
        <f>$L$7</f>
        <v>FT</v>
      </c>
      <c r="M1180" s="268" t="str">
        <f>$M$7</f>
        <v>PT</v>
      </c>
      <c r="N1180" s="268" t="str">
        <f>$N$7</f>
        <v>SE</v>
      </c>
      <c r="O1180" s="268" t="str">
        <f>$O$7</f>
        <v>Total</v>
      </c>
    </row>
    <row r="1181" spans="1:15" s="236" customFormat="1" x14ac:dyDescent="0.2">
      <c r="A1181" s="258"/>
      <c r="B1181" s="239"/>
      <c r="C1181" s="239"/>
      <c r="D1181" s="239"/>
      <c r="E1181" s="239"/>
      <c r="F1181" s="239"/>
      <c r="G1181" s="239"/>
      <c r="H1181" s="239"/>
      <c r="I1181" s="239"/>
      <c r="J1181" s="239"/>
      <c r="K1181" s="239"/>
      <c r="L1181" s="239"/>
      <c r="M1181" s="239"/>
      <c r="N1181" s="239"/>
      <c r="O1181" s="239"/>
    </row>
    <row r="1182" spans="1:15" s="236" customFormat="1" x14ac:dyDescent="0.2">
      <c r="A1182" s="237" t="str">
        <f>name!E$4</f>
        <v>Managers, directors and senior officials</v>
      </c>
      <c r="B1182" s="302">
        <v>0.29450822248980102</v>
      </c>
      <c r="C1182" s="302">
        <v>4.3109275495644125E-2</v>
      </c>
      <c r="D1182" s="302">
        <v>0.51464415559252208</v>
      </c>
      <c r="E1182" s="302">
        <f>SUM(B1182:D1182)</f>
        <v>0.85226165357796724</v>
      </c>
      <c r="F1182" s="303"/>
      <c r="G1182" s="302">
        <v>0.14547978581799789</v>
      </c>
      <c r="H1182" s="302">
        <v>5.0071170177938558E-2</v>
      </c>
      <c r="I1182" s="302">
        <v>0.22635985455089427</v>
      </c>
      <c r="J1182" s="302">
        <f>SUM(G1182:I1182)</f>
        <v>0.42191081054683072</v>
      </c>
      <c r="K1182" s="303"/>
      <c r="L1182" s="302">
        <v>0.12422459847410712</v>
      </c>
      <c r="M1182" s="302">
        <v>5.7687200806791496E-2</v>
      </c>
      <c r="N1182" s="302">
        <v>0.17432062941028681</v>
      </c>
      <c r="O1182" s="302">
        <f>SUM(L1182:N1182)</f>
        <v>0.35623242869118543</v>
      </c>
    </row>
    <row r="1183" spans="1:15" s="236" customFormat="1" x14ac:dyDescent="0.2">
      <c r="A1183" s="237" t="str">
        <f>name!E$5</f>
        <v>Professional occupations</v>
      </c>
      <c r="B1183" s="302">
        <v>0.30180694629398103</v>
      </c>
      <c r="C1183" s="302">
        <v>9.2338048876893633E-2</v>
      </c>
      <c r="D1183" s="302">
        <v>1.2731171770145853</v>
      </c>
      <c r="E1183" s="302">
        <f t="shared" ref="E1183:E1190" si="504">SUM(B1183:D1183)</f>
        <v>1.6672621721854599</v>
      </c>
      <c r="F1183" s="303"/>
      <c r="G1183" s="302">
        <v>0.21730087988964431</v>
      </c>
      <c r="H1183" s="302">
        <v>0.10842000851201963</v>
      </c>
      <c r="I1183" s="302">
        <v>0.48346942555912575</v>
      </c>
      <c r="J1183" s="302">
        <f t="shared" ref="J1183:J1185" si="505">SUM(G1183:I1183)</f>
        <v>0.80919031396078966</v>
      </c>
      <c r="K1183" s="303"/>
      <c r="L1183" s="302">
        <v>0.19404072728686192</v>
      </c>
      <c r="M1183" s="302">
        <v>0.11767334429020025</v>
      </c>
      <c r="N1183" s="302">
        <v>0.3376880678476919</v>
      </c>
      <c r="O1183" s="302">
        <f t="shared" ref="O1183:O1190" si="506">SUM(L1183:N1183)</f>
        <v>0.649402139424754</v>
      </c>
    </row>
    <row r="1184" spans="1:15" s="236" customFormat="1" x14ac:dyDescent="0.2">
      <c r="A1184" s="237" t="str">
        <f>name!E$6</f>
        <v>Associate professional occupations</v>
      </c>
      <c r="B1184" s="302">
        <v>0.36927021858199305</v>
      </c>
      <c r="C1184" s="302">
        <v>0.11410917002662771</v>
      </c>
      <c r="D1184" s="302">
        <v>2.7488601380763336</v>
      </c>
      <c r="E1184" s="302">
        <f t="shared" si="504"/>
        <v>3.2322395266849542</v>
      </c>
      <c r="F1184" s="303"/>
      <c r="G1184" s="302">
        <v>0.18364468748727716</v>
      </c>
      <c r="H1184" s="302">
        <v>0.10862976364963461</v>
      </c>
      <c r="I1184" s="302">
        <v>1.2635283684947629</v>
      </c>
      <c r="J1184" s="302">
        <f t="shared" si="505"/>
        <v>1.5558028196316747</v>
      </c>
      <c r="K1184" s="303"/>
      <c r="L1184" s="302">
        <v>0.14394856953038954</v>
      </c>
      <c r="M1184" s="302">
        <v>8.7816742201213951E-2</v>
      </c>
      <c r="N1184" s="302">
        <v>0.96489030067900017</v>
      </c>
      <c r="O1184" s="302">
        <f t="shared" si="506"/>
        <v>1.1966556124106036</v>
      </c>
    </row>
    <row r="1185" spans="1:15" s="236" customFormat="1" x14ac:dyDescent="0.2">
      <c r="A1185" s="237" t="str">
        <f>name!E$7</f>
        <v>Administrative and secretarial occupations</v>
      </c>
      <c r="B1185" s="302">
        <v>0.20261385574828306</v>
      </c>
      <c r="C1185" s="302">
        <v>0.32654644161312685</v>
      </c>
      <c r="D1185" s="302">
        <v>7.7851903798357699E-2</v>
      </c>
      <c r="E1185" s="302">
        <f t="shared" si="504"/>
        <v>0.60701220115976762</v>
      </c>
      <c r="F1185" s="303"/>
      <c r="G1185" s="302">
        <v>0.13578361484339896</v>
      </c>
      <c r="H1185" s="302">
        <v>0.24683341634606404</v>
      </c>
      <c r="I1185" s="302">
        <v>3.9822417048717584E-2</v>
      </c>
      <c r="J1185" s="302">
        <f t="shared" si="505"/>
        <v>0.42243944823818058</v>
      </c>
      <c r="K1185" s="303"/>
      <c r="L1185" s="302">
        <v>8.6678106431059151E-2</v>
      </c>
      <c r="M1185" s="302">
        <v>0.19654933113078932</v>
      </c>
      <c r="N1185" s="302">
        <v>2.47749615146328E-2</v>
      </c>
      <c r="O1185" s="302">
        <f t="shared" si="506"/>
        <v>0.3080023990764813</v>
      </c>
    </row>
    <row r="1186" spans="1:15" s="236" customFormat="1" x14ac:dyDescent="0.2">
      <c r="A1186" s="237" t="str">
        <f>name!E$8</f>
        <v>Skilled trades occupations</v>
      </c>
      <c r="B1186" s="302">
        <v>0.26798153470581448</v>
      </c>
      <c r="C1186" s="302">
        <v>5.8039218617560437E-2</v>
      </c>
      <c r="D1186" s="302">
        <v>0.721524202615898</v>
      </c>
      <c r="E1186" s="302">
        <f t="shared" si="504"/>
        <v>1.0475449559392729</v>
      </c>
      <c r="F1186" s="303"/>
      <c r="G1186" s="302">
        <v>9.0344006787183254E-2</v>
      </c>
      <c r="H1186" s="302">
        <v>3.9836369069801876E-2</v>
      </c>
      <c r="I1186" s="302">
        <v>0.31762256982967452</v>
      </c>
      <c r="J1186" s="302">
        <f>SUM(G1186:I1186)</f>
        <v>0.44780294568665968</v>
      </c>
      <c r="K1186" s="303"/>
      <c r="L1186" s="302">
        <v>5.5807507507465687E-2</v>
      </c>
      <c r="M1186" s="302">
        <v>4.3179160124738603E-2</v>
      </c>
      <c r="N1186" s="302">
        <v>0.26492968059840954</v>
      </c>
      <c r="O1186" s="302">
        <f t="shared" si="506"/>
        <v>0.36391634823061381</v>
      </c>
    </row>
    <row r="1187" spans="1:15" s="236" customFormat="1" x14ac:dyDescent="0.2">
      <c r="A1187" s="237" t="str">
        <f>name!E$9</f>
        <v>Caring, leisure and other service occupations</v>
      </c>
      <c r="B1187" s="302">
        <v>0.16266503559615431</v>
      </c>
      <c r="C1187" s="302">
        <v>0.20357385032644942</v>
      </c>
      <c r="D1187" s="302">
        <v>8.3503308844435076E-2</v>
      </c>
      <c r="E1187" s="302">
        <f t="shared" si="504"/>
        <v>0.44974219476703881</v>
      </c>
      <c r="F1187" s="303"/>
      <c r="G1187" s="302">
        <v>8.8154957911417892E-2</v>
      </c>
      <c r="H1187" s="302">
        <v>0.14835894432424057</v>
      </c>
      <c r="I1187" s="302">
        <v>5.8746626790884673E-2</v>
      </c>
      <c r="J1187" s="302">
        <f t="shared" ref="J1187:J1190" si="507">SUM(G1187:I1187)</f>
        <v>0.29526052902654315</v>
      </c>
      <c r="K1187" s="303"/>
      <c r="L1187" s="302">
        <v>6.6086134043796985E-2</v>
      </c>
      <c r="M1187" s="302">
        <v>0.13097104121062239</v>
      </c>
      <c r="N1187" s="302">
        <v>4.7446642956879725E-2</v>
      </c>
      <c r="O1187" s="302">
        <f t="shared" si="506"/>
        <v>0.2445038182112991</v>
      </c>
    </row>
    <row r="1188" spans="1:15" s="236" customFormat="1" x14ac:dyDescent="0.2">
      <c r="A1188" s="237" t="str">
        <f>name!E$10</f>
        <v>Sales and customer service occupations</v>
      </c>
      <c r="B1188" s="302">
        <v>8.8575443002751303E-2</v>
      </c>
      <c r="C1188" s="302">
        <v>8.6399368356333578E-2</v>
      </c>
      <c r="D1188" s="302">
        <v>9.7465912266485377E-2</v>
      </c>
      <c r="E1188" s="302">
        <f t="shared" si="504"/>
        <v>0.27244072362557026</v>
      </c>
      <c r="F1188" s="303"/>
      <c r="G1188" s="302">
        <v>4.9905947675087693E-2</v>
      </c>
      <c r="H1188" s="302">
        <v>6.8637134917329673E-2</v>
      </c>
      <c r="I1188" s="302">
        <v>3.3592552488657432E-2</v>
      </c>
      <c r="J1188" s="302">
        <f t="shared" si="507"/>
        <v>0.1521356350810748</v>
      </c>
      <c r="K1188" s="303"/>
      <c r="L1188" s="302">
        <v>3.9816217440852966E-2</v>
      </c>
      <c r="M1188" s="302">
        <v>5.6437105475760543E-2</v>
      </c>
      <c r="N1188" s="302">
        <v>2.0561254153881606E-2</v>
      </c>
      <c r="O1188" s="302">
        <f t="shared" si="506"/>
        <v>0.11681457707049511</v>
      </c>
    </row>
    <row r="1189" spans="1:15" s="236" customFormat="1" x14ac:dyDescent="0.2">
      <c r="A1189" s="237" t="str">
        <f>name!E$11</f>
        <v>Process, plant and machine operatives</v>
      </c>
      <c r="B1189" s="302">
        <v>3.4566968868898984E-2</v>
      </c>
      <c r="C1189" s="302">
        <v>1.1735140241158242E-2</v>
      </c>
      <c r="D1189" s="302">
        <v>3.1038815150116483E-2</v>
      </c>
      <c r="E1189" s="302">
        <f t="shared" si="504"/>
        <v>7.7340924260173707E-2</v>
      </c>
      <c r="F1189" s="303"/>
      <c r="G1189" s="302">
        <v>9.4790255121952795E-3</v>
      </c>
      <c r="H1189" s="302">
        <v>9.4937021015131257E-3</v>
      </c>
      <c r="I1189" s="302">
        <v>1.1817523168496239E-2</v>
      </c>
      <c r="J1189" s="302">
        <f t="shared" si="507"/>
        <v>3.0790250782204646E-2</v>
      </c>
      <c r="K1189" s="303"/>
      <c r="L1189" s="302">
        <v>6.3270112550627908E-3</v>
      </c>
      <c r="M1189" s="302">
        <v>9.8323245522191627E-3</v>
      </c>
      <c r="N1189" s="302">
        <v>1.0145205663192176E-2</v>
      </c>
      <c r="O1189" s="302">
        <f t="shared" si="506"/>
        <v>2.6304541470474129E-2</v>
      </c>
    </row>
    <row r="1190" spans="1:15" s="236" customFormat="1" x14ac:dyDescent="0.2">
      <c r="A1190" s="237" t="str">
        <f>name!E$12</f>
        <v>Elementary occupations</v>
      </c>
      <c r="B1190" s="302">
        <v>0.12201177469878467</v>
      </c>
      <c r="C1190" s="302">
        <v>0.27514948645166887</v>
      </c>
      <c r="D1190" s="302">
        <v>6.999438684953635E-2</v>
      </c>
      <c r="E1190" s="302">
        <f t="shared" si="504"/>
        <v>0.46715564799998988</v>
      </c>
      <c r="F1190" s="303"/>
      <c r="G1190" s="302">
        <v>4.2907094064774602E-2</v>
      </c>
      <c r="H1190" s="302">
        <v>0.17771949090766359</v>
      </c>
      <c r="I1190" s="302">
        <v>2.504066205738888E-2</v>
      </c>
      <c r="J1190" s="302">
        <f t="shared" si="507"/>
        <v>0.24566724702982709</v>
      </c>
      <c r="K1190" s="303"/>
      <c r="L1190" s="302">
        <v>3.1071128031547247E-2</v>
      </c>
      <c r="M1190" s="302">
        <v>0.11185375020778007</v>
      </c>
      <c r="N1190" s="302">
        <v>2.124325724056688E-2</v>
      </c>
      <c r="O1190" s="302">
        <f t="shared" si="506"/>
        <v>0.1641681354798942</v>
      </c>
    </row>
    <row r="1191" spans="1:15" s="236" customFormat="1" x14ac:dyDescent="0.2">
      <c r="A1191" s="237"/>
      <c r="B1191" s="302"/>
      <c r="C1191" s="302"/>
      <c r="D1191" s="302"/>
      <c r="E1191" s="302"/>
      <c r="F1191" s="303"/>
      <c r="G1191" s="302"/>
      <c r="H1191" s="302"/>
      <c r="I1191" s="302"/>
      <c r="J1191" s="302"/>
      <c r="K1191" s="303"/>
      <c r="L1191" s="302"/>
      <c r="M1191" s="302"/>
      <c r="N1191" s="302"/>
      <c r="O1191" s="302"/>
    </row>
    <row r="1192" spans="1:15" s="236" customFormat="1" x14ac:dyDescent="0.2">
      <c r="A1192" s="244" t="s">
        <v>32</v>
      </c>
      <c r="B1192" s="311">
        <f>SUM(B1182:B1190)</f>
        <v>1.843999999986462</v>
      </c>
      <c r="C1192" s="311">
        <f t="shared" ref="C1192:E1192" si="508">SUM(C1182:C1190)</f>
        <v>1.2110000000054628</v>
      </c>
      <c r="D1192" s="311">
        <f t="shared" si="508"/>
        <v>5.6180000002082702</v>
      </c>
      <c r="E1192" s="311">
        <f t="shared" si="508"/>
        <v>8.6730000002001937</v>
      </c>
      <c r="F1192" s="311"/>
      <c r="G1192" s="311">
        <f t="shared" ref="G1192:J1192" si="509">SUM(G1182:G1190)</f>
        <v>0.96299999998897701</v>
      </c>
      <c r="H1192" s="311">
        <f t="shared" si="509"/>
        <v>0.95800000000620578</v>
      </c>
      <c r="I1192" s="311">
        <f t="shared" si="509"/>
        <v>2.4599999999886029</v>
      </c>
      <c r="J1192" s="311">
        <f t="shared" si="509"/>
        <v>4.3809999999837856</v>
      </c>
      <c r="K1192" s="311"/>
      <c r="L1192" s="311">
        <f t="shared" ref="L1192:O1192" si="510">SUM(L1182:L1190)</f>
        <v>0.74800000000114319</v>
      </c>
      <c r="M1192" s="311">
        <f t="shared" si="510"/>
        <v>0.81200000000011585</v>
      </c>
      <c r="N1192" s="311">
        <f t="shared" si="510"/>
        <v>1.8660000000645416</v>
      </c>
      <c r="O1192" s="311">
        <f t="shared" si="510"/>
        <v>3.4260000000658004</v>
      </c>
    </row>
    <row r="1193" spans="1:15" s="236" customFormat="1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37"/>
      <c r="M1193" s="237"/>
      <c r="N1193" s="240"/>
    </row>
    <row r="1194" spans="1:15" s="236" customFormat="1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37"/>
      <c r="M1194" s="237"/>
      <c r="N1194" s="240"/>
      <c r="O1194" s="251" t="s">
        <v>35</v>
      </c>
    </row>
    <row r="1195" spans="1:15" s="236" customFormat="1" x14ac:dyDescent="0.2">
      <c r="A1195" s="242"/>
      <c r="B1195" s="242"/>
      <c r="C1195" s="242"/>
      <c r="D1195" s="242"/>
      <c r="E1195" s="242"/>
      <c r="F1195" s="242"/>
      <c r="G1195" s="242"/>
      <c r="H1195" s="242"/>
      <c r="I1195" s="242"/>
      <c r="J1195" s="242"/>
      <c r="K1195" s="242"/>
      <c r="L1195" s="242"/>
      <c r="M1195" s="242"/>
      <c r="N1195" s="242"/>
      <c r="O1195" s="242"/>
    </row>
    <row r="1196" spans="1:15" s="236" customFormat="1" x14ac:dyDescent="0.2">
      <c r="A1196" s="241" t="str">
        <f>name!A73</f>
        <v>Libraries, etc</v>
      </c>
      <c r="B1196" s="374">
        <f>$B$6</f>
        <v>2015</v>
      </c>
      <c r="C1196" s="374"/>
      <c r="D1196" s="374"/>
      <c r="E1196" s="374"/>
      <c r="F1196" s="263"/>
      <c r="G1196" s="374">
        <f>$G$6</f>
        <v>2020</v>
      </c>
      <c r="H1196" s="374"/>
      <c r="I1196" s="374"/>
      <c r="J1196" s="374"/>
      <c r="K1196" s="263"/>
      <c r="L1196" s="374">
        <f>$L$6</f>
        <v>2035</v>
      </c>
      <c r="M1196" s="374"/>
      <c r="N1196" s="374"/>
      <c r="O1196" s="374"/>
    </row>
    <row r="1197" spans="1:15" s="236" customFormat="1" x14ac:dyDescent="0.2">
      <c r="A1197" s="254"/>
      <c r="B1197" s="268" t="str">
        <f>$B$7</f>
        <v>FT</v>
      </c>
      <c r="C1197" s="268" t="str">
        <f>$C$7</f>
        <v>PT</v>
      </c>
      <c r="D1197" s="268" t="str">
        <f>$D$7</f>
        <v>SE</v>
      </c>
      <c r="E1197" s="268" t="str">
        <f>$E$7</f>
        <v>Total</v>
      </c>
      <c r="F1197" s="268"/>
      <c r="G1197" s="268" t="str">
        <f>$G$7</f>
        <v>FT</v>
      </c>
      <c r="H1197" s="268" t="str">
        <f>$H$7</f>
        <v>PT</v>
      </c>
      <c r="I1197" s="268" t="str">
        <f>$I$7</f>
        <v>SE</v>
      </c>
      <c r="J1197" s="268" t="str">
        <f>$J$7</f>
        <v>Total</v>
      </c>
      <c r="K1197" s="268"/>
      <c r="L1197" s="268" t="str">
        <f>$L$7</f>
        <v>FT</v>
      </c>
      <c r="M1197" s="268" t="str">
        <f>$M$7</f>
        <v>PT</v>
      </c>
      <c r="N1197" s="268" t="str">
        <f>$N$7</f>
        <v>SE</v>
      </c>
      <c r="O1197" s="268" t="str">
        <f>$O$7</f>
        <v>Total</v>
      </c>
    </row>
    <row r="1198" spans="1:15" s="236" customFormat="1" x14ac:dyDescent="0.2">
      <c r="A1198" s="258"/>
      <c r="B1198" s="239"/>
      <c r="C1198" s="239"/>
      <c r="D1198" s="239"/>
      <c r="E1198" s="239"/>
      <c r="F1198" s="239"/>
      <c r="G1198" s="239"/>
      <c r="H1198" s="239"/>
      <c r="I1198" s="239"/>
      <c r="J1198" s="239"/>
      <c r="K1198" s="239"/>
      <c r="L1198" s="239"/>
      <c r="M1198" s="239"/>
      <c r="N1198" s="239"/>
      <c r="O1198" s="239"/>
    </row>
    <row r="1199" spans="1:15" s="236" customFormat="1" x14ac:dyDescent="0.2">
      <c r="A1199" s="237" t="str">
        <f>name!E$4</f>
        <v>Managers, directors and senior officials</v>
      </c>
      <c r="B1199" s="302">
        <v>0.37084058372326034</v>
      </c>
      <c r="C1199" s="302">
        <v>9.959430519202199E-2</v>
      </c>
      <c r="D1199" s="302">
        <v>0.49726594882853048</v>
      </c>
      <c r="E1199" s="302">
        <f>SUM(B1199:D1199)</f>
        <v>0.96770083774381277</v>
      </c>
      <c r="F1199" s="303"/>
      <c r="G1199" s="302">
        <v>0.28485267421124305</v>
      </c>
      <c r="H1199" s="302">
        <v>0.20492564927401952</v>
      </c>
      <c r="I1199" s="302">
        <v>0.4965073821242047</v>
      </c>
      <c r="J1199" s="302">
        <f>SUM(G1199:I1199)</f>
        <v>0.98628570560946727</v>
      </c>
      <c r="K1199" s="303"/>
      <c r="L1199" s="302">
        <v>0.24631708082628195</v>
      </c>
      <c r="M1199" s="302">
        <v>0.23547452272343389</v>
      </c>
      <c r="N1199" s="302">
        <v>0.40779698470537595</v>
      </c>
      <c r="O1199" s="302">
        <f>SUM(L1199:N1199)</f>
        <v>0.88958858825509179</v>
      </c>
    </row>
    <row r="1200" spans="1:15" s="236" customFormat="1" x14ac:dyDescent="0.2">
      <c r="A1200" s="237" t="str">
        <f>name!E$5</f>
        <v>Professional occupations</v>
      </c>
      <c r="B1200" s="302">
        <v>0.47769264595654659</v>
      </c>
      <c r="C1200" s="302">
        <v>0.2244330419218421</v>
      </c>
      <c r="D1200" s="302">
        <v>1.1952056483336357</v>
      </c>
      <c r="E1200" s="302">
        <f t="shared" ref="E1200:E1207" si="511">SUM(B1200:D1200)</f>
        <v>1.8973313362120243</v>
      </c>
      <c r="F1200" s="303"/>
      <c r="G1200" s="302">
        <v>0.54640402516775199</v>
      </c>
      <c r="H1200" s="302">
        <v>0.45426403103415602</v>
      </c>
      <c r="I1200" s="302">
        <v>0.97928696339880839</v>
      </c>
      <c r="J1200" s="302">
        <f t="shared" ref="J1200:J1202" si="512">SUM(G1200:I1200)</f>
        <v>1.9799550196007165</v>
      </c>
      <c r="K1200" s="303"/>
      <c r="L1200" s="302">
        <v>0.48350776513108895</v>
      </c>
      <c r="M1200" s="302">
        <v>0.49549526133773397</v>
      </c>
      <c r="N1200" s="302">
        <v>0.688629316774375</v>
      </c>
      <c r="O1200" s="302">
        <f t="shared" ref="O1200:O1207" si="513">SUM(L1200:N1200)</f>
        <v>1.6676323432431981</v>
      </c>
    </row>
    <row r="1201" spans="1:15" s="236" customFormat="1" x14ac:dyDescent="0.2">
      <c r="A1201" s="237" t="str">
        <f>name!E$6</f>
        <v>Associate professional occupations</v>
      </c>
      <c r="B1201" s="302">
        <v>0.45259018287511016</v>
      </c>
      <c r="C1201" s="302">
        <v>0.25898534951128027</v>
      </c>
      <c r="D1201" s="302">
        <v>2.8968953309392775</v>
      </c>
      <c r="E1201" s="302">
        <f t="shared" si="511"/>
        <v>3.6084708633256679</v>
      </c>
      <c r="F1201" s="303"/>
      <c r="G1201" s="302">
        <v>0.35808363239732693</v>
      </c>
      <c r="H1201" s="302">
        <v>0.42668291411765313</v>
      </c>
      <c r="I1201" s="302">
        <v>2.9786441968047579</v>
      </c>
      <c r="J1201" s="302">
        <f t="shared" si="512"/>
        <v>3.7634107433197377</v>
      </c>
      <c r="K1201" s="303"/>
      <c r="L1201" s="302">
        <v>0.26520566858572292</v>
      </c>
      <c r="M1201" s="302">
        <v>0.36345914928701323</v>
      </c>
      <c r="N1201" s="302">
        <v>2.4194624778875444</v>
      </c>
      <c r="O1201" s="302">
        <f t="shared" si="513"/>
        <v>3.0481272957602803</v>
      </c>
    </row>
    <row r="1202" spans="1:15" s="236" customFormat="1" x14ac:dyDescent="0.2">
      <c r="A1202" s="237" t="str">
        <f>name!E$7</f>
        <v>Administrative and secretarial occupations</v>
      </c>
      <c r="B1202" s="302">
        <v>0.43455440107687898</v>
      </c>
      <c r="C1202" s="302">
        <v>0.87010925134454753</v>
      </c>
      <c r="D1202" s="302">
        <v>0.10948785720926739</v>
      </c>
      <c r="E1202" s="302">
        <f t="shared" si="511"/>
        <v>1.414151509630694</v>
      </c>
      <c r="F1202" s="303"/>
      <c r="G1202" s="302">
        <v>0.40003273242001153</v>
      </c>
      <c r="H1202" s="302">
        <v>1.1650178525311006</v>
      </c>
      <c r="I1202" s="302">
        <v>0.1288940906612146</v>
      </c>
      <c r="J1202" s="302">
        <f t="shared" si="512"/>
        <v>1.6939446756123266</v>
      </c>
      <c r="K1202" s="303"/>
      <c r="L1202" s="302">
        <v>0.2373460212752635</v>
      </c>
      <c r="M1202" s="302">
        <v>0.93370294058945202</v>
      </c>
      <c r="N1202" s="302">
        <v>6.8231502631527982E-2</v>
      </c>
      <c r="O1202" s="302">
        <f t="shared" si="513"/>
        <v>1.2392804644962434</v>
      </c>
    </row>
    <row r="1203" spans="1:15" s="236" customFormat="1" x14ac:dyDescent="0.2">
      <c r="A1203" s="237" t="str">
        <f>name!E$8</f>
        <v>Skilled trades occupations</v>
      </c>
      <c r="B1203" s="302">
        <v>0.28263339984675406</v>
      </c>
      <c r="C1203" s="302">
        <v>0.10746873668974741</v>
      </c>
      <c r="D1203" s="302">
        <v>0.78296367337374162</v>
      </c>
      <c r="E1203" s="302">
        <f t="shared" si="511"/>
        <v>1.1730658099102431</v>
      </c>
      <c r="F1203" s="303"/>
      <c r="G1203" s="302">
        <v>0.13895272915836196</v>
      </c>
      <c r="H1203" s="302">
        <v>0.13106948352318681</v>
      </c>
      <c r="I1203" s="302">
        <v>0.86011255541415099</v>
      </c>
      <c r="J1203" s="302">
        <f>SUM(G1203:I1203)</f>
        <v>1.1301347680956999</v>
      </c>
      <c r="K1203" s="303"/>
      <c r="L1203" s="302">
        <v>9.1250523719111021E-2</v>
      </c>
      <c r="M1203" s="302">
        <v>0.1488666489515606</v>
      </c>
      <c r="N1203" s="302">
        <v>0.78664960295490161</v>
      </c>
      <c r="O1203" s="302">
        <f t="shared" si="513"/>
        <v>1.0267667756255732</v>
      </c>
    </row>
    <row r="1204" spans="1:15" s="236" customFormat="1" x14ac:dyDescent="0.2">
      <c r="A1204" s="237" t="str">
        <f>name!E$9</f>
        <v>Caring, leisure and other service occupations</v>
      </c>
      <c r="B1204" s="302">
        <v>0.29950992985694941</v>
      </c>
      <c r="C1204" s="302">
        <v>0.48198611102433464</v>
      </c>
      <c r="D1204" s="302">
        <v>0.12367427612845441</v>
      </c>
      <c r="E1204" s="302">
        <f t="shared" si="511"/>
        <v>0.90517031700973849</v>
      </c>
      <c r="F1204" s="303"/>
      <c r="G1204" s="302">
        <v>0.23423733797540308</v>
      </c>
      <c r="H1204" s="302">
        <v>0.61654746945824901</v>
      </c>
      <c r="I1204" s="302">
        <v>0.19376597966233278</v>
      </c>
      <c r="J1204" s="302">
        <f t="shared" ref="J1204:J1207" si="514">SUM(G1204:I1204)</f>
        <v>1.0445507870959849</v>
      </c>
      <c r="K1204" s="303"/>
      <c r="L1204" s="302">
        <v>0.16931510155677951</v>
      </c>
      <c r="M1204" s="302">
        <v>0.5437740485654512</v>
      </c>
      <c r="N1204" s="302">
        <v>0.15642411195887912</v>
      </c>
      <c r="O1204" s="302">
        <f t="shared" si="513"/>
        <v>0.86951326208110991</v>
      </c>
    </row>
    <row r="1205" spans="1:15" s="236" customFormat="1" x14ac:dyDescent="0.2">
      <c r="A1205" s="237" t="str">
        <f>name!E$10</f>
        <v>Sales and customer service occupations</v>
      </c>
      <c r="B1205" s="302">
        <v>0.15464865917164508</v>
      </c>
      <c r="C1205" s="302">
        <v>0.18600760603946367</v>
      </c>
      <c r="D1205" s="302">
        <v>0.10171256812213607</v>
      </c>
      <c r="E1205" s="302">
        <f t="shared" si="511"/>
        <v>0.44236883333324484</v>
      </c>
      <c r="F1205" s="303"/>
      <c r="G1205" s="302">
        <v>0.13011567303741225</v>
      </c>
      <c r="H1205" s="302">
        <v>0.26094531982103503</v>
      </c>
      <c r="I1205" s="302">
        <v>7.4352814549460924E-2</v>
      </c>
      <c r="J1205" s="302">
        <f t="shared" si="514"/>
        <v>0.46541380740790822</v>
      </c>
      <c r="K1205" s="303"/>
      <c r="L1205" s="302">
        <v>9.6152606926383902E-2</v>
      </c>
      <c r="M1205" s="302">
        <v>0.22151940267255654</v>
      </c>
      <c r="N1205" s="302">
        <v>4.8896436781616481E-2</v>
      </c>
      <c r="O1205" s="302">
        <f t="shared" si="513"/>
        <v>0.36656844638055691</v>
      </c>
    </row>
    <row r="1206" spans="1:15" s="236" customFormat="1" x14ac:dyDescent="0.2">
      <c r="A1206" s="237" t="str">
        <f>name!E$11</f>
        <v>Process, plant and machine operatives</v>
      </c>
      <c r="B1206" s="302">
        <v>3.3242566807838103E-2</v>
      </c>
      <c r="C1206" s="302">
        <v>2.0910642154274663E-2</v>
      </c>
      <c r="D1206" s="302">
        <v>2.8194577042848532E-2</v>
      </c>
      <c r="E1206" s="302">
        <f t="shared" si="511"/>
        <v>8.2347786004961301E-2</v>
      </c>
      <c r="F1206" s="303"/>
      <c r="G1206" s="302">
        <v>1.2056841130701891E-2</v>
      </c>
      <c r="H1206" s="302">
        <v>2.9303633888891213E-2</v>
      </c>
      <c r="I1206" s="302">
        <v>2.3050552189167354E-2</v>
      </c>
      <c r="J1206" s="302">
        <f t="shared" si="514"/>
        <v>6.4411027208760463E-2</v>
      </c>
      <c r="K1206" s="303"/>
      <c r="L1206" s="302">
        <v>7.7784648995718282E-3</v>
      </c>
      <c r="M1206" s="302">
        <v>3.3185959861830025E-2</v>
      </c>
      <c r="N1206" s="302">
        <v>2.0263081905342227E-2</v>
      </c>
      <c r="O1206" s="302">
        <f t="shared" si="513"/>
        <v>6.1227506666744078E-2</v>
      </c>
    </row>
    <row r="1207" spans="1:15" s="236" customFormat="1" x14ac:dyDescent="0.2">
      <c r="A1207" s="237" t="str">
        <f>name!E$12</f>
        <v>Elementary occupations</v>
      </c>
      <c r="B1207" s="302">
        <v>0.14728763064992118</v>
      </c>
      <c r="C1207" s="302">
        <v>0.6565049561377222</v>
      </c>
      <c r="D1207" s="302">
        <v>8.5600120165801916E-2</v>
      </c>
      <c r="E1207" s="302">
        <f t="shared" si="511"/>
        <v>0.8893927069534453</v>
      </c>
      <c r="F1207" s="303"/>
      <c r="G1207" s="302">
        <v>8.0264354469966409E-2</v>
      </c>
      <c r="H1207" s="302">
        <v>0.74724364637892937</v>
      </c>
      <c r="I1207" s="302">
        <v>6.6385465066347057E-2</v>
      </c>
      <c r="J1207" s="302">
        <f t="shared" si="514"/>
        <v>0.89389346591524277</v>
      </c>
      <c r="K1207" s="303"/>
      <c r="L1207" s="302">
        <v>5.9126767086414761E-2</v>
      </c>
      <c r="M1207" s="302">
        <v>0.48252206600831887</v>
      </c>
      <c r="N1207" s="302">
        <v>5.4646484521094919E-2</v>
      </c>
      <c r="O1207" s="302">
        <f t="shared" si="513"/>
        <v>0.59629531761582855</v>
      </c>
    </row>
    <row r="1208" spans="1:15" s="236" customFormat="1" x14ac:dyDescent="0.2">
      <c r="A1208" s="237"/>
      <c r="B1208" s="302"/>
      <c r="C1208" s="302"/>
      <c r="D1208" s="302"/>
      <c r="E1208" s="302"/>
      <c r="F1208" s="303"/>
      <c r="G1208" s="302"/>
      <c r="H1208" s="302"/>
      <c r="I1208" s="302"/>
      <c r="J1208" s="302"/>
      <c r="K1208" s="303"/>
      <c r="L1208" s="302"/>
      <c r="M1208" s="302"/>
      <c r="N1208" s="302"/>
      <c r="O1208" s="302"/>
    </row>
    <row r="1209" spans="1:15" s="236" customFormat="1" x14ac:dyDescent="0.2">
      <c r="A1209" s="244" t="s">
        <v>32</v>
      </c>
      <c r="B1209" s="311">
        <f>SUM(B1199:B1207)</f>
        <v>2.6529999999649037</v>
      </c>
      <c r="C1209" s="311">
        <f t="shared" ref="C1209:E1209" si="515">SUM(C1199:C1207)</f>
        <v>2.9060000000152346</v>
      </c>
      <c r="D1209" s="311">
        <f t="shared" si="515"/>
        <v>5.8210000001436937</v>
      </c>
      <c r="E1209" s="311">
        <f t="shared" si="515"/>
        <v>11.380000000123832</v>
      </c>
      <c r="F1209" s="311"/>
      <c r="G1209" s="311">
        <f t="shared" ref="G1209:J1209" si="516">SUM(G1199:G1207)</f>
        <v>2.1849999999681788</v>
      </c>
      <c r="H1209" s="311">
        <f t="shared" si="516"/>
        <v>4.0360000000272205</v>
      </c>
      <c r="I1209" s="311">
        <f t="shared" si="516"/>
        <v>5.8009999998704442</v>
      </c>
      <c r="J1209" s="311">
        <f t="shared" si="516"/>
        <v>12.021999999865846</v>
      </c>
      <c r="K1209" s="311"/>
      <c r="L1209" s="311">
        <f t="shared" ref="L1209:O1209" si="517">SUM(L1199:L1207)</f>
        <v>1.6560000000066182</v>
      </c>
      <c r="M1209" s="311">
        <f t="shared" si="517"/>
        <v>3.4579999999973499</v>
      </c>
      <c r="N1209" s="311">
        <f t="shared" si="517"/>
        <v>4.6510000001206571</v>
      </c>
      <c r="O1209" s="311">
        <f t="shared" si="517"/>
        <v>9.7650000001246262</v>
      </c>
    </row>
    <row r="1210" spans="1:15" s="236" customFormat="1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37"/>
      <c r="M1210" s="237"/>
      <c r="N1210" s="240"/>
    </row>
    <row r="1211" spans="1:15" s="236" customFormat="1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37"/>
      <c r="M1211" s="237"/>
      <c r="N1211" s="240"/>
      <c r="O1211" s="251" t="s">
        <v>35</v>
      </c>
    </row>
    <row r="1212" spans="1:15" s="236" customFormat="1" x14ac:dyDescent="0.2">
      <c r="A1212" s="242"/>
      <c r="B1212" s="242"/>
      <c r="C1212" s="242"/>
      <c r="D1212" s="242"/>
      <c r="E1212" s="242"/>
      <c r="F1212" s="242"/>
      <c r="G1212" s="242"/>
      <c r="H1212" s="242"/>
      <c r="I1212" s="242"/>
      <c r="J1212" s="242"/>
      <c r="K1212" s="242"/>
      <c r="L1212" s="242"/>
      <c r="M1212" s="242"/>
      <c r="N1212" s="242"/>
      <c r="O1212" s="242"/>
    </row>
    <row r="1213" spans="1:15" s="236" customFormat="1" x14ac:dyDescent="0.2">
      <c r="A1213" s="241" t="str">
        <f>name!A74</f>
        <v>Gambling and betting</v>
      </c>
      <c r="B1213" s="374">
        <f>$B$6</f>
        <v>2015</v>
      </c>
      <c r="C1213" s="374"/>
      <c r="D1213" s="374"/>
      <c r="E1213" s="374"/>
      <c r="F1213" s="263"/>
      <c r="G1213" s="374">
        <f>$G$6</f>
        <v>2020</v>
      </c>
      <c r="H1213" s="374"/>
      <c r="I1213" s="374"/>
      <c r="J1213" s="374"/>
      <c r="K1213" s="263"/>
      <c r="L1213" s="374">
        <f>$L$6</f>
        <v>2035</v>
      </c>
      <c r="M1213" s="374"/>
      <c r="N1213" s="374"/>
      <c r="O1213" s="374"/>
    </row>
    <row r="1214" spans="1:15" s="236" customFormat="1" x14ac:dyDescent="0.2">
      <c r="A1214" s="254"/>
      <c r="B1214" s="268" t="str">
        <f>$B$7</f>
        <v>FT</v>
      </c>
      <c r="C1214" s="268" t="str">
        <f>$C$7</f>
        <v>PT</v>
      </c>
      <c r="D1214" s="268" t="str">
        <f>$D$7</f>
        <v>SE</v>
      </c>
      <c r="E1214" s="268" t="str">
        <f>$E$7</f>
        <v>Total</v>
      </c>
      <c r="F1214" s="268"/>
      <c r="G1214" s="268" t="str">
        <f>$G$7</f>
        <v>FT</v>
      </c>
      <c r="H1214" s="268" t="str">
        <f>$H$7</f>
        <v>PT</v>
      </c>
      <c r="I1214" s="268" t="str">
        <f>$I$7</f>
        <v>SE</v>
      </c>
      <c r="J1214" s="268" t="str">
        <f>$J$7</f>
        <v>Total</v>
      </c>
      <c r="K1214" s="268"/>
      <c r="L1214" s="268" t="str">
        <f>$L$7</f>
        <v>FT</v>
      </c>
      <c r="M1214" s="268" t="str">
        <f>$M$7</f>
        <v>PT</v>
      </c>
      <c r="N1214" s="268" t="str">
        <f>$N$7</f>
        <v>SE</v>
      </c>
      <c r="O1214" s="268" t="str">
        <f>$O$7</f>
        <v>Total</v>
      </c>
    </row>
    <row r="1215" spans="1:15" s="236" customFormat="1" x14ac:dyDescent="0.2">
      <c r="A1215" s="258"/>
      <c r="B1215" s="239"/>
      <c r="C1215" s="239"/>
      <c r="D1215" s="239"/>
      <c r="E1215" s="239"/>
      <c r="F1215" s="239"/>
      <c r="G1215" s="239"/>
      <c r="H1215" s="239"/>
      <c r="I1215" s="239"/>
      <c r="J1215" s="239"/>
      <c r="K1215" s="239"/>
      <c r="L1215" s="239"/>
      <c r="M1215" s="239"/>
      <c r="N1215" s="239"/>
      <c r="O1215" s="239"/>
    </row>
    <row r="1216" spans="1:15" s="236" customFormat="1" x14ac:dyDescent="0.2">
      <c r="A1216" s="237" t="str">
        <f>name!E$4</f>
        <v>Managers, directors and senior officials</v>
      </c>
      <c r="B1216" s="302">
        <v>0.41227473543459292</v>
      </c>
      <c r="C1216" s="302">
        <v>0.10806541258844118</v>
      </c>
      <c r="D1216" s="302">
        <v>6.1572476865248929E-2</v>
      </c>
      <c r="E1216" s="302">
        <f>SUM(B1216:D1216)</f>
        <v>0.58191262488828299</v>
      </c>
      <c r="F1216" s="303"/>
      <c r="G1216" s="302">
        <v>0.48200129820974746</v>
      </c>
      <c r="H1216" s="302">
        <v>0.12417923181232303</v>
      </c>
      <c r="I1216" s="302">
        <v>5.1429117398299536E-2</v>
      </c>
      <c r="J1216" s="302">
        <f>SUM(G1216:I1216)</f>
        <v>0.65760964742037009</v>
      </c>
      <c r="K1216" s="303"/>
      <c r="L1216" s="302">
        <v>0.49540356780350214</v>
      </c>
      <c r="M1216" s="302">
        <v>0.18552737626883431</v>
      </c>
      <c r="N1216" s="302">
        <v>5.8233666112868392E-2</v>
      </c>
      <c r="O1216" s="302">
        <f>SUM(L1216:N1216)</f>
        <v>0.73916461018520485</v>
      </c>
    </row>
    <row r="1217" spans="1:15" s="236" customFormat="1" x14ac:dyDescent="0.2">
      <c r="A1217" s="237" t="str">
        <f>name!E$5</f>
        <v>Professional occupations</v>
      </c>
      <c r="B1217" s="302">
        <v>0.40025830115797773</v>
      </c>
      <c r="C1217" s="302">
        <v>0.18697408137018298</v>
      </c>
      <c r="D1217" s="302">
        <v>0.14654934105003323</v>
      </c>
      <c r="E1217" s="302">
        <f t="shared" ref="E1217:E1224" si="518">SUM(B1217:D1217)</f>
        <v>0.73378172357819393</v>
      </c>
      <c r="F1217" s="303"/>
      <c r="G1217" s="302">
        <v>0.58119478641200406</v>
      </c>
      <c r="H1217" s="302">
        <v>0.25088295595712007</v>
      </c>
      <c r="I1217" s="302">
        <v>0.10922619833118644</v>
      </c>
      <c r="J1217" s="302">
        <f t="shared" ref="J1217:J1219" si="519">SUM(G1217:I1217)</f>
        <v>0.94130394070031054</v>
      </c>
      <c r="K1217" s="303"/>
      <c r="L1217" s="302">
        <v>0.63612532114775278</v>
      </c>
      <c r="M1217" s="302">
        <v>0.34014530077121141</v>
      </c>
      <c r="N1217" s="302">
        <v>0.11648119683914222</v>
      </c>
      <c r="O1217" s="302">
        <f t="shared" ref="O1217:O1224" si="520">SUM(L1217:N1217)</f>
        <v>1.0927518187581065</v>
      </c>
    </row>
    <row r="1218" spans="1:15" s="236" customFormat="1" x14ac:dyDescent="0.2">
      <c r="A1218" s="237" t="str">
        <f>name!E$6</f>
        <v>Associate professional occupations</v>
      </c>
      <c r="B1218" s="302">
        <v>0.51975283329217525</v>
      </c>
      <c r="C1218" s="302">
        <v>0.30462883408289826</v>
      </c>
      <c r="D1218" s="302">
        <v>0.36865497766250865</v>
      </c>
      <c r="E1218" s="302">
        <f t="shared" si="518"/>
        <v>1.1930366450375822</v>
      </c>
      <c r="F1218" s="303"/>
      <c r="G1218" s="302">
        <v>0.61016621954785399</v>
      </c>
      <c r="H1218" s="302">
        <v>0.30000791741049238</v>
      </c>
      <c r="I1218" s="302">
        <v>0.28865272398634545</v>
      </c>
      <c r="J1218" s="302">
        <f t="shared" si="519"/>
        <v>1.1988268609446919</v>
      </c>
      <c r="K1218" s="303"/>
      <c r="L1218" s="302">
        <v>0.60225726629735254</v>
      </c>
      <c r="M1218" s="302">
        <v>0.26979999874975624</v>
      </c>
      <c r="N1218" s="302">
        <v>0.31645163778612534</v>
      </c>
      <c r="O1218" s="302">
        <f t="shared" si="520"/>
        <v>1.1885089028332341</v>
      </c>
    </row>
    <row r="1219" spans="1:15" s="236" customFormat="1" x14ac:dyDescent="0.2">
      <c r="A1219" s="237" t="str">
        <f>name!E$7</f>
        <v>Administrative and secretarial occupations</v>
      </c>
      <c r="B1219" s="302">
        <v>0.24278582433733129</v>
      </c>
      <c r="C1219" s="302">
        <v>0.35506095130499921</v>
      </c>
      <c r="D1219" s="302">
        <v>1.497330181439622E-2</v>
      </c>
      <c r="E1219" s="302">
        <f t="shared" si="518"/>
        <v>0.61282007745672673</v>
      </c>
      <c r="F1219" s="303"/>
      <c r="G1219" s="302">
        <v>0.29591836350564904</v>
      </c>
      <c r="H1219" s="302">
        <v>0.34758891126400582</v>
      </c>
      <c r="I1219" s="302">
        <v>9.3641768022489011E-3</v>
      </c>
      <c r="J1219" s="302">
        <f t="shared" si="519"/>
        <v>0.65287145157190374</v>
      </c>
      <c r="K1219" s="303"/>
      <c r="L1219" s="302">
        <v>0.2543700395620267</v>
      </c>
      <c r="M1219" s="302">
        <v>0.30016261524326804</v>
      </c>
      <c r="N1219" s="302">
        <v>7.9039744476066352E-3</v>
      </c>
      <c r="O1219" s="302">
        <f t="shared" si="520"/>
        <v>0.56243662925290128</v>
      </c>
    </row>
    <row r="1220" spans="1:15" s="236" customFormat="1" x14ac:dyDescent="0.2">
      <c r="A1220" s="237" t="str">
        <f>name!E$8</f>
        <v>Skilled trades occupations</v>
      </c>
      <c r="B1220" s="302">
        <v>0.38761767886190862</v>
      </c>
      <c r="C1220" s="302">
        <v>0.25213099807264694</v>
      </c>
      <c r="D1220" s="302">
        <v>0.10049472856580231</v>
      </c>
      <c r="E1220" s="302">
        <f t="shared" si="518"/>
        <v>0.74024340550035783</v>
      </c>
      <c r="F1220" s="303"/>
      <c r="G1220" s="302">
        <v>0.34286658402356374</v>
      </c>
      <c r="H1220" s="302">
        <v>0.15343193718056108</v>
      </c>
      <c r="I1220" s="302">
        <v>7.3409043187542725E-2</v>
      </c>
      <c r="J1220" s="302">
        <f>SUM(G1220:I1220)</f>
        <v>0.56970756439166759</v>
      </c>
      <c r="K1220" s="303"/>
      <c r="L1220" s="302">
        <v>0.24961838114468879</v>
      </c>
      <c r="M1220" s="302">
        <v>0.20805471025644101</v>
      </c>
      <c r="N1220" s="302">
        <v>8.245415493365503E-2</v>
      </c>
      <c r="O1220" s="302">
        <f t="shared" si="520"/>
        <v>0.54012724633478482</v>
      </c>
    </row>
    <row r="1221" spans="1:15" s="236" customFormat="1" x14ac:dyDescent="0.2">
      <c r="A1221" s="237" t="str">
        <f>name!E$9</f>
        <v>Caring, leisure and other service occupations</v>
      </c>
      <c r="B1221" s="302">
        <v>0.20615479166323242</v>
      </c>
      <c r="C1221" s="302">
        <v>0.46354316431561665</v>
      </c>
      <c r="D1221" s="302">
        <v>1.7090565037190603E-2</v>
      </c>
      <c r="E1221" s="302">
        <f t="shared" si="518"/>
        <v>0.68678852101603971</v>
      </c>
      <c r="F1221" s="303"/>
      <c r="G1221" s="302">
        <v>0.22135415098337699</v>
      </c>
      <c r="H1221" s="302">
        <v>0.35194036634143971</v>
      </c>
      <c r="I1221" s="302">
        <v>1.3841747194435193E-2</v>
      </c>
      <c r="J1221" s="302">
        <f t="shared" ref="J1221:J1224" si="521">SUM(G1221:I1221)</f>
        <v>0.58713626451925194</v>
      </c>
      <c r="K1221" s="303"/>
      <c r="L1221" s="302">
        <v>0.21017715935280701</v>
      </c>
      <c r="M1221" s="302">
        <v>0.39807272816348133</v>
      </c>
      <c r="N1221" s="302">
        <v>1.4203553026621622E-2</v>
      </c>
      <c r="O1221" s="302">
        <f t="shared" si="520"/>
        <v>0.62245344054290985</v>
      </c>
    </row>
    <row r="1222" spans="1:15" s="236" customFormat="1" x14ac:dyDescent="0.2">
      <c r="A1222" s="237" t="str">
        <f>name!E$10</f>
        <v>Sales and customer service occupations</v>
      </c>
      <c r="B1222" s="302">
        <v>0.11417879448472956</v>
      </c>
      <c r="C1222" s="302">
        <v>0.27106495296471855</v>
      </c>
      <c r="D1222" s="302">
        <v>1.2905822993472036E-2</v>
      </c>
      <c r="E1222" s="302">
        <f t="shared" si="518"/>
        <v>0.39814957044292015</v>
      </c>
      <c r="F1222" s="303"/>
      <c r="G1222" s="302">
        <v>0.12816934984596356</v>
      </c>
      <c r="H1222" s="302">
        <v>0.20434512060297752</v>
      </c>
      <c r="I1222" s="302">
        <v>7.6373514762702304E-3</v>
      </c>
      <c r="J1222" s="302">
        <f t="shared" si="521"/>
        <v>0.34015182192521132</v>
      </c>
      <c r="K1222" s="303"/>
      <c r="L1222" s="302">
        <v>0.13479776188682563</v>
      </c>
      <c r="M1222" s="302">
        <v>0.20387002011314334</v>
      </c>
      <c r="N1222" s="302">
        <v>6.8398402007149211E-3</v>
      </c>
      <c r="O1222" s="302">
        <f t="shared" si="520"/>
        <v>0.34550762220068387</v>
      </c>
    </row>
    <row r="1223" spans="1:15" s="236" customFormat="1" x14ac:dyDescent="0.2">
      <c r="A1223" s="237" t="str">
        <f>name!E$11</f>
        <v>Process, plant and machine operatives</v>
      </c>
      <c r="B1223" s="302">
        <v>5.0730630314352911E-2</v>
      </c>
      <c r="C1223" s="302">
        <v>5.4259625032855682E-2</v>
      </c>
      <c r="D1223" s="302">
        <v>3.4168685162848781E-3</v>
      </c>
      <c r="E1223" s="302">
        <f t="shared" si="518"/>
        <v>0.10840712386349348</v>
      </c>
      <c r="F1223" s="303"/>
      <c r="G1223" s="302">
        <v>3.88684393392075E-2</v>
      </c>
      <c r="H1223" s="302">
        <v>3.9868274670541659E-2</v>
      </c>
      <c r="I1223" s="302">
        <v>2.6630820641063567E-3</v>
      </c>
      <c r="J1223" s="302">
        <f t="shared" si="521"/>
        <v>8.1399796073855515E-2</v>
      </c>
      <c r="K1223" s="303"/>
      <c r="L1223" s="302">
        <v>3.1878786958407158E-2</v>
      </c>
      <c r="M1223" s="302">
        <v>4.9175964221819482E-2</v>
      </c>
      <c r="N1223" s="302">
        <v>3.5148806346890779E-3</v>
      </c>
      <c r="O1223" s="302">
        <f t="shared" si="520"/>
        <v>8.4569631814915724E-2</v>
      </c>
    </row>
    <row r="1224" spans="1:15" s="236" customFormat="1" x14ac:dyDescent="0.2">
      <c r="A1224" s="237" t="str">
        <f>name!E$12</f>
        <v>Elementary occupations</v>
      </c>
      <c r="B1224" s="302">
        <v>0.17224641043885661</v>
      </c>
      <c r="C1224" s="302">
        <v>0.60627198027085916</v>
      </c>
      <c r="D1224" s="302">
        <v>1.1341917510477235E-2</v>
      </c>
      <c r="E1224" s="302">
        <f t="shared" si="518"/>
        <v>0.78986030822019293</v>
      </c>
      <c r="F1224" s="303"/>
      <c r="G1224" s="302">
        <v>0.1464608081078608</v>
      </c>
      <c r="H1224" s="302">
        <v>0.40675528477281697</v>
      </c>
      <c r="I1224" s="302">
        <v>5.7765595561789403E-3</v>
      </c>
      <c r="J1224" s="302">
        <f t="shared" si="521"/>
        <v>0.5589926524368567</v>
      </c>
      <c r="K1224" s="303"/>
      <c r="L1224" s="302">
        <v>0.12737171584512946</v>
      </c>
      <c r="M1224" s="302">
        <v>0.29419128622030355</v>
      </c>
      <c r="N1224" s="302">
        <v>6.9170960412369802E-3</v>
      </c>
      <c r="O1224" s="302">
        <f t="shared" si="520"/>
        <v>0.42848009810666998</v>
      </c>
    </row>
    <row r="1225" spans="1:15" s="236" customFormat="1" x14ac:dyDescent="0.2">
      <c r="A1225" s="237"/>
      <c r="B1225" s="302"/>
      <c r="C1225" s="302"/>
      <c r="D1225" s="302"/>
      <c r="E1225" s="302"/>
      <c r="F1225" s="303"/>
      <c r="G1225" s="302"/>
      <c r="H1225" s="302"/>
      <c r="I1225" s="302"/>
      <c r="J1225" s="302"/>
      <c r="K1225" s="303"/>
      <c r="L1225" s="302"/>
      <c r="M1225" s="302"/>
      <c r="N1225" s="302"/>
      <c r="O1225" s="302"/>
    </row>
    <row r="1226" spans="1:15" s="236" customFormat="1" x14ac:dyDescent="0.2">
      <c r="A1226" s="244" t="s">
        <v>32</v>
      </c>
      <c r="B1226" s="311">
        <f>SUM(B1216:B1224)</f>
        <v>2.505999999985157</v>
      </c>
      <c r="C1226" s="311">
        <f t="shared" ref="C1226:E1226" si="522">SUM(C1216:C1224)</f>
        <v>2.6020000000032186</v>
      </c>
      <c r="D1226" s="311">
        <f t="shared" si="522"/>
        <v>0.7370000000154141</v>
      </c>
      <c r="E1226" s="311">
        <f t="shared" si="522"/>
        <v>5.8450000000037896</v>
      </c>
      <c r="F1226" s="311"/>
      <c r="G1226" s="311">
        <f t="shared" ref="G1226:J1226" si="523">SUM(G1216:G1224)</f>
        <v>2.8469999999752273</v>
      </c>
      <c r="H1226" s="311">
        <f t="shared" si="523"/>
        <v>2.1790000000122784</v>
      </c>
      <c r="I1226" s="311">
        <f t="shared" si="523"/>
        <v>0.56199999999661376</v>
      </c>
      <c r="J1226" s="311">
        <f t="shared" si="523"/>
        <v>5.5879999999841194</v>
      </c>
      <c r="K1226" s="311"/>
      <c r="L1226" s="311">
        <f t="shared" ref="L1226:O1226" si="524">SUM(L1216:L1224)</f>
        <v>2.7419999999984919</v>
      </c>
      <c r="M1226" s="311">
        <f t="shared" si="524"/>
        <v>2.2490000000082588</v>
      </c>
      <c r="N1226" s="311">
        <f t="shared" si="524"/>
        <v>0.6130000000226602</v>
      </c>
      <c r="O1226" s="311">
        <f t="shared" si="524"/>
        <v>5.6040000000294112</v>
      </c>
    </row>
    <row r="1227" spans="1:15" s="236" customFormat="1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37"/>
      <c r="M1227" s="237"/>
      <c r="N1227" s="240"/>
    </row>
    <row r="1228" spans="1:15" s="236" customFormat="1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37"/>
      <c r="M1228" s="237"/>
      <c r="N1228" s="240"/>
      <c r="O1228" s="251" t="s">
        <v>35</v>
      </c>
    </row>
    <row r="1229" spans="1:15" s="236" customFormat="1" x14ac:dyDescent="0.2">
      <c r="A1229" s="242"/>
      <c r="B1229" s="242"/>
      <c r="C1229" s="242"/>
      <c r="D1229" s="242"/>
      <c r="E1229" s="242"/>
      <c r="F1229" s="242"/>
      <c r="G1229" s="242"/>
      <c r="H1229" s="242"/>
      <c r="I1229" s="242"/>
      <c r="J1229" s="242"/>
      <c r="K1229" s="242"/>
      <c r="L1229" s="242"/>
      <c r="M1229" s="242"/>
      <c r="N1229" s="242"/>
      <c r="O1229" s="242"/>
    </row>
    <row r="1230" spans="1:15" s="236" customFormat="1" x14ac:dyDescent="0.2">
      <c r="A1230" s="241" t="str">
        <f>name!A75</f>
        <v>Sport and recreation</v>
      </c>
      <c r="B1230" s="374">
        <f>$B$6</f>
        <v>2015</v>
      </c>
      <c r="C1230" s="374"/>
      <c r="D1230" s="374"/>
      <c r="E1230" s="374"/>
      <c r="F1230" s="263"/>
      <c r="G1230" s="374">
        <f>$G$6</f>
        <v>2020</v>
      </c>
      <c r="H1230" s="374"/>
      <c r="I1230" s="374"/>
      <c r="J1230" s="374"/>
      <c r="K1230" s="263"/>
      <c r="L1230" s="374">
        <f>$L$6</f>
        <v>2035</v>
      </c>
      <c r="M1230" s="374"/>
      <c r="N1230" s="374"/>
      <c r="O1230" s="374"/>
    </row>
    <row r="1231" spans="1:15" s="236" customFormat="1" x14ac:dyDescent="0.2">
      <c r="A1231" s="254"/>
      <c r="B1231" s="268" t="str">
        <f>$B$7</f>
        <v>FT</v>
      </c>
      <c r="C1231" s="268" t="str">
        <f>$C$7</f>
        <v>PT</v>
      </c>
      <c r="D1231" s="268" t="str">
        <f>$D$7</f>
        <v>SE</v>
      </c>
      <c r="E1231" s="268" t="str">
        <f>$E$7</f>
        <v>Total</v>
      </c>
      <c r="F1231" s="268"/>
      <c r="G1231" s="268" t="str">
        <f>$G$7</f>
        <v>FT</v>
      </c>
      <c r="H1231" s="268" t="str">
        <f>$H$7</f>
        <v>PT</v>
      </c>
      <c r="I1231" s="268" t="str">
        <f>$I$7</f>
        <v>SE</v>
      </c>
      <c r="J1231" s="268" t="str">
        <f>$J$7</f>
        <v>Total</v>
      </c>
      <c r="K1231" s="268"/>
      <c r="L1231" s="268" t="str">
        <f>$L$7</f>
        <v>FT</v>
      </c>
      <c r="M1231" s="268" t="str">
        <f>$M$7</f>
        <v>PT</v>
      </c>
      <c r="N1231" s="268" t="str">
        <f>$N$7</f>
        <v>SE</v>
      </c>
      <c r="O1231" s="268" t="str">
        <f>$O$7</f>
        <v>Total</v>
      </c>
    </row>
    <row r="1232" spans="1:15" s="236" customFormat="1" x14ac:dyDescent="0.2">
      <c r="A1232" s="258"/>
      <c r="B1232" s="239"/>
      <c r="C1232" s="239"/>
      <c r="D1232" s="239"/>
      <c r="E1232" s="239"/>
      <c r="F1232" s="239"/>
      <c r="G1232" s="239"/>
      <c r="H1232" s="239"/>
      <c r="I1232" s="239"/>
      <c r="J1232" s="239"/>
      <c r="K1232" s="239"/>
      <c r="L1232" s="239"/>
      <c r="M1232" s="239"/>
      <c r="N1232" s="239"/>
      <c r="O1232" s="239"/>
    </row>
    <row r="1233" spans="1:15" s="236" customFormat="1" x14ac:dyDescent="0.2">
      <c r="A1233" s="237" t="str">
        <f>name!E$4</f>
        <v>Managers, directors and senior officials</v>
      </c>
      <c r="B1233" s="302">
        <v>1.8954698404005716</v>
      </c>
      <c r="C1233" s="302">
        <v>0.5652364262022852</v>
      </c>
      <c r="D1233" s="302">
        <v>0.47200084463356484</v>
      </c>
      <c r="E1233" s="302">
        <f>SUM(B1233:D1233)</f>
        <v>2.9327071112364216</v>
      </c>
      <c r="F1233" s="303"/>
      <c r="G1233" s="302">
        <v>2.1948109708310097</v>
      </c>
      <c r="H1233" s="302">
        <v>0.83104515917688881</v>
      </c>
      <c r="I1233" s="302">
        <v>0.44765806357801363</v>
      </c>
      <c r="J1233" s="302">
        <f>SUM(G1233:I1233)</f>
        <v>3.4735141935859124</v>
      </c>
      <c r="K1233" s="303"/>
      <c r="L1233" s="302">
        <v>2.2465869458587138</v>
      </c>
      <c r="M1233" s="302">
        <v>1.1863381579609344</v>
      </c>
      <c r="N1233" s="302">
        <v>0.52959644914333714</v>
      </c>
      <c r="O1233" s="302">
        <f>SUM(L1233:N1233)</f>
        <v>3.9625215529629854</v>
      </c>
    </row>
    <row r="1234" spans="1:15" s="236" customFormat="1" x14ac:dyDescent="0.2">
      <c r="A1234" s="237" t="str">
        <f>name!E$5</f>
        <v>Professional occupations</v>
      </c>
      <c r="B1234" s="302">
        <v>1.9329450918050541</v>
      </c>
      <c r="C1234" s="302">
        <v>1.0809118180823949</v>
      </c>
      <c r="D1234" s="302">
        <v>1.0035069795456597</v>
      </c>
      <c r="E1234" s="302">
        <f t="shared" ref="E1234:E1241" si="525">SUM(B1234:D1234)</f>
        <v>4.017363889433109</v>
      </c>
      <c r="F1234" s="303"/>
      <c r="G1234" s="302">
        <v>2.8381078616130226</v>
      </c>
      <c r="H1234" s="302">
        <v>1.7515425188760485</v>
      </c>
      <c r="I1234" s="302">
        <v>0.87130094001059932</v>
      </c>
      <c r="J1234" s="302">
        <f t="shared" ref="J1234:J1236" si="526">SUM(G1234:I1234)</f>
        <v>5.4609513204996709</v>
      </c>
      <c r="K1234" s="303"/>
      <c r="L1234" s="302">
        <v>3.0713841138038522</v>
      </c>
      <c r="M1234" s="302">
        <v>2.2995410632966169</v>
      </c>
      <c r="N1234" s="302">
        <v>0.9673730104777728</v>
      </c>
      <c r="O1234" s="302">
        <f t="shared" ref="O1234:O1241" si="527">SUM(L1234:N1234)</f>
        <v>6.3382981875782418</v>
      </c>
    </row>
    <row r="1235" spans="1:15" s="236" customFormat="1" x14ac:dyDescent="0.2">
      <c r="A1235" s="237" t="str">
        <f>name!E$6</f>
        <v>Associate professional occupations</v>
      </c>
      <c r="B1235" s="302">
        <v>2.2825047329064838</v>
      </c>
      <c r="C1235" s="302">
        <v>1.5162336000764054</v>
      </c>
      <c r="D1235" s="302">
        <v>2.2163607263711924</v>
      </c>
      <c r="E1235" s="302">
        <f t="shared" si="525"/>
        <v>6.0150990593540818</v>
      </c>
      <c r="F1235" s="303"/>
      <c r="G1235" s="302">
        <v>2.6501479702002397</v>
      </c>
      <c r="H1235" s="302">
        <v>1.844490424056711</v>
      </c>
      <c r="I1235" s="302">
        <v>2.0557087598929664</v>
      </c>
      <c r="J1235" s="302">
        <f t="shared" si="526"/>
        <v>6.5503471541499172</v>
      </c>
      <c r="K1235" s="303"/>
      <c r="L1235" s="302">
        <v>2.4646061630196883</v>
      </c>
      <c r="M1235" s="302">
        <v>1.757661489298799</v>
      </c>
      <c r="N1235" s="302">
        <v>2.3046355131235954</v>
      </c>
      <c r="O1235" s="302">
        <f t="shared" si="527"/>
        <v>6.526903165442083</v>
      </c>
    </row>
    <row r="1236" spans="1:15" s="236" customFormat="1" x14ac:dyDescent="0.2">
      <c r="A1236" s="237" t="str">
        <f>name!E$7</f>
        <v>Administrative and secretarial occupations</v>
      </c>
      <c r="B1236" s="302">
        <v>1.2971679934777016</v>
      </c>
      <c r="C1236" s="302">
        <v>2.9469160970928692</v>
      </c>
      <c r="D1236" s="302">
        <v>7.4406430556348102E-2</v>
      </c>
      <c r="E1236" s="302">
        <f t="shared" si="525"/>
        <v>4.3184905211269182</v>
      </c>
      <c r="F1236" s="303"/>
      <c r="G1236" s="302">
        <v>1.5830719972243097</v>
      </c>
      <c r="H1236" s="302">
        <v>3.4682471630608993</v>
      </c>
      <c r="I1236" s="302">
        <v>5.3816056325796738E-2</v>
      </c>
      <c r="J1236" s="302">
        <f t="shared" si="526"/>
        <v>5.1051352166110053</v>
      </c>
      <c r="K1236" s="303"/>
      <c r="L1236" s="302">
        <v>1.2763486040155019</v>
      </c>
      <c r="M1236" s="302">
        <v>3.090391304408008</v>
      </c>
      <c r="N1236" s="302">
        <v>5.6663119058289899E-2</v>
      </c>
      <c r="O1236" s="302">
        <f t="shared" si="527"/>
        <v>4.4234030274817995</v>
      </c>
    </row>
    <row r="1237" spans="1:15" s="236" customFormat="1" x14ac:dyDescent="0.2">
      <c r="A1237" s="237" t="str">
        <f>name!E$8</f>
        <v>Skilled trades occupations</v>
      </c>
      <c r="B1237" s="302">
        <v>1.6820446935980355</v>
      </c>
      <c r="C1237" s="302">
        <v>1.0520398621609564</v>
      </c>
      <c r="D1237" s="302">
        <v>0.6148399581237628</v>
      </c>
      <c r="E1237" s="302">
        <f t="shared" si="525"/>
        <v>3.3489245138827548</v>
      </c>
      <c r="F1237" s="303"/>
      <c r="G1237" s="302">
        <v>1.4432583380738238</v>
      </c>
      <c r="H1237" s="302">
        <v>0.77642278202568715</v>
      </c>
      <c r="I1237" s="302">
        <v>0.49687950048436064</v>
      </c>
      <c r="J1237" s="302">
        <f>SUM(G1237:I1237)</f>
        <v>2.7165606205838713</v>
      </c>
      <c r="K1237" s="303"/>
      <c r="L1237" s="302">
        <v>1.0381601835726408</v>
      </c>
      <c r="M1237" s="302">
        <v>1.0734849386457022</v>
      </c>
      <c r="N1237" s="302">
        <v>0.55969232044224093</v>
      </c>
      <c r="O1237" s="302">
        <f t="shared" si="527"/>
        <v>2.671337442660584</v>
      </c>
    </row>
    <row r="1238" spans="1:15" s="236" customFormat="1" x14ac:dyDescent="0.2">
      <c r="A1238" s="237" t="str">
        <f>name!E$9</f>
        <v>Caring, leisure and other service occupations</v>
      </c>
      <c r="B1238" s="302">
        <v>1.7809140568260524</v>
      </c>
      <c r="C1238" s="302">
        <v>3.2156268924228315</v>
      </c>
      <c r="D1238" s="302">
        <v>0.34420007244235984</v>
      </c>
      <c r="E1238" s="302">
        <f t="shared" si="525"/>
        <v>5.340741021691243</v>
      </c>
      <c r="F1238" s="303"/>
      <c r="G1238" s="302">
        <v>1.9727953859920435</v>
      </c>
      <c r="H1238" s="302">
        <v>3.0480477769332248</v>
      </c>
      <c r="I1238" s="302">
        <v>0.31201809746551012</v>
      </c>
      <c r="J1238" s="302">
        <f t="shared" ref="J1238:J1241" si="528">SUM(G1238:I1238)</f>
        <v>5.3328612603907786</v>
      </c>
      <c r="K1238" s="303"/>
      <c r="L1238" s="302">
        <v>1.9929684292412229</v>
      </c>
      <c r="M1238" s="302">
        <v>3.1590910032422728</v>
      </c>
      <c r="N1238" s="302">
        <v>0.34713802648330339</v>
      </c>
      <c r="O1238" s="302">
        <f t="shared" si="527"/>
        <v>5.4991974589667993</v>
      </c>
    </row>
    <row r="1239" spans="1:15" s="236" customFormat="1" x14ac:dyDescent="0.2">
      <c r="A1239" s="237" t="str">
        <f>name!E$10</f>
        <v>Sales and customer service occupations</v>
      </c>
      <c r="B1239" s="302">
        <v>0.57050359797334027</v>
      </c>
      <c r="C1239" s="302">
        <v>1.2858247822183817</v>
      </c>
      <c r="D1239" s="302">
        <v>9.9678782129866486E-2</v>
      </c>
      <c r="E1239" s="302">
        <f t="shared" si="525"/>
        <v>1.9560071623215887</v>
      </c>
      <c r="F1239" s="303"/>
      <c r="G1239" s="302">
        <v>0.64235274046631163</v>
      </c>
      <c r="H1239" s="302">
        <v>1.2258052601724345</v>
      </c>
      <c r="I1239" s="302">
        <v>7.2848718790548925E-2</v>
      </c>
      <c r="J1239" s="302">
        <f t="shared" si="528"/>
        <v>1.941006719429295</v>
      </c>
      <c r="K1239" s="303"/>
      <c r="L1239" s="302">
        <v>0.6588314368404502</v>
      </c>
      <c r="M1239" s="302">
        <v>1.2549942774400735</v>
      </c>
      <c r="N1239" s="302">
        <v>6.6606315198390983E-2</v>
      </c>
      <c r="O1239" s="302">
        <f t="shared" si="527"/>
        <v>1.9804320294789146</v>
      </c>
    </row>
    <row r="1240" spans="1:15" s="236" customFormat="1" x14ac:dyDescent="0.2">
      <c r="A1240" s="237" t="str">
        <f>name!E$11</f>
        <v>Process, plant and machine operatives</v>
      </c>
      <c r="B1240" s="302">
        <v>0.31090007414532955</v>
      </c>
      <c r="C1240" s="302">
        <v>0.29216386564922114</v>
      </c>
      <c r="D1240" s="302">
        <v>2.8832674482469733E-2</v>
      </c>
      <c r="E1240" s="302">
        <f t="shared" si="525"/>
        <v>0.63189661427702049</v>
      </c>
      <c r="F1240" s="303"/>
      <c r="G1240" s="302">
        <v>0.24842318657070592</v>
      </c>
      <c r="H1240" s="302">
        <v>0.24458683695331351</v>
      </c>
      <c r="I1240" s="302">
        <v>2.6554052961295989E-2</v>
      </c>
      <c r="J1240" s="302">
        <f t="shared" si="528"/>
        <v>0.51956407648531544</v>
      </c>
      <c r="K1240" s="303"/>
      <c r="L1240" s="302">
        <v>0.23848088087412403</v>
      </c>
      <c r="M1240" s="302">
        <v>0.26503136323854537</v>
      </c>
      <c r="N1240" s="302">
        <v>3.6797762050056082E-2</v>
      </c>
      <c r="O1240" s="302">
        <f t="shared" si="527"/>
        <v>0.54031000616272551</v>
      </c>
    </row>
    <row r="1241" spans="1:15" s="236" customFormat="1" x14ac:dyDescent="0.2">
      <c r="A1241" s="237" t="str">
        <f>name!E$12</f>
        <v>Elementary occupations</v>
      </c>
      <c r="B1241" s="302">
        <v>0.91754991877422321</v>
      </c>
      <c r="C1241" s="302">
        <v>3.3630466561459813</v>
      </c>
      <c r="D1241" s="302">
        <v>0.10017353186503999</v>
      </c>
      <c r="E1241" s="302">
        <f t="shared" si="525"/>
        <v>4.3807701067852447</v>
      </c>
      <c r="F1241" s="303"/>
      <c r="G1241" s="302">
        <v>0.78603154889909388</v>
      </c>
      <c r="H1241" s="302">
        <v>2.8638120788543864</v>
      </c>
      <c r="I1241" s="302">
        <v>6.8215810508121089E-2</v>
      </c>
      <c r="J1241" s="302">
        <f t="shared" si="528"/>
        <v>3.718059438261601</v>
      </c>
      <c r="K1241" s="303"/>
      <c r="L1241" s="302">
        <v>0.72863324277779451</v>
      </c>
      <c r="M1241" s="302">
        <v>2.1204664024949804</v>
      </c>
      <c r="N1241" s="302">
        <v>0.10049748421504466</v>
      </c>
      <c r="O1241" s="302">
        <f t="shared" si="527"/>
        <v>2.9495971294878198</v>
      </c>
    </row>
    <row r="1242" spans="1:15" s="236" customFormat="1" x14ac:dyDescent="0.2">
      <c r="A1242" s="237"/>
      <c r="B1242" s="302"/>
      <c r="C1242" s="302"/>
      <c r="D1242" s="302"/>
      <c r="E1242" s="302"/>
      <c r="F1242" s="303"/>
      <c r="G1242" s="302"/>
      <c r="H1242" s="302"/>
      <c r="I1242" s="302"/>
      <c r="J1242" s="302"/>
      <c r="K1242" s="303"/>
      <c r="L1242" s="302"/>
      <c r="M1242" s="302"/>
      <c r="N1242" s="302"/>
      <c r="O1242" s="302"/>
    </row>
    <row r="1243" spans="1:15" s="236" customFormat="1" x14ac:dyDescent="0.2">
      <c r="A1243" s="244" t="s">
        <v>32</v>
      </c>
      <c r="B1243" s="311">
        <f>SUM(B1233:B1241)</f>
        <v>12.669999999906794</v>
      </c>
      <c r="C1243" s="311">
        <f t="shared" ref="C1243:E1243" si="529">SUM(C1233:C1241)</f>
        <v>15.318000000051326</v>
      </c>
      <c r="D1243" s="311">
        <f t="shared" si="529"/>
        <v>4.9540000001502635</v>
      </c>
      <c r="E1243" s="311">
        <f t="shared" si="529"/>
        <v>32.942000000108386</v>
      </c>
      <c r="F1243" s="311"/>
      <c r="G1243" s="311">
        <f t="shared" ref="G1243:J1243" si="530">SUM(G1233:G1241)</f>
        <v>14.35899999987056</v>
      </c>
      <c r="H1243" s="311">
        <f t="shared" si="530"/>
        <v>16.054000000109593</v>
      </c>
      <c r="I1243" s="311">
        <f t="shared" si="530"/>
        <v>4.4050000000172131</v>
      </c>
      <c r="J1243" s="311">
        <f t="shared" si="530"/>
        <v>34.817999999997369</v>
      </c>
      <c r="K1243" s="311"/>
      <c r="L1243" s="311">
        <f t="shared" ref="L1243:O1243" si="531">SUM(L1233:L1241)</f>
        <v>13.716000000003989</v>
      </c>
      <c r="M1243" s="311">
        <f t="shared" si="531"/>
        <v>16.207000000025932</v>
      </c>
      <c r="N1243" s="311">
        <f t="shared" si="531"/>
        <v>4.9690000001920316</v>
      </c>
      <c r="O1243" s="311">
        <f t="shared" si="531"/>
        <v>34.892000000221955</v>
      </c>
    </row>
    <row r="1244" spans="1:15" s="236" customFormat="1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37"/>
      <c r="M1244" s="237"/>
      <c r="N1244" s="240"/>
    </row>
    <row r="1245" spans="1:15" s="236" customFormat="1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37"/>
      <c r="M1245" s="237"/>
      <c r="N1245" s="240"/>
      <c r="O1245" s="251" t="s">
        <v>35</v>
      </c>
    </row>
    <row r="1246" spans="1:15" s="236" customFormat="1" x14ac:dyDescent="0.2">
      <c r="A1246" s="242"/>
      <c r="B1246" s="242"/>
      <c r="C1246" s="242"/>
      <c r="D1246" s="242"/>
      <c r="E1246" s="242"/>
      <c r="F1246" s="242"/>
      <c r="G1246" s="242"/>
      <c r="H1246" s="242"/>
      <c r="I1246" s="242"/>
      <c r="J1246" s="242"/>
      <c r="K1246" s="242"/>
      <c r="L1246" s="242"/>
      <c r="M1246" s="242"/>
      <c r="N1246" s="242"/>
      <c r="O1246" s="242"/>
    </row>
    <row r="1247" spans="1:15" s="236" customFormat="1" x14ac:dyDescent="0.2">
      <c r="A1247" s="241" t="str">
        <f>name!A76</f>
        <v>Membership organisations</v>
      </c>
      <c r="B1247" s="374">
        <f>$B$6</f>
        <v>2015</v>
      </c>
      <c r="C1247" s="374"/>
      <c r="D1247" s="374"/>
      <c r="E1247" s="374"/>
      <c r="F1247" s="263"/>
      <c r="G1247" s="374">
        <f>$G$6</f>
        <v>2020</v>
      </c>
      <c r="H1247" s="374"/>
      <c r="I1247" s="374"/>
      <c r="J1247" s="374"/>
      <c r="K1247" s="263"/>
      <c r="L1247" s="374">
        <f>$L$6</f>
        <v>2035</v>
      </c>
      <c r="M1247" s="374"/>
      <c r="N1247" s="374"/>
      <c r="O1247" s="374"/>
    </row>
    <row r="1248" spans="1:15" s="236" customFormat="1" x14ac:dyDescent="0.2">
      <c r="A1248" s="254"/>
      <c r="B1248" s="268" t="str">
        <f>$B$7</f>
        <v>FT</v>
      </c>
      <c r="C1248" s="268" t="str">
        <f>$C$7</f>
        <v>PT</v>
      </c>
      <c r="D1248" s="268" t="str">
        <f>$D$7</f>
        <v>SE</v>
      </c>
      <c r="E1248" s="268" t="str">
        <f>$E$7</f>
        <v>Total</v>
      </c>
      <c r="F1248" s="268"/>
      <c r="G1248" s="268" t="str">
        <f>$G$7</f>
        <v>FT</v>
      </c>
      <c r="H1248" s="268" t="str">
        <f>$H$7</f>
        <v>PT</v>
      </c>
      <c r="I1248" s="268" t="str">
        <f>$I$7</f>
        <v>SE</v>
      </c>
      <c r="J1248" s="268" t="str">
        <f>$J$7</f>
        <v>Total</v>
      </c>
      <c r="K1248" s="268"/>
      <c r="L1248" s="268" t="str">
        <f>$L$7</f>
        <v>FT</v>
      </c>
      <c r="M1248" s="268" t="str">
        <f>$M$7</f>
        <v>PT</v>
      </c>
      <c r="N1248" s="268" t="str">
        <f>$N$7</f>
        <v>SE</v>
      </c>
      <c r="O1248" s="268" t="str">
        <f>$O$7</f>
        <v>Total</v>
      </c>
    </row>
    <row r="1249" spans="1:15" s="236" customFormat="1" x14ac:dyDescent="0.2">
      <c r="A1249" s="258"/>
      <c r="B1249" s="239"/>
      <c r="C1249" s="239"/>
      <c r="D1249" s="239"/>
      <c r="E1249" s="239"/>
      <c r="F1249" s="239"/>
      <c r="G1249" s="239"/>
      <c r="H1249" s="239"/>
      <c r="I1249" s="239"/>
      <c r="J1249" s="239"/>
      <c r="K1249" s="239"/>
      <c r="L1249" s="239"/>
      <c r="M1249" s="239"/>
      <c r="N1249" s="239"/>
      <c r="O1249" s="239"/>
    </row>
    <row r="1250" spans="1:15" s="236" customFormat="1" x14ac:dyDescent="0.2">
      <c r="A1250" s="237" t="str">
        <f>name!E$4</f>
        <v>Managers, directors and senior officials</v>
      </c>
      <c r="B1250" s="302">
        <v>0.57401342961364754</v>
      </c>
      <c r="C1250" s="302">
        <v>0.49476912084074537</v>
      </c>
      <c r="D1250" s="302">
        <v>0.55892599196193093</v>
      </c>
      <c r="E1250" s="302">
        <f>SUM(B1250:D1250)</f>
        <v>1.6277085424163238</v>
      </c>
      <c r="F1250" s="303"/>
      <c r="G1250" s="302">
        <v>0.83037463349844076</v>
      </c>
      <c r="H1250" s="302">
        <v>0.25223811028618681</v>
      </c>
      <c r="I1250" s="302">
        <v>0.67774765129054848</v>
      </c>
      <c r="J1250" s="302">
        <f>SUM(G1250:I1250)</f>
        <v>1.7603603950751761</v>
      </c>
      <c r="K1250" s="303"/>
      <c r="L1250" s="302">
        <v>0.8155705862597229</v>
      </c>
      <c r="M1250" s="302">
        <v>0.27669146642419251</v>
      </c>
      <c r="N1250" s="302">
        <v>0.60344436051976624</v>
      </c>
      <c r="O1250" s="302">
        <f>SUM(L1250:N1250)</f>
        <v>1.6957064132036814</v>
      </c>
    </row>
    <row r="1251" spans="1:15" s="236" customFormat="1" x14ac:dyDescent="0.2">
      <c r="A1251" s="237" t="str">
        <f>name!E$5</f>
        <v>Professional occupations</v>
      </c>
      <c r="B1251" s="302">
        <v>2.1076581443182953</v>
      </c>
      <c r="C1251" s="302">
        <v>2.2666417031882546</v>
      </c>
      <c r="D1251" s="302">
        <v>3.4137087563545712</v>
      </c>
      <c r="E1251" s="302">
        <f t="shared" ref="E1251:E1258" si="532">SUM(B1251:D1251)</f>
        <v>7.7880086038611207</v>
      </c>
      <c r="F1251" s="303"/>
      <c r="G1251" s="302">
        <v>3.4853989279813509</v>
      </c>
      <c r="H1251" s="302">
        <v>1.1911992130578262</v>
      </c>
      <c r="I1251" s="302">
        <v>3.0306788640037468</v>
      </c>
      <c r="J1251" s="302">
        <f t="shared" ref="J1251:J1253" si="533">SUM(G1251:I1251)</f>
        <v>7.7072770050429238</v>
      </c>
      <c r="K1251" s="303"/>
      <c r="L1251" s="302">
        <v>3.5435229328442541</v>
      </c>
      <c r="M1251" s="302">
        <v>1.2756091895922912</v>
      </c>
      <c r="N1251" s="302">
        <v>2.9715319546000707</v>
      </c>
      <c r="O1251" s="302">
        <f t="shared" ref="O1251:O1258" si="534">SUM(L1251:N1251)</f>
        <v>7.7906640770366158</v>
      </c>
    </row>
    <row r="1252" spans="1:15" s="236" customFormat="1" x14ac:dyDescent="0.2">
      <c r="A1252" s="237" t="str">
        <f>name!E$6</f>
        <v>Associate professional occupations</v>
      </c>
      <c r="B1252" s="302">
        <v>0.80035265753399631</v>
      </c>
      <c r="C1252" s="302">
        <v>1.3456996327695732</v>
      </c>
      <c r="D1252" s="302">
        <v>1.2195593667032878</v>
      </c>
      <c r="E1252" s="302">
        <f t="shared" si="532"/>
        <v>3.3656116570068573</v>
      </c>
      <c r="F1252" s="303"/>
      <c r="G1252" s="302">
        <v>1.1704564195790896</v>
      </c>
      <c r="H1252" s="302">
        <v>0.58424099601230428</v>
      </c>
      <c r="I1252" s="302">
        <v>1.4148173812122111</v>
      </c>
      <c r="J1252" s="302">
        <f t="shared" si="533"/>
        <v>3.1695147968036048</v>
      </c>
      <c r="K1252" s="303"/>
      <c r="L1252" s="302">
        <v>1.0068185431566039</v>
      </c>
      <c r="M1252" s="302">
        <v>0.51958851092126901</v>
      </c>
      <c r="N1252" s="302">
        <v>1.4386253770872186</v>
      </c>
      <c r="O1252" s="302">
        <f t="shared" si="534"/>
        <v>2.9650324311650915</v>
      </c>
    </row>
    <row r="1253" spans="1:15" s="236" customFormat="1" x14ac:dyDescent="0.2">
      <c r="A1253" s="237" t="str">
        <f>name!E$7</f>
        <v>Administrative and secretarial occupations</v>
      </c>
      <c r="B1253" s="302">
        <v>0.96687455418543933</v>
      </c>
      <c r="C1253" s="302">
        <v>3.5420935543093117</v>
      </c>
      <c r="D1253" s="302">
        <v>0.76202220456133218</v>
      </c>
      <c r="E1253" s="302">
        <f t="shared" si="532"/>
        <v>5.2709903130560836</v>
      </c>
      <c r="F1253" s="303"/>
      <c r="G1253" s="302">
        <v>1.1867056200227049</v>
      </c>
      <c r="H1253" s="302">
        <v>1.3858805898541873</v>
      </c>
      <c r="I1253" s="302">
        <v>0.83024621154701927</v>
      </c>
      <c r="J1253" s="302">
        <f t="shared" si="533"/>
        <v>3.4028324214239114</v>
      </c>
      <c r="K1253" s="303"/>
      <c r="L1253" s="302">
        <v>0.76225122342049145</v>
      </c>
      <c r="M1253" s="302">
        <v>1.1839152426009942</v>
      </c>
      <c r="N1253" s="302">
        <v>0.40915425548006074</v>
      </c>
      <c r="O1253" s="302">
        <f t="shared" si="534"/>
        <v>2.3553207215015464</v>
      </c>
    </row>
    <row r="1254" spans="1:15" s="236" customFormat="1" x14ac:dyDescent="0.2">
      <c r="A1254" s="237" t="str">
        <f>name!E$8</f>
        <v>Skilled trades occupations</v>
      </c>
      <c r="B1254" s="302">
        <v>0.10642470120090065</v>
      </c>
      <c r="C1254" s="302">
        <v>0.51724642357780548</v>
      </c>
      <c r="D1254" s="302">
        <v>0.35516978058376414</v>
      </c>
      <c r="E1254" s="302">
        <f t="shared" si="532"/>
        <v>0.97884090536247026</v>
      </c>
      <c r="F1254" s="303"/>
      <c r="G1254" s="302">
        <v>0.1079236659039545</v>
      </c>
      <c r="H1254" s="302">
        <v>0.12878801987672928</v>
      </c>
      <c r="I1254" s="302">
        <v>0.2421116700199904</v>
      </c>
      <c r="J1254" s="302">
        <f>SUM(G1254:I1254)</f>
        <v>0.47882335580067414</v>
      </c>
      <c r="K1254" s="303"/>
      <c r="L1254" s="302">
        <v>8.8704325529792752E-2</v>
      </c>
      <c r="M1254" s="302">
        <v>0.13242198508288339</v>
      </c>
      <c r="N1254" s="302">
        <v>0.33258605793561946</v>
      </c>
      <c r="O1254" s="302">
        <f t="shared" si="534"/>
        <v>0.55371236854829564</v>
      </c>
    </row>
    <row r="1255" spans="1:15" s="236" customFormat="1" x14ac:dyDescent="0.2">
      <c r="A1255" s="237" t="str">
        <f>name!E$9</f>
        <v>Caring, leisure and other service occupations</v>
      </c>
      <c r="B1255" s="302">
        <v>0.50649044839869373</v>
      </c>
      <c r="C1255" s="302">
        <v>1.3911189395343564</v>
      </c>
      <c r="D1255" s="302">
        <v>0.52815669983326208</v>
      </c>
      <c r="E1255" s="302">
        <f t="shared" si="532"/>
        <v>2.4257660877663123</v>
      </c>
      <c r="F1255" s="303"/>
      <c r="G1255" s="302">
        <v>0.64296248662111355</v>
      </c>
      <c r="H1255" s="302">
        <v>0.4876238469278884</v>
      </c>
      <c r="I1255" s="302">
        <v>0.64608789745431339</v>
      </c>
      <c r="J1255" s="302">
        <f t="shared" ref="J1255:J1258" si="535">SUM(G1255:I1255)</f>
        <v>1.7766742310033152</v>
      </c>
      <c r="K1255" s="303"/>
      <c r="L1255" s="302">
        <v>0.55811795191609981</v>
      </c>
      <c r="M1255" s="302">
        <v>0.41027823572706829</v>
      </c>
      <c r="N1255" s="302">
        <v>0.74917068307879187</v>
      </c>
      <c r="O1255" s="302">
        <f t="shared" si="534"/>
        <v>1.71756687072196</v>
      </c>
    </row>
    <row r="1256" spans="1:15" s="236" customFormat="1" x14ac:dyDescent="0.2">
      <c r="A1256" s="237" t="str">
        <f>name!E$10</f>
        <v>Sales and customer service occupations</v>
      </c>
      <c r="B1256" s="302">
        <v>9.1053901248265331E-2</v>
      </c>
      <c r="C1256" s="302">
        <v>0.32341279118488458</v>
      </c>
      <c r="D1256" s="302">
        <v>0.16211347090325795</v>
      </c>
      <c r="E1256" s="302">
        <f t="shared" si="532"/>
        <v>0.57658016333640782</v>
      </c>
      <c r="F1256" s="303"/>
      <c r="G1256" s="302">
        <v>0.11221168505147625</v>
      </c>
      <c r="H1256" s="302">
        <v>0.13192818164314021</v>
      </c>
      <c r="I1256" s="302">
        <v>0.12449141482435064</v>
      </c>
      <c r="J1256" s="302">
        <f t="shared" si="535"/>
        <v>0.36863128151896707</v>
      </c>
      <c r="K1256" s="303"/>
      <c r="L1256" s="302">
        <v>0.10510236951573267</v>
      </c>
      <c r="M1256" s="302">
        <v>0.13918681833970362</v>
      </c>
      <c r="N1256" s="302">
        <v>0.10653474907683826</v>
      </c>
      <c r="O1256" s="302">
        <f t="shared" si="534"/>
        <v>0.35082393693227454</v>
      </c>
    </row>
    <row r="1257" spans="1:15" s="236" customFormat="1" x14ac:dyDescent="0.2">
      <c r="A1257" s="237" t="str">
        <f>name!E$11</f>
        <v>Process, plant and machine operatives</v>
      </c>
      <c r="B1257" s="302">
        <v>4.4115139541253554E-2</v>
      </c>
      <c r="C1257" s="302">
        <v>0.24433766451318997</v>
      </c>
      <c r="D1257" s="302">
        <v>0.12835613669901272</v>
      </c>
      <c r="E1257" s="302">
        <f t="shared" si="532"/>
        <v>0.4168089407534562</v>
      </c>
      <c r="F1257" s="303"/>
      <c r="G1257" s="302">
        <v>4.2354450931006538E-2</v>
      </c>
      <c r="H1257" s="302">
        <v>8.279568196651213E-2</v>
      </c>
      <c r="I1257" s="302">
        <v>0.1343134706732943</v>
      </c>
      <c r="J1257" s="302">
        <f t="shared" si="535"/>
        <v>0.259463603570813</v>
      </c>
      <c r="K1257" s="303"/>
      <c r="L1257" s="302">
        <v>3.1977613968531986E-2</v>
      </c>
      <c r="M1257" s="302">
        <v>0.1304225724127144</v>
      </c>
      <c r="N1257" s="302">
        <v>0.10132166219465412</v>
      </c>
      <c r="O1257" s="302">
        <f t="shared" si="534"/>
        <v>0.26372184857590053</v>
      </c>
    </row>
    <row r="1258" spans="1:15" s="236" customFormat="1" x14ac:dyDescent="0.2">
      <c r="A1258" s="237" t="str">
        <f>name!E$12</f>
        <v>Elementary occupations</v>
      </c>
      <c r="B1258" s="302">
        <v>0.10401702387725149</v>
      </c>
      <c r="C1258" s="302">
        <v>2.3836801700787373</v>
      </c>
      <c r="D1258" s="302">
        <v>0.57998759244192299</v>
      </c>
      <c r="E1258" s="302">
        <f t="shared" si="532"/>
        <v>3.067684786397912</v>
      </c>
      <c r="F1258" s="303"/>
      <c r="G1258" s="302">
        <v>0.11361211022449462</v>
      </c>
      <c r="H1258" s="302">
        <v>0.74730536037926532</v>
      </c>
      <c r="I1258" s="302">
        <v>0.47150543874528866</v>
      </c>
      <c r="J1258" s="302">
        <f t="shared" si="535"/>
        <v>1.3324229093490485</v>
      </c>
      <c r="K1258" s="303"/>
      <c r="L1258" s="302">
        <v>0.10193445338672744</v>
      </c>
      <c r="M1258" s="302">
        <v>0.40688597889032635</v>
      </c>
      <c r="N1258" s="302">
        <v>0.34163090011439501</v>
      </c>
      <c r="O1258" s="302">
        <f t="shared" si="534"/>
        <v>0.85045133239144877</v>
      </c>
    </row>
    <row r="1259" spans="1:15" s="236" customFormat="1" x14ac:dyDescent="0.2">
      <c r="A1259" s="237"/>
      <c r="B1259" s="302"/>
      <c r="C1259" s="302"/>
      <c r="D1259" s="302"/>
      <c r="E1259" s="302"/>
      <c r="F1259" s="303"/>
      <c r="G1259" s="302"/>
      <c r="H1259" s="302"/>
      <c r="I1259" s="302"/>
      <c r="J1259" s="302"/>
      <c r="K1259" s="303"/>
      <c r="L1259" s="302"/>
      <c r="M1259" s="302"/>
      <c r="N1259" s="302"/>
      <c r="O1259" s="302"/>
    </row>
    <row r="1260" spans="1:15" s="236" customFormat="1" x14ac:dyDescent="0.2">
      <c r="A1260" s="244" t="s">
        <v>32</v>
      </c>
      <c r="B1260" s="311">
        <f>SUM(B1250:B1258)</f>
        <v>5.3009999999177424</v>
      </c>
      <c r="C1260" s="311">
        <f t="shared" ref="C1260:E1260" si="536">SUM(C1250:C1258)</f>
        <v>12.508999999996856</v>
      </c>
      <c r="D1260" s="311">
        <f t="shared" si="536"/>
        <v>7.7080000000423432</v>
      </c>
      <c r="E1260" s="311">
        <f t="shared" si="536"/>
        <v>25.517999999956945</v>
      </c>
      <c r="F1260" s="311"/>
      <c r="G1260" s="311">
        <f t="shared" ref="G1260:J1260" si="537">SUM(G1250:G1258)</f>
        <v>7.6919999998136319</v>
      </c>
      <c r="H1260" s="311">
        <f t="shared" si="537"/>
        <v>4.9920000000040394</v>
      </c>
      <c r="I1260" s="311">
        <f t="shared" si="537"/>
        <v>7.571999999770763</v>
      </c>
      <c r="J1260" s="311">
        <f t="shared" si="537"/>
        <v>20.255999999588436</v>
      </c>
      <c r="K1260" s="311"/>
      <c r="L1260" s="311">
        <f t="shared" ref="L1260:O1260" si="538">SUM(L1250:L1258)</f>
        <v>7.0139999999979565</v>
      </c>
      <c r="M1260" s="311">
        <f t="shared" si="538"/>
        <v>4.4749999999914429</v>
      </c>
      <c r="N1260" s="311">
        <f t="shared" si="538"/>
        <v>7.0540000000874166</v>
      </c>
      <c r="O1260" s="311">
        <f t="shared" si="538"/>
        <v>18.543000000076812</v>
      </c>
    </row>
    <row r="1261" spans="1:15" s="236" customFormat="1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37"/>
      <c r="M1261" s="237"/>
      <c r="N1261" s="240"/>
    </row>
    <row r="1262" spans="1:15" s="236" customFormat="1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37"/>
      <c r="M1262" s="237"/>
      <c r="N1262" s="240"/>
      <c r="O1262" s="251" t="s">
        <v>35</v>
      </c>
    </row>
    <row r="1263" spans="1:15" s="236" customFormat="1" x14ac:dyDescent="0.2">
      <c r="A1263" s="242"/>
      <c r="B1263" s="242"/>
      <c r="C1263" s="242"/>
      <c r="D1263" s="242"/>
      <c r="E1263" s="242"/>
      <c r="F1263" s="242"/>
      <c r="G1263" s="242"/>
      <c r="H1263" s="242"/>
      <c r="I1263" s="242"/>
      <c r="J1263" s="242"/>
      <c r="K1263" s="242"/>
      <c r="L1263" s="242"/>
      <c r="M1263" s="242"/>
      <c r="N1263" s="242"/>
      <c r="O1263" s="242"/>
    </row>
    <row r="1264" spans="1:15" s="236" customFormat="1" x14ac:dyDescent="0.2">
      <c r="A1264" s="241" t="str">
        <f>name!A77</f>
        <v>Repair of goods</v>
      </c>
      <c r="B1264" s="374">
        <f>$B$6</f>
        <v>2015</v>
      </c>
      <c r="C1264" s="374"/>
      <c r="D1264" s="374"/>
      <c r="E1264" s="374"/>
      <c r="F1264" s="263"/>
      <c r="G1264" s="374">
        <f>$G$6</f>
        <v>2020</v>
      </c>
      <c r="H1264" s="374"/>
      <c r="I1264" s="374"/>
      <c r="J1264" s="374"/>
      <c r="K1264" s="263"/>
      <c r="L1264" s="374">
        <f>$L$6</f>
        <v>2035</v>
      </c>
      <c r="M1264" s="374"/>
      <c r="N1264" s="374"/>
      <c r="O1264" s="374"/>
    </row>
    <row r="1265" spans="1:15" s="236" customFormat="1" x14ac:dyDescent="0.2">
      <c r="A1265" s="254"/>
      <c r="B1265" s="268" t="str">
        <f>$B$7</f>
        <v>FT</v>
      </c>
      <c r="C1265" s="268" t="str">
        <f>$C$7</f>
        <v>PT</v>
      </c>
      <c r="D1265" s="268" t="str">
        <f>$D$7</f>
        <v>SE</v>
      </c>
      <c r="E1265" s="268" t="str">
        <f>$E$7</f>
        <v>Total</v>
      </c>
      <c r="F1265" s="268"/>
      <c r="G1265" s="268" t="str">
        <f>$G$7</f>
        <v>FT</v>
      </c>
      <c r="H1265" s="268" t="str">
        <f>$H$7</f>
        <v>PT</v>
      </c>
      <c r="I1265" s="268" t="str">
        <f>$I$7</f>
        <v>SE</v>
      </c>
      <c r="J1265" s="268" t="str">
        <f>$J$7</f>
        <v>Total</v>
      </c>
      <c r="K1265" s="268"/>
      <c r="L1265" s="268" t="str">
        <f>$L$7</f>
        <v>FT</v>
      </c>
      <c r="M1265" s="268" t="str">
        <f>$M$7</f>
        <v>PT</v>
      </c>
      <c r="N1265" s="268" t="str">
        <f>$N$7</f>
        <v>SE</v>
      </c>
      <c r="O1265" s="268" t="str">
        <f>$O$7</f>
        <v>Total</v>
      </c>
    </row>
    <row r="1266" spans="1:15" s="236" customFormat="1" x14ac:dyDescent="0.2">
      <c r="A1266" s="258"/>
      <c r="B1266" s="239"/>
      <c r="C1266" s="239"/>
      <c r="D1266" s="239"/>
      <c r="E1266" s="239"/>
      <c r="F1266" s="239"/>
      <c r="G1266" s="239"/>
      <c r="H1266" s="239"/>
      <c r="I1266" s="239"/>
      <c r="J1266" s="239"/>
      <c r="K1266" s="239"/>
      <c r="L1266" s="239"/>
      <c r="M1266" s="239"/>
      <c r="N1266" s="239"/>
      <c r="O1266" s="239"/>
    </row>
    <row r="1267" spans="1:15" s="236" customFormat="1" x14ac:dyDescent="0.2">
      <c r="A1267" s="237" t="str">
        <f>name!E$4</f>
        <v>Managers, directors and senior officials</v>
      </c>
      <c r="B1267" s="302">
        <v>0.26874403924341167</v>
      </c>
      <c r="C1267" s="302">
        <v>8.8143720096699827E-3</v>
      </c>
      <c r="D1267" s="302">
        <v>0.55742432933560959</v>
      </c>
      <c r="E1267" s="302">
        <f>SUM(B1267:D1267)</f>
        <v>0.83498274058869126</v>
      </c>
      <c r="F1267" s="303"/>
      <c r="G1267" s="302">
        <v>0.40750228675205186</v>
      </c>
      <c r="H1267" s="302">
        <v>1.9450281236860989E-2</v>
      </c>
      <c r="I1267" s="302">
        <v>1.2080623826665258</v>
      </c>
      <c r="J1267" s="302">
        <f>SUM(G1267:I1267)</f>
        <v>1.6350149506554386</v>
      </c>
      <c r="K1267" s="303"/>
      <c r="L1267" s="302">
        <v>0.4056655253233557</v>
      </c>
      <c r="M1267" s="302">
        <v>2.086192860180737E-2</v>
      </c>
      <c r="N1267" s="302">
        <v>1.0143728696780787</v>
      </c>
      <c r="O1267" s="302">
        <f>SUM(L1267:N1267)</f>
        <v>1.4409003236032418</v>
      </c>
    </row>
    <row r="1268" spans="1:15" s="236" customFormat="1" x14ac:dyDescent="0.2">
      <c r="A1268" s="237" t="str">
        <f>name!E$5</f>
        <v>Professional occupations</v>
      </c>
      <c r="B1268" s="302">
        <v>0.4404470525042764</v>
      </c>
      <c r="C1268" s="302">
        <v>1.2952598996488493E-2</v>
      </c>
      <c r="D1268" s="302">
        <v>0.29560392068569297</v>
      </c>
      <c r="E1268" s="302">
        <f t="shared" ref="E1268:E1275" si="539">SUM(B1268:D1268)</f>
        <v>0.74900357218645786</v>
      </c>
      <c r="F1268" s="303"/>
      <c r="G1268" s="302">
        <v>0.81486098455153744</v>
      </c>
      <c r="H1268" s="302">
        <v>3.3386400093119349E-2</v>
      </c>
      <c r="I1268" s="302">
        <v>0.71251156123765402</v>
      </c>
      <c r="J1268" s="302">
        <f t="shared" ref="J1268:J1270" si="540">SUM(G1268:I1268)</f>
        <v>1.5607589458823108</v>
      </c>
      <c r="K1268" s="303"/>
      <c r="L1268" s="302">
        <v>1.0469105732452837</v>
      </c>
      <c r="M1268" s="302">
        <v>4.5829048128549911E-2</v>
      </c>
      <c r="N1268" s="302">
        <v>0.63889519901381731</v>
      </c>
      <c r="O1268" s="302">
        <f t="shared" ref="O1268:O1275" si="541">SUM(L1268:N1268)</f>
        <v>1.7316348203876508</v>
      </c>
    </row>
    <row r="1269" spans="1:15" s="236" customFormat="1" x14ac:dyDescent="0.2">
      <c r="A1269" s="237" t="str">
        <f>name!E$6</f>
        <v>Associate professional occupations</v>
      </c>
      <c r="B1269" s="302">
        <v>0.16495723225204245</v>
      </c>
      <c r="C1269" s="302">
        <v>1.8778134293565167E-2</v>
      </c>
      <c r="D1269" s="302">
        <v>0.18517918662808786</v>
      </c>
      <c r="E1269" s="302">
        <f t="shared" si="539"/>
        <v>0.36891455317369548</v>
      </c>
      <c r="F1269" s="303"/>
      <c r="G1269" s="302">
        <v>0.26548390175076647</v>
      </c>
      <c r="H1269" s="302">
        <v>3.5292741189938776E-2</v>
      </c>
      <c r="I1269" s="302">
        <v>0.49079633326165412</v>
      </c>
      <c r="J1269" s="302">
        <f t="shared" si="540"/>
        <v>0.79157297620235934</v>
      </c>
      <c r="K1269" s="303"/>
      <c r="L1269" s="302">
        <v>0.27206775110822773</v>
      </c>
      <c r="M1269" s="302">
        <v>3.1051069306553224E-2</v>
      </c>
      <c r="N1269" s="302">
        <v>0.37227235388606039</v>
      </c>
      <c r="O1269" s="302">
        <f t="shared" si="541"/>
        <v>0.67539117430084139</v>
      </c>
    </row>
    <row r="1270" spans="1:15" s="236" customFormat="1" x14ac:dyDescent="0.2">
      <c r="A1270" s="237" t="str">
        <f>name!E$7</f>
        <v>Administrative and secretarial occupations</v>
      </c>
      <c r="B1270" s="302">
        <v>5.6397016061479101E-2</v>
      </c>
      <c r="C1270" s="302">
        <v>2.4359488201616545E-2</v>
      </c>
      <c r="D1270" s="302">
        <v>4.5577494759153285E-2</v>
      </c>
      <c r="E1270" s="302">
        <f t="shared" si="539"/>
        <v>0.12633399902224893</v>
      </c>
      <c r="F1270" s="303"/>
      <c r="G1270" s="302">
        <v>7.9551738374535788E-2</v>
      </c>
      <c r="H1270" s="302">
        <v>4.0299933229316041E-2</v>
      </c>
      <c r="I1270" s="302">
        <v>0.1177789069089463</v>
      </c>
      <c r="J1270" s="302">
        <f t="shared" si="540"/>
        <v>0.23763057851279812</v>
      </c>
      <c r="K1270" s="303"/>
      <c r="L1270" s="302">
        <v>5.7255046367227586E-2</v>
      </c>
      <c r="M1270" s="302">
        <v>3.2686476554732981E-2</v>
      </c>
      <c r="N1270" s="302">
        <v>0.78262903880305179</v>
      </c>
      <c r="O1270" s="302">
        <f t="shared" si="541"/>
        <v>0.87257056172501235</v>
      </c>
    </row>
    <row r="1271" spans="1:15" s="236" customFormat="1" x14ac:dyDescent="0.2">
      <c r="A1271" s="237" t="str">
        <f>name!E$8</f>
        <v>Skilled trades occupations</v>
      </c>
      <c r="B1271" s="302">
        <v>0.10537648182316756</v>
      </c>
      <c r="C1271" s="302">
        <v>1.9589239603728176E-2</v>
      </c>
      <c r="D1271" s="302">
        <v>0.32314936704284047</v>
      </c>
      <c r="E1271" s="302">
        <f t="shared" si="539"/>
        <v>0.44811508846973619</v>
      </c>
      <c r="F1271" s="303"/>
      <c r="G1271" s="302">
        <v>0.11069225113297385</v>
      </c>
      <c r="H1271" s="302">
        <v>1.7461401369241705E-2</v>
      </c>
      <c r="I1271" s="302">
        <v>0.59777328252898254</v>
      </c>
      <c r="J1271" s="302">
        <f>SUM(G1271:I1271)</f>
        <v>0.7259269350311981</v>
      </c>
      <c r="K1271" s="303"/>
      <c r="L1271" s="302">
        <v>9.1229493577784176E-2</v>
      </c>
      <c r="M1271" s="302">
        <v>1.687673504667174E-2</v>
      </c>
      <c r="N1271" s="302">
        <v>0.59780446363921536</v>
      </c>
      <c r="O1271" s="302">
        <f t="shared" si="541"/>
        <v>0.70591069226367131</v>
      </c>
    </row>
    <row r="1272" spans="1:15" s="236" customFormat="1" x14ac:dyDescent="0.2">
      <c r="A1272" s="237" t="str">
        <f>name!E$9</f>
        <v>Caring, leisure and other service occupations</v>
      </c>
      <c r="B1272" s="302">
        <v>1.2756161899970732E-2</v>
      </c>
      <c r="C1272" s="302">
        <v>3.180702719348311E-3</v>
      </c>
      <c r="D1272" s="302">
        <v>2.6791341298036609E-2</v>
      </c>
      <c r="E1272" s="302">
        <f t="shared" si="539"/>
        <v>4.2728205917355655E-2</v>
      </c>
      <c r="F1272" s="303"/>
      <c r="G1272" s="302">
        <v>2.0589010663945459E-2</v>
      </c>
      <c r="H1272" s="302">
        <v>4.2581390143007266E-3</v>
      </c>
      <c r="I1272" s="302">
        <v>8.5334615370834907E-2</v>
      </c>
      <c r="J1272" s="302">
        <f t="shared" ref="J1272:J1275" si="542">SUM(G1272:I1272)</f>
        <v>0.11018176504908109</v>
      </c>
      <c r="K1272" s="303"/>
      <c r="L1272" s="302">
        <v>2.879472624871177E-2</v>
      </c>
      <c r="M1272" s="302">
        <v>3.5761863592875583E-3</v>
      </c>
      <c r="N1272" s="302">
        <v>9.4845797543443813E-2</v>
      </c>
      <c r="O1272" s="302">
        <f t="shared" si="541"/>
        <v>0.12721671015144315</v>
      </c>
    </row>
    <row r="1273" spans="1:15" s="236" customFormat="1" x14ac:dyDescent="0.2">
      <c r="A1273" s="237" t="str">
        <f>name!E$10</f>
        <v>Sales and customer service occupations</v>
      </c>
      <c r="B1273" s="302">
        <v>0.16193430041095022</v>
      </c>
      <c r="C1273" s="302">
        <v>0.39882129699638774</v>
      </c>
      <c r="D1273" s="302">
        <v>0.36975812314774614</v>
      </c>
      <c r="E1273" s="302">
        <f t="shared" si="539"/>
        <v>0.93051372055508408</v>
      </c>
      <c r="F1273" s="303"/>
      <c r="G1273" s="302">
        <v>0.17995191282369796</v>
      </c>
      <c r="H1273" s="302">
        <v>0.55965879940198915</v>
      </c>
      <c r="I1273" s="302">
        <v>0.49761868545010418</v>
      </c>
      <c r="J1273" s="302">
        <f t="shared" si="542"/>
        <v>1.2372293976757913</v>
      </c>
      <c r="K1273" s="303"/>
      <c r="L1273" s="302">
        <v>7.5723357227331062E-2</v>
      </c>
      <c r="M1273" s="302">
        <v>0.4967747896070685</v>
      </c>
      <c r="N1273" s="302">
        <v>0.20214706029864993</v>
      </c>
      <c r="O1273" s="302">
        <f t="shared" si="541"/>
        <v>0.77464520713304952</v>
      </c>
    </row>
    <row r="1274" spans="1:15" s="236" customFormat="1" x14ac:dyDescent="0.2">
      <c r="A1274" s="237" t="str">
        <f>name!E$11</f>
        <v>Process, plant and machine operatives</v>
      </c>
      <c r="B1274" s="302">
        <v>5.9006460801283793E-2</v>
      </c>
      <c r="C1274" s="302">
        <v>3.0449273603080085E-2</v>
      </c>
      <c r="D1274" s="302">
        <v>6.3177244114594897E-2</v>
      </c>
      <c r="E1274" s="302">
        <f t="shared" si="539"/>
        <v>0.1526329785189588</v>
      </c>
      <c r="F1274" s="303"/>
      <c r="G1274" s="302">
        <v>5.7826285532185079E-2</v>
      </c>
      <c r="H1274" s="302">
        <v>4.3143704060416295E-2</v>
      </c>
      <c r="I1274" s="302">
        <v>0.1242065454199386</v>
      </c>
      <c r="J1274" s="302">
        <f t="shared" si="542"/>
        <v>0.22517653501253998</v>
      </c>
      <c r="K1274" s="303"/>
      <c r="L1274" s="302">
        <v>1.8831571739728933E-2</v>
      </c>
      <c r="M1274" s="302">
        <v>5.6351553534986769E-2</v>
      </c>
      <c r="N1274" s="302">
        <v>5.0089751021388941E-2</v>
      </c>
      <c r="O1274" s="302">
        <f t="shared" si="541"/>
        <v>0.12527287629610465</v>
      </c>
    </row>
    <row r="1275" spans="1:15" s="236" customFormat="1" x14ac:dyDescent="0.2">
      <c r="A1275" s="237" t="str">
        <f>name!E$12</f>
        <v>Elementary occupations</v>
      </c>
      <c r="B1275" s="302">
        <v>0.10238125501176898</v>
      </c>
      <c r="C1275" s="302">
        <v>8.0054893585932221E-2</v>
      </c>
      <c r="D1275" s="302">
        <v>2.5338993010151634E-2</v>
      </c>
      <c r="E1275" s="302">
        <f t="shared" si="539"/>
        <v>0.20777514160785282</v>
      </c>
      <c r="F1275" s="303"/>
      <c r="G1275" s="302">
        <v>0.10754162837068364</v>
      </c>
      <c r="H1275" s="302">
        <v>8.9048600421509222E-2</v>
      </c>
      <c r="I1275" s="302">
        <v>5.0917687109600096E-2</v>
      </c>
      <c r="J1275" s="302">
        <f t="shared" si="542"/>
        <v>0.24750791590179294</v>
      </c>
      <c r="K1275" s="303"/>
      <c r="L1275" s="302">
        <v>5.9521955121358577E-2</v>
      </c>
      <c r="M1275" s="302">
        <v>6.9992212864293829E-2</v>
      </c>
      <c r="N1275" s="302">
        <v>8.5943466284992207E-2</v>
      </c>
      <c r="O1275" s="302">
        <f t="shared" si="541"/>
        <v>0.21545763427064463</v>
      </c>
    </row>
    <row r="1276" spans="1:15" s="236" customFormat="1" x14ac:dyDescent="0.2">
      <c r="A1276" s="237"/>
      <c r="B1276" s="302"/>
      <c r="C1276" s="302"/>
      <c r="D1276" s="302"/>
      <c r="E1276" s="302"/>
      <c r="F1276" s="303"/>
      <c r="G1276" s="302"/>
      <c r="H1276" s="302"/>
      <c r="I1276" s="302"/>
      <c r="J1276" s="302"/>
      <c r="K1276" s="303"/>
      <c r="L1276" s="302"/>
      <c r="M1276" s="302"/>
      <c r="N1276" s="302"/>
      <c r="O1276" s="302"/>
    </row>
    <row r="1277" spans="1:15" s="236" customFormat="1" x14ac:dyDescent="0.2">
      <c r="A1277" s="244" t="s">
        <v>32</v>
      </c>
      <c r="B1277" s="311">
        <f>SUM(B1267:B1275)</f>
        <v>1.3720000000083505</v>
      </c>
      <c r="C1277" s="311">
        <f t="shared" ref="C1277:E1277" si="543">SUM(C1267:C1275)</f>
        <v>0.59700000000981679</v>
      </c>
      <c r="D1277" s="311">
        <f t="shared" si="543"/>
        <v>1.892000000021913</v>
      </c>
      <c r="E1277" s="311">
        <f t="shared" si="543"/>
        <v>3.8610000000400806</v>
      </c>
      <c r="F1277" s="311"/>
      <c r="G1277" s="311">
        <f t="shared" ref="G1277:J1277" si="544">SUM(G1267:G1275)</f>
        <v>2.0439999999523777</v>
      </c>
      <c r="H1277" s="311">
        <f t="shared" si="544"/>
        <v>0.84200000001669228</v>
      </c>
      <c r="I1277" s="311">
        <f t="shared" si="544"/>
        <v>3.8849999999542404</v>
      </c>
      <c r="J1277" s="311">
        <f t="shared" si="544"/>
        <v>6.7709999999233101</v>
      </c>
      <c r="K1277" s="311"/>
      <c r="L1277" s="311">
        <f t="shared" ref="L1277:O1277" si="545">SUM(L1267:L1275)</f>
        <v>2.0559999999590093</v>
      </c>
      <c r="M1277" s="311">
        <f t="shared" si="545"/>
        <v>0.77400000000395186</v>
      </c>
      <c r="N1277" s="311">
        <f t="shared" si="545"/>
        <v>3.8390000001686984</v>
      </c>
      <c r="O1277" s="311">
        <f t="shared" si="545"/>
        <v>6.6690000001316605</v>
      </c>
    </row>
    <row r="1278" spans="1:15" s="236" customFormat="1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37"/>
      <c r="M1278" s="237"/>
      <c r="N1278" s="240"/>
    </row>
    <row r="1279" spans="1:15" s="236" customFormat="1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37"/>
      <c r="M1279" s="237"/>
      <c r="N1279" s="240"/>
      <c r="O1279" s="251" t="s">
        <v>35</v>
      </c>
    </row>
    <row r="1280" spans="1:15" s="236" customFormat="1" x14ac:dyDescent="0.2">
      <c r="A1280" s="242"/>
      <c r="B1280" s="242"/>
      <c r="C1280" s="242"/>
      <c r="D1280" s="242"/>
      <c r="E1280" s="242"/>
      <c r="F1280" s="242"/>
      <c r="G1280" s="242"/>
      <c r="H1280" s="242"/>
      <c r="I1280" s="242"/>
      <c r="J1280" s="242"/>
      <c r="K1280" s="242"/>
      <c r="L1280" s="242"/>
      <c r="M1280" s="242"/>
      <c r="N1280" s="242"/>
      <c r="O1280" s="242"/>
    </row>
    <row r="1281" spans="1:15" s="236" customFormat="1" x14ac:dyDescent="0.2">
      <c r="A1281" s="241" t="str">
        <f>name!A78</f>
        <v>Other personal service</v>
      </c>
      <c r="B1281" s="374">
        <f>$B$6</f>
        <v>2015</v>
      </c>
      <c r="C1281" s="374"/>
      <c r="D1281" s="374"/>
      <c r="E1281" s="374"/>
      <c r="F1281" s="263"/>
      <c r="G1281" s="374">
        <f>$G$6</f>
        <v>2020</v>
      </c>
      <c r="H1281" s="374"/>
      <c r="I1281" s="374"/>
      <c r="J1281" s="374"/>
      <c r="K1281" s="263"/>
      <c r="L1281" s="374">
        <f>$L$6</f>
        <v>2035</v>
      </c>
      <c r="M1281" s="374"/>
      <c r="N1281" s="374"/>
      <c r="O1281" s="374"/>
    </row>
    <row r="1282" spans="1:15" s="236" customFormat="1" x14ac:dyDescent="0.2">
      <c r="A1282" s="254"/>
      <c r="B1282" s="268" t="str">
        <f>$B$7</f>
        <v>FT</v>
      </c>
      <c r="C1282" s="268" t="str">
        <f>$C$7</f>
        <v>PT</v>
      </c>
      <c r="D1282" s="268" t="str">
        <f>$D$7</f>
        <v>SE</v>
      </c>
      <c r="E1282" s="268" t="str">
        <f>$E$7</f>
        <v>Total</v>
      </c>
      <c r="F1282" s="268"/>
      <c r="G1282" s="268" t="str">
        <f>$G$7</f>
        <v>FT</v>
      </c>
      <c r="H1282" s="268" t="str">
        <f>$H$7</f>
        <v>PT</v>
      </c>
      <c r="I1282" s="268" t="str">
        <f>$I$7</f>
        <v>SE</v>
      </c>
      <c r="J1282" s="268" t="str">
        <f>$J$7</f>
        <v>Total</v>
      </c>
      <c r="K1282" s="268"/>
      <c r="L1282" s="268" t="str">
        <f>$L$7</f>
        <v>FT</v>
      </c>
      <c r="M1282" s="268" t="str">
        <f>$M$7</f>
        <v>PT</v>
      </c>
      <c r="N1282" s="268" t="str">
        <f>$N$7</f>
        <v>SE</v>
      </c>
      <c r="O1282" s="268" t="str">
        <f>$O$7</f>
        <v>Total</v>
      </c>
    </row>
    <row r="1283" spans="1:15" s="236" customFormat="1" x14ac:dyDescent="0.2">
      <c r="A1283" s="258"/>
      <c r="B1283" s="239"/>
      <c r="C1283" s="239"/>
      <c r="D1283" s="239"/>
      <c r="E1283" s="239"/>
      <c r="F1283" s="239"/>
      <c r="G1283" s="239"/>
      <c r="H1283" s="239"/>
      <c r="I1283" s="239"/>
      <c r="J1283" s="239"/>
      <c r="K1283" s="239"/>
      <c r="L1283" s="239"/>
      <c r="M1283" s="239"/>
      <c r="N1283" s="239"/>
      <c r="O1283" s="239"/>
    </row>
    <row r="1284" spans="1:15" s="236" customFormat="1" x14ac:dyDescent="0.2">
      <c r="A1284" s="237" t="str">
        <f>name!E$4</f>
        <v>Managers, directors and senior officials</v>
      </c>
      <c r="B1284" s="302">
        <v>0.76119302560947844</v>
      </c>
      <c r="C1284" s="302">
        <v>0.15145211347088269</v>
      </c>
      <c r="D1284" s="302">
        <v>1.1387821405822969</v>
      </c>
      <c r="E1284" s="302">
        <f>SUM(B1284:D1284)</f>
        <v>2.0514272796626578</v>
      </c>
      <c r="F1284" s="303"/>
      <c r="G1284" s="302">
        <v>1.226268124135671</v>
      </c>
      <c r="H1284" s="302">
        <v>0.30934779295704135</v>
      </c>
      <c r="I1284" s="302">
        <v>1.6383935434200576</v>
      </c>
      <c r="J1284" s="302">
        <f>SUM(G1284:I1284)</f>
        <v>3.17400946051277</v>
      </c>
      <c r="K1284" s="303"/>
      <c r="L1284" s="302">
        <v>1.3194593671191008</v>
      </c>
      <c r="M1284" s="302">
        <v>0.36909525392930348</v>
      </c>
      <c r="N1284" s="302">
        <v>1.564690821449378</v>
      </c>
      <c r="O1284" s="302">
        <f>SUM(L1284:N1284)</f>
        <v>3.2532454424977821</v>
      </c>
    </row>
    <row r="1285" spans="1:15" s="236" customFormat="1" x14ac:dyDescent="0.2">
      <c r="A1285" s="237" t="str">
        <f>name!E$5</f>
        <v>Professional occupations</v>
      </c>
      <c r="B1285" s="302">
        <v>0.65887251270518565</v>
      </c>
      <c r="C1285" s="302">
        <v>0.27321663457949208</v>
      </c>
      <c r="D1285" s="302">
        <v>0.67741249547439764</v>
      </c>
      <c r="E1285" s="302">
        <f t="shared" ref="E1285:E1292" si="546">SUM(B1285:D1285)</f>
        <v>1.6095016427590754</v>
      </c>
      <c r="F1285" s="303"/>
      <c r="G1285" s="302">
        <v>1.2011968682141017</v>
      </c>
      <c r="H1285" s="302">
        <v>0.60105221613352022</v>
      </c>
      <c r="I1285" s="302">
        <v>1.0441888584769012</v>
      </c>
      <c r="J1285" s="302">
        <f t="shared" ref="J1285:J1287" si="547">SUM(G1285:I1285)</f>
        <v>2.8464379428245232</v>
      </c>
      <c r="K1285" s="303"/>
      <c r="L1285" s="302">
        <v>1.3356994158962261</v>
      </c>
      <c r="M1285" s="302">
        <v>0.70065977177587868</v>
      </c>
      <c r="N1285" s="302">
        <v>0.69492242742320265</v>
      </c>
      <c r="O1285" s="302">
        <f t="shared" ref="O1285:O1292" si="548">SUM(L1285:N1285)</f>
        <v>2.7312816150953072</v>
      </c>
    </row>
    <row r="1286" spans="1:15" s="236" customFormat="1" x14ac:dyDescent="0.2">
      <c r="A1286" s="237" t="str">
        <f>name!E$6</f>
        <v>Associate professional occupations</v>
      </c>
      <c r="B1286" s="302">
        <v>0.52284645516835004</v>
      </c>
      <c r="C1286" s="302">
        <v>0.23488755336007164</v>
      </c>
      <c r="D1286" s="302">
        <v>0.75976970710994285</v>
      </c>
      <c r="E1286" s="302">
        <f t="shared" si="546"/>
        <v>1.5175037156383646</v>
      </c>
      <c r="F1286" s="303"/>
      <c r="G1286" s="302">
        <v>0.8487755297799312</v>
      </c>
      <c r="H1286" s="302">
        <v>0.45001013463137463</v>
      </c>
      <c r="I1286" s="302">
        <v>1.2173646966645788</v>
      </c>
      <c r="J1286" s="302">
        <f t="shared" si="547"/>
        <v>2.5161503610758844</v>
      </c>
      <c r="K1286" s="303"/>
      <c r="L1286" s="302">
        <v>0.77596643927746189</v>
      </c>
      <c r="M1286" s="302">
        <v>0.39394431832181342</v>
      </c>
      <c r="N1286" s="302">
        <v>0.71207430236501956</v>
      </c>
      <c r="O1286" s="302">
        <f t="shared" si="548"/>
        <v>1.8819850599642949</v>
      </c>
    </row>
    <row r="1287" spans="1:15" s="236" customFormat="1" x14ac:dyDescent="0.2">
      <c r="A1287" s="237" t="str">
        <f>name!E$7</f>
        <v>Administrative and secretarial occupations</v>
      </c>
      <c r="B1287" s="302">
        <v>0.39038482191285256</v>
      </c>
      <c r="C1287" s="302">
        <v>0.44883028352091775</v>
      </c>
      <c r="D1287" s="302">
        <v>7.1442052198771769E-2</v>
      </c>
      <c r="E1287" s="302">
        <f t="shared" si="546"/>
        <v>0.91065715763254207</v>
      </c>
      <c r="F1287" s="303"/>
      <c r="G1287" s="302">
        <v>0.62536318706127358</v>
      </c>
      <c r="H1287" s="302">
        <v>0.75218012746306973</v>
      </c>
      <c r="I1287" s="302">
        <v>0.11134945744984681</v>
      </c>
      <c r="J1287" s="302">
        <f t="shared" si="547"/>
        <v>1.48889277197419</v>
      </c>
      <c r="K1287" s="303"/>
      <c r="L1287" s="302">
        <v>0.55106020437118231</v>
      </c>
      <c r="M1287" s="302">
        <v>0.79278138794860076</v>
      </c>
      <c r="N1287" s="302">
        <v>0.25814258438286558</v>
      </c>
      <c r="O1287" s="302">
        <f t="shared" si="548"/>
        <v>1.6019841767026486</v>
      </c>
    </row>
    <row r="1288" spans="1:15" s="236" customFormat="1" x14ac:dyDescent="0.2">
      <c r="A1288" s="237" t="str">
        <f>name!E$8</f>
        <v>Skilled trades occupations</v>
      </c>
      <c r="B1288" s="302">
        <v>0.52800796145472106</v>
      </c>
      <c r="C1288" s="302">
        <v>0.27021484298191462</v>
      </c>
      <c r="D1288" s="302">
        <v>0.62561137314617954</v>
      </c>
      <c r="E1288" s="302">
        <f t="shared" si="546"/>
        <v>1.4238341775828154</v>
      </c>
      <c r="F1288" s="303"/>
      <c r="G1288" s="302">
        <v>0.61844670710800109</v>
      </c>
      <c r="H1288" s="302">
        <v>0.2642527408730439</v>
      </c>
      <c r="I1288" s="302">
        <v>0.87395461971552779</v>
      </c>
      <c r="J1288" s="302">
        <f>SUM(G1288:I1288)</f>
        <v>1.756654067696573</v>
      </c>
      <c r="K1288" s="303"/>
      <c r="L1288" s="302">
        <v>0.51335091422959389</v>
      </c>
      <c r="M1288" s="302">
        <v>0.27958240400023138</v>
      </c>
      <c r="N1288" s="302">
        <v>1.0725354924841422</v>
      </c>
      <c r="O1288" s="302">
        <f t="shared" si="548"/>
        <v>1.8654688107139674</v>
      </c>
    </row>
    <row r="1289" spans="1:15" s="236" customFormat="1" x14ac:dyDescent="0.2">
      <c r="A1289" s="237" t="str">
        <f>name!E$9</f>
        <v>Caring, leisure and other service occupations</v>
      </c>
      <c r="B1289" s="302">
        <v>4.4370506226967663</v>
      </c>
      <c r="C1289" s="302">
        <v>3.6848214569417546</v>
      </c>
      <c r="D1289" s="302">
        <v>6.030530836035453</v>
      </c>
      <c r="E1289" s="302">
        <f t="shared" si="546"/>
        <v>14.152402915673974</v>
      </c>
      <c r="F1289" s="303"/>
      <c r="G1289" s="302">
        <v>6.6385027648520261</v>
      </c>
      <c r="H1289" s="302">
        <v>5.1324179002041959</v>
      </c>
      <c r="I1289" s="302">
        <v>13.07915092687613</v>
      </c>
      <c r="J1289" s="302">
        <f t="shared" ref="J1289:J1292" si="549">SUM(G1289:I1289)</f>
        <v>24.850071591932352</v>
      </c>
      <c r="K1289" s="303"/>
      <c r="L1289" s="302">
        <v>5.9753865466594247</v>
      </c>
      <c r="M1289" s="302">
        <v>4.4726945722225695</v>
      </c>
      <c r="N1289" s="302">
        <v>12.51729151675552</v>
      </c>
      <c r="O1289" s="302">
        <f t="shared" si="548"/>
        <v>22.965372635637515</v>
      </c>
    </row>
    <row r="1290" spans="1:15" s="236" customFormat="1" x14ac:dyDescent="0.2">
      <c r="A1290" s="237" t="str">
        <f>name!E$10</f>
        <v>Sales and customer service occupations</v>
      </c>
      <c r="B1290" s="302">
        <v>0.19624287770080348</v>
      </c>
      <c r="C1290" s="302">
        <v>0.31425881633061525</v>
      </c>
      <c r="D1290" s="302">
        <v>0.34451114280710521</v>
      </c>
      <c r="E1290" s="302">
        <f t="shared" si="546"/>
        <v>0.85501283683852392</v>
      </c>
      <c r="F1290" s="303"/>
      <c r="G1290" s="302">
        <v>0.27998866006663109</v>
      </c>
      <c r="H1290" s="302">
        <v>0.49180651433394873</v>
      </c>
      <c r="I1290" s="302">
        <v>0.38352994752300851</v>
      </c>
      <c r="J1290" s="302">
        <f t="shared" si="549"/>
        <v>1.1553251219235883</v>
      </c>
      <c r="K1290" s="303"/>
      <c r="L1290" s="302">
        <v>0.31471449336974638</v>
      </c>
      <c r="M1290" s="302">
        <v>0.48847198973520878</v>
      </c>
      <c r="N1290" s="302">
        <v>0.23990090473745918</v>
      </c>
      <c r="O1290" s="302">
        <f t="shared" si="548"/>
        <v>1.0430873878424143</v>
      </c>
    </row>
    <row r="1291" spans="1:15" s="236" customFormat="1" x14ac:dyDescent="0.2">
      <c r="A1291" s="237" t="str">
        <f>name!E$11</f>
        <v>Process, plant and machine operatives</v>
      </c>
      <c r="B1291" s="302">
        <v>0.52584505597574549</v>
      </c>
      <c r="C1291" s="302">
        <v>0.44716329870419247</v>
      </c>
      <c r="D1291" s="302">
        <v>7.8922830989376414E-2</v>
      </c>
      <c r="E1291" s="302">
        <f t="shared" si="546"/>
        <v>1.0519311856693143</v>
      </c>
      <c r="F1291" s="303"/>
      <c r="G1291" s="302">
        <v>0.62960541282211757</v>
      </c>
      <c r="H1291" s="302">
        <v>0.58337520548603083</v>
      </c>
      <c r="I1291" s="302">
        <v>0.11354245273942998</v>
      </c>
      <c r="J1291" s="302">
        <f t="shared" si="549"/>
        <v>1.3265230710475784</v>
      </c>
      <c r="K1291" s="303"/>
      <c r="L1291" s="302">
        <v>0.55447305473906139</v>
      </c>
      <c r="M1291" s="302">
        <v>0.52681430209686408</v>
      </c>
      <c r="N1291" s="302">
        <v>9.3926321300646889E-2</v>
      </c>
      <c r="O1291" s="302">
        <f t="shared" si="548"/>
        <v>1.1752136781365723</v>
      </c>
    </row>
    <row r="1292" spans="1:15" s="236" customFormat="1" x14ac:dyDescent="0.2">
      <c r="A1292" s="237" t="str">
        <f>name!E$12</f>
        <v>Elementary occupations</v>
      </c>
      <c r="B1292" s="302">
        <v>0.98855666677938037</v>
      </c>
      <c r="C1292" s="302">
        <v>0.77515500020777051</v>
      </c>
      <c r="D1292" s="302">
        <v>0.54001742194180624</v>
      </c>
      <c r="E1292" s="302">
        <f t="shared" si="546"/>
        <v>2.3037290889289572</v>
      </c>
      <c r="F1292" s="303"/>
      <c r="G1292" s="302">
        <v>1.2858527459754452</v>
      </c>
      <c r="H1292" s="302">
        <v>0.9115573680732032</v>
      </c>
      <c r="I1292" s="302">
        <v>0.5415254969295592</v>
      </c>
      <c r="J1292" s="302">
        <f t="shared" si="549"/>
        <v>2.7389356109782077</v>
      </c>
      <c r="K1292" s="303"/>
      <c r="L1292" s="302">
        <v>1.3198895642798048</v>
      </c>
      <c r="M1292" s="302">
        <v>0.55595599990842104</v>
      </c>
      <c r="N1292" s="302">
        <v>0.53951562907284178</v>
      </c>
      <c r="O1292" s="302">
        <f t="shared" si="548"/>
        <v>2.4153611932610675</v>
      </c>
    </row>
    <row r="1293" spans="1:15" s="236" customFormat="1" x14ac:dyDescent="0.2">
      <c r="A1293" s="237"/>
      <c r="B1293" s="302"/>
      <c r="C1293" s="302"/>
      <c r="D1293" s="302"/>
      <c r="E1293" s="302"/>
      <c r="F1293" s="303"/>
      <c r="G1293" s="302"/>
      <c r="H1293" s="302"/>
      <c r="I1293" s="302"/>
      <c r="J1293" s="302"/>
      <c r="K1293" s="303"/>
      <c r="L1293" s="302"/>
      <c r="M1293" s="302"/>
      <c r="N1293" s="302"/>
      <c r="O1293" s="302"/>
    </row>
    <row r="1294" spans="1:15" s="236" customFormat="1" x14ac:dyDescent="0.2">
      <c r="A1294" s="244" t="s">
        <v>32</v>
      </c>
      <c r="B1294" s="311">
        <f>SUM(B1284:B1292)</f>
        <v>9.0090000000032848</v>
      </c>
      <c r="C1294" s="311">
        <f t="shared" ref="C1294:E1294" si="550">SUM(C1284:C1292)</f>
        <v>6.6000000000976113</v>
      </c>
      <c r="D1294" s="311">
        <f t="shared" si="550"/>
        <v>10.26700000028533</v>
      </c>
      <c r="E1294" s="311">
        <f t="shared" si="550"/>
        <v>25.876000000386224</v>
      </c>
      <c r="F1294" s="311"/>
      <c r="G1294" s="311">
        <f t="shared" ref="G1294:J1294" si="551">SUM(G1284:G1292)</f>
        <v>13.354000000015199</v>
      </c>
      <c r="H1294" s="311">
        <f t="shared" si="551"/>
        <v>9.4960000001554263</v>
      </c>
      <c r="I1294" s="311">
        <f t="shared" si="551"/>
        <v>19.002999999795041</v>
      </c>
      <c r="J1294" s="311">
        <f t="shared" si="551"/>
        <v>41.852999999965668</v>
      </c>
      <c r="K1294" s="311"/>
      <c r="L1294" s="311">
        <f t="shared" ref="L1294:O1294" si="552">SUM(L1284:L1292)</f>
        <v>12.659999999941604</v>
      </c>
      <c r="M1294" s="311">
        <f t="shared" si="552"/>
        <v>8.5799999999388916</v>
      </c>
      <c r="N1294" s="311">
        <f t="shared" si="552"/>
        <v>17.692999999971079</v>
      </c>
      <c r="O1294" s="311">
        <f t="shared" si="552"/>
        <v>38.932999999851567</v>
      </c>
    </row>
    <row r="1295" spans="1:15" s="236" customFormat="1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37"/>
      <c r="M1295" s="237"/>
      <c r="N1295" s="240"/>
    </row>
  </sheetData>
  <mergeCells count="228">
    <mergeCell ref="B6:E6"/>
    <mergeCell ref="G6:J6"/>
    <mergeCell ref="L6:O6"/>
    <mergeCell ref="B23:E23"/>
    <mergeCell ref="G23:J23"/>
    <mergeCell ref="L23:O23"/>
    <mergeCell ref="B108:E108"/>
    <mergeCell ref="G108:J108"/>
    <mergeCell ref="L108:O108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125:E125"/>
    <mergeCell ref="G125:J125"/>
    <mergeCell ref="L125:O125"/>
    <mergeCell ref="B91:E91"/>
    <mergeCell ref="G91:J91"/>
    <mergeCell ref="L91:O91"/>
    <mergeCell ref="B176:E176"/>
    <mergeCell ref="G176:J176"/>
    <mergeCell ref="L176:O176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380:E380"/>
    <mergeCell ref="G380:J380"/>
    <mergeCell ref="L380:O380"/>
    <mergeCell ref="B397:E397"/>
    <mergeCell ref="G397:J397"/>
    <mergeCell ref="L397:O397"/>
    <mergeCell ref="B346:E346"/>
    <mergeCell ref="G346:J346"/>
    <mergeCell ref="L346:O346"/>
    <mergeCell ref="B363:E363"/>
    <mergeCell ref="G363:J363"/>
    <mergeCell ref="L363:O363"/>
    <mergeCell ref="B448:E448"/>
    <mergeCell ref="G448:J448"/>
    <mergeCell ref="L448:O448"/>
    <mergeCell ref="B465:E465"/>
    <mergeCell ref="G465:J465"/>
    <mergeCell ref="L465:O465"/>
    <mergeCell ref="B414:E414"/>
    <mergeCell ref="G414:J414"/>
    <mergeCell ref="L414:O414"/>
    <mergeCell ref="B431:E431"/>
    <mergeCell ref="G431:J431"/>
    <mergeCell ref="L431:O431"/>
    <mergeCell ref="B516:E516"/>
    <mergeCell ref="G516:J516"/>
    <mergeCell ref="L516:O516"/>
    <mergeCell ref="B533:E533"/>
    <mergeCell ref="G533:J533"/>
    <mergeCell ref="L533:O533"/>
    <mergeCell ref="B482:E482"/>
    <mergeCell ref="G482:J482"/>
    <mergeCell ref="L482:O482"/>
    <mergeCell ref="B499:E499"/>
    <mergeCell ref="G499:J499"/>
    <mergeCell ref="L499:O499"/>
    <mergeCell ref="B584:E584"/>
    <mergeCell ref="G584:J584"/>
    <mergeCell ref="L584:O584"/>
    <mergeCell ref="B601:E601"/>
    <mergeCell ref="G601:J601"/>
    <mergeCell ref="L601:O601"/>
    <mergeCell ref="B550:E550"/>
    <mergeCell ref="G550:J550"/>
    <mergeCell ref="L550:O550"/>
    <mergeCell ref="B567:E567"/>
    <mergeCell ref="G567:J567"/>
    <mergeCell ref="L567:O567"/>
    <mergeCell ref="B652:E652"/>
    <mergeCell ref="G652:J652"/>
    <mergeCell ref="L652:O652"/>
    <mergeCell ref="B669:E669"/>
    <mergeCell ref="G669:J669"/>
    <mergeCell ref="L669:O669"/>
    <mergeCell ref="B618:E618"/>
    <mergeCell ref="G618:J618"/>
    <mergeCell ref="L618:O618"/>
    <mergeCell ref="B635:E635"/>
    <mergeCell ref="G635:J635"/>
    <mergeCell ref="L635:O635"/>
    <mergeCell ref="B720:E720"/>
    <mergeCell ref="G720:J720"/>
    <mergeCell ref="L720:O720"/>
    <mergeCell ref="B737:E737"/>
    <mergeCell ref="G737:J737"/>
    <mergeCell ref="L737:O737"/>
    <mergeCell ref="B686:E686"/>
    <mergeCell ref="G686:J686"/>
    <mergeCell ref="L686:O686"/>
    <mergeCell ref="B703:E703"/>
    <mergeCell ref="G703:J703"/>
    <mergeCell ref="L703:O703"/>
    <mergeCell ref="B788:E788"/>
    <mergeCell ref="G788:J788"/>
    <mergeCell ref="L788:O788"/>
    <mergeCell ref="B805:E805"/>
    <mergeCell ref="G805:J805"/>
    <mergeCell ref="L805:O805"/>
    <mergeCell ref="B754:E754"/>
    <mergeCell ref="G754:J754"/>
    <mergeCell ref="L754:O754"/>
    <mergeCell ref="B771:E771"/>
    <mergeCell ref="G771:J771"/>
    <mergeCell ref="L771:O771"/>
    <mergeCell ref="B856:E856"/>
    <mergeCell ref="G856:J856"/>
    <mergeCell ref="L856:O856"/>
    <mergeCell ref="B873:E873"/>
    <mergeCell ref="G873:J873"/>
    <mergeCell ref="L873:O873"/>
    <mergeCell ref="B822:E822"/>
    <mergeCell ref="G822:J822"/>
    <mergeCell ref="L822:O822"/>
    <mergeCell ref="B839:E839"/>
    <mergeCell ref="G839:J839"/>
    <mergeCell ref="L839:O839"/>
    <mergeCell ref="B924:E924"/>
    <mergeCell ref="G924:J924"/>
    <mergeCell ref="L924:O924"/>
    <mergeCell ref="B941:E941"/>
    <mergeCell ref="G941:J941"/>
    <mergeCell ref="L941:O941"/>
    <mergeCell ref="B890:E890"/>
    <mergeCell ref="G890:J890"/>
    <mergeCell ref="L890:O890"/>
    <mergeCell ref="B907:E907"/>
    <mergeCell ref="G907:J907"/>
    <mergeCell ref="L907:O907"/>
    <mergeCell ref="B992:E992"/>
    <mergeCell ref="G992:J992"/>
    <mergeCell ref="L992:O992"/>
    <mergeCell ref="B1009:E1009"/>
    <mergeCell ref="G1009:J1009"/>
    <mergeCell ref="L1009:O1009"/>
    <mergeCell ref="B958:E958"/>
    <mergeCell ref="G958:J958"/>
    <mergeCell ref="L958:O958"/>
    <mergeCell ref="B975:E975"/>
    <mergeCell ref="G975:J975"/>
    <mergeCell ref="L975:O975"/>
    <mergeCell ref="B1060:E1060"/>
    <mergeCell ref="G1060:J1060"/>
    <mergeCell ref="L1060:O1060"/>
    <mergeCell ref="B1077:E1077"/>
    <mergeCell ref="G1077:J1077"/>
    <mergeCell ref="L1077:O1077"/>
    <mergeCell ref="B1026:E1026"/>
    <mergeCell ref="G1026:J1026"/>
    <mergeCell ref="L1026:O1026"/>
    <mergeCell ref="B1043:E1043"/>
    <mergeCell ref="G1043:J1043"/>
    <mergeCell ref="L1043:O1043"/>
    <mergeCell ref="B1128:E1128"/>
    <mergeCell ref="G1128:J1128"/>
    <mergeCell ref="L1128:O1128"/>
    <mergeCell ref="B1145:E1145"/>
    <mergeCell ref="G1145:J1145"/>
    <mergeCell ref="L1145:O1145"/>
    <mergeCell ref="B1094:E1094"/>
    <mergeCell ref="G1094:J1094"/>
    <mergeCell ref="L1094:O1094"/>
    <mergeCell ref="B1111:E1111"/>
    <mergeCell ref="G1111:J1111"/>
    <mergeCell ref="L1111:O1111"/>
    <mergeCell ref="B1196:E1196"/>
    <mergeCell ref="G1196:J1196"/>
    <mergeCell ref="L1196:O1196"/>
    <mergeCell ref="B1213:E1213"/>
    <mergeCell ref="G1213:J1213"/>
    <mergeCell ref="L1213:O1213"/>
    <mergeCell ref="B1162:E1162"/>
    <mergeCell ref="G1162:J1162"/>
    <mergeCell ref="L1162:O1162"/>
    <mergeCell ref="B1179:E1179"/>
    <mergeCell ref="G1179:J1179"/>
    <mergeCell ref="L1179:O1179"/>
    <mergeCell ref="B1264:E1264"/>
    <mergeCell ref="G1264:J1264"/>
    <mergeCell ref="L1264:O1264"/>
    <mergeCell ref="B1281:E1281"/>
    <mergeCell ref="G1281:J1281"/>
    <mergeCell ref="L1281:O1281"/>
    <mergeCell ref="B1230:E1230"/>
    <mergeCell ref="G1230:J1230"/>
    <mergeCell ref="L1230:O1230"/>
    <mergeCell ref="B1247:E1247"/>
    <mergeCell ref="G1247:J1247"/>
    <mergeCell ref="L1247:O1247"/>
  </mergeCells>
  <pageMargins left="0.7" right="0.7" top="0.75" bottom="0.75" header="0.3" footer="0.3"/>
  <pageSetup paperSize="9" scale="72" fitToHeight="0" orientation="portrait" r:id="rId1"/>
  <rowBreaks count="18" manualBreakCount="18">
    <brk id="71" max="14" man="1"/>
    <brk id="139" max="14" man="1"/>
    <brk id="207" max="14" man="1"/>
    <brk id="275" max="14" man="1"/>
    <brk id="343" max="14" man="1"/>
    <brk id="411" max="14" man="1"/>
    <brk id="479" max="14" man="1"/>
    <brk id="547" max="14" man="1"/>
    <brk id="615" max="14" man="1"/>
    <brk id="683" max="14" man="1"/>
    <brk id="751" max="14" man="1"/>
    <brk id="819" max="14" man="1"/>
    <brk id="887" max="14" man="1"/>
    <brk id="955" max="14" man="1"/>
    <brk id="1023" max="14" man="1"/>
    <brk id="1091" max="14" man="1"/>
    <brk id="1159" max="14" man="1"/>
    <brk id="1227" max="14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7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16.14062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8" t="str">
        <f>CONCATENATE("Occupation Table 1  Employment Change by Occupation Group (SOC 2020) and Replacement Demand, ",B$6,"-",F$6,", ",Info!B5)</f>
        <v>Occupation Table 1  Employment Change by Occupation Group (SOC 2020) and Replacement Demand, 2015-2035, East Midlands</v>
      </c>
      <c r="L1" s="18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East Midlands</v>
      </c>
      <c r="W1" s="18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East Midlands</v>
      </c>
    </row>
    <row r="2" spans="1:32" x14ac:dyDescent="0.2">
      <c r="A2" s="1" t="s">
        <v>536</v>
      </c>
    </row>
    <row r="3" spans="1:32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2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27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27" t="str">
        <f>CONCATENATE(Z6,"-",AB6)</f>
        <v>2020-2035</v>
      </c>
      <c r="AE4" s="35"/>
      <c r="AF4" s="35"/>
    </row>
    <row r="5" spans="1:32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2">
      <c r="A6" s="40" t="s">
        <v>13</v>
      </c>
      <c r="B6" s="34">
        <f>'Occ T2'!B6</f>
        <v>2015</v>
      </c>
      <c r="C6" s="34">
        <f>'Occ T2'!C6</f>
        <v>2019</v>
      </c>
      <c r="D6" s="34">
        <f>'Occ T2'!D6</f>
        <v>2020</v>
      </c>
      <c r="E6" s="34">
        <f>'Occ T2'!E6</f>
        <v>2025</v>
      </c>
      <c r="F6" s="34">
        <f>'Occ T2'!F6</f>
        <v>2035</v>
      </c>
      <c r="G6" s="10"/>
      <c r="H6" s="62" t="s">
        <v>18</v>
      </c>
      <c r="I6" s="62" t="s">
        <v>31</v>
      </c>
      <c r="J6" s="62" t="s">
        <v>33</v>
      </c>
      <c r="L6" s="40" t="s">
        <v>13</v>
      </c>
      <c r="M6" s="34">
        <f>'Occ T2'!B6</f>
        <v>2015</v>
      </c>
      <c r="N6" s="34">
        <f>'Occ T2'!C6</f>
        <v>2019</v>
      </c>
      <c r="O6" s="34">
        <f>'Occ T2'!D6</f>
        <v>2020</v>
      </c>
      <c r="P6" s="34">
        <f>'Occ T2'!E6</f>
        <v>2025</v>
      </c>
      <c r="Q6" s="34">
        <f>'Occ T2'!F6</f>
        <v>2035</v>
      </c>
      <c r="R6" s="10"/>
      <c r="S6" s="62" t="s">
        <v>18</v>
      </c>
      <c r="T6" s="62" t="s">
        <v>31</v>
      </c>
      <c r="U6" s="62" t="s">
        <v>33</v>
      </c>
      <c r="W6" s="40" t="s">
        <v>13</v>
      </c>
      <c r="X6" s="34">
        <f>'Occ T2'!B6</f>
        <v>2015</v>
      </c>
      <c r="Y6" s="34">
        <f>'Occ T2'!C6</f>
        <v>2019</v>
      </c>
      <c r="Z6" s="34">
        <f>'Occ T2'!D6</f>
        <v>2020</v>
      </c>
      <c r="AA6" s="34">
        <f>'Occ T2'!E6</f>
        <v>2025</v>
      </c>
      <c r="AB6" s="34">
        <f>'Occ T2'!F6</f>
        <v>2035</v>
      </c>
      <c r="AC6" s="10"/>
      <c r="AD6" s="62" t="s">
        <v>18</v>
      </c>
      <c r="AE6" s="62" t="s">
        <v>31</v>
      </c>
      <c r="AF6" s="62" t="s">
        <v>33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MMULT(aggregation!$B$38:$AA$46,'Occ T2'!B8:B33)</f>
        <v>212.96694651679297</v>
      </c>
      <c r="C8" s="11">
        <f t="array" ref="C8:C16">MMULT(aggregation!$B$38:$AA$46,'Occ T2'!C8:C33)</f>
        <v>251.40387626698799</v>
      </c>
      <c r="D8" s="11">
        <f t="array" ref="D8:D16">MMULT(aggregation!$B$38:$AA$46,'Occ T2'!D8:D33)</f>
        <v>261.59893790686078</v>
      </c>
      <c r="E8" s="11">
        <f t="array" ref="E8:E16">MMULT(aggregation!$B$38:$AA$46,'Occ T2'!E8:E33)</f>
        <v>266.6330838180192</v>
      </c>
      <c r="F8" s="11">
        <f t="array" ref="F8:F16">MMULT(aggregation!$B$38:$AA$46,'Occ T2'!F8:F33)</f>
        <v>296.34659036718625</v>
      </c>
      <c r="G8" s="11"/>
      <c r="H8" s="11">
        <f>F8-D8</f>
        <v>34.747652460325469</v>
      </c>
      <c r="I8" s="11">
        <f t="array" ref="I8:I16">MMULT(aggregation!$B$38:$AA$46,'Occ T2'!I8:I33)</f>
        <v>142.3220831503528</v>
      </c>
      <c r="J8" s="11">
        <f>SUM(H8:I8)</f>
        <v>177.06973561067826</v>
      </c>
      <c r="L8" s="10" t="str">
        <f>name!E4</f>
        <v>Managers, directors and senior officials</v>
      </c>
      <c r="M8" s="11">
        <f t="array" ref="M8:M16">MMULT(aggregation!$B$38:$AA$46,'Occ T2'!M8:M33)</f>
        <v>148.4997171744717</v>
      </c>
      <c r="N8" s="11">
        <f t="array" ref="N8:N16">MMULT(aggregation!$B$38:$AA$46,'Occ T2'!N8:N33)</f>
        <v>168.30218571028536</v>
      </c>
      <c r="O8" s="11">
        <f t="array" ref="O8:O16">MMULT(aggregation!$B$38:$AA$46,'Occ T2'!O8:O33)</f>
        <v>176.9641047162865</v>
      </c>
      <c r="P8" s="11">
        <f t="array" ref="P8:P16">MMULT(aggregation!$B$38:$AA$46,'Occ T2'!P8:P33)</f>
        <v>178.23090536544771</v>
      </c>
      <c r="Q8" s="11">
        <f t="array" ref="Q8:Q16">MMULT(aggregation!$B$38:$AA$46,'Occ T2'!Q8:Q33)</f>
        <v>193.23439713976074</v>
      </c>
      <c r="R8" s="11"/>
      <c r="S8" s="11">
        <f>Q8-O8</f>
        <v>16.270292423474245</v>
      </c>
      <c r="T8" s="11">
        <f t="array" ref="T8:T16">MMULT(aggregation!$B$38:$AA$46,'Occ T2'!T8:T33)</f>
        <v>86.582184819011673</v>
      </c>
      <c r="U8" s="11">
        <f>SUM(S8:T8)</f>
        <v>102.85247724248592</v>
      </c>
      <c r="W8" s="10" t="str">
        <f>name!E4</f>
        <v>Managers, directors and senior officials</v>
      </c>
      <c r="X8" s="11">
        <f t="array" ref="X8:X16">MMULT(aggregation!$B$38:$AA$46,'Occ T2'!X8:X33)</f>
        <v>64.467229342321318</v>
      </c>
      <c r="Y8" s="11">
        <f t="array" ref="Y8:Y16">MMULT(aggregation!$B$38:$AA$46,'Occ T2'!Y8:Y33)</f>
        <v>83.101690556702422</v>
      </c>
      <c r="Z8" s="11">
        <f t="array" ref="Z8:Z16">MMULT(aggregation!$B$38:$AA$46,'Occ T2'!Z8:Z33)</f>
        <v>84.634833190574724</v>
      </c>
      <c r="AA8" s="11">
        <f t="array" ref="AA8:AA16">MMULT(aggregation!$B$38:$AA$46,'Occ T2'!AA8:AA33)</f>
        <v>88.4021784525724</v>
      </c>
      <c r="AB8" s="11">
        <f t="array" ref="AB8:AB16">MMULT(aggregation!$B$38:$AA$46,'Occ T2'!AB8:AB33)</f>
        <v>103.11219322742555</v>
      </c>
      <c r="AC8" s="11"/>
      <c r="AD8" s="11">
        <f>AB8-Z8</f>
        <v>18.477360036850826</v>
      </c>
      <c r="AE8" s="11">
        <f t="array" ref="AE8:AE16">MMULT(aggregation!$B$38:$AA$46,'Occ T2'!AE8:AE33)</f>
        <v>55.739898331341124</v>
      </c>
      <c r="AF8" s="11">
        <f>SUM(AD8:AE8)</f>
        <v>74.217258368191949</v>
      </c>
    </row>
    <row r="9" spans="1:32" x14ac:dyDescent="0.2">
      <c r="A9" t="str">
        <f>name!E5</f>
        <v>Professional occupations</v>
      </c>
      <c r="B9" s="11">
        <v>401.52149990473055</v>
      </c>
      <c r="C9" s="11">
        <v>466.24681865163171</v>
      </c>
      <c r="D9" s="11">
        <v>495.4961452109377</v>
      </c>
      <c r="E9" s="11">
        <v>527.95954237323895</v>
      </c>
      <c r="F9" s="11">
        <v>581.88225106121695</v>
      </c>
      <c r="G9" s="11"/>
      <c r="H9" s="11">
        <f t="shared" ref="H9:H16" si="0">F9-D9</f>
        <v>86.38610585027925</v>
      </c>
      <c r="I9" s="11">
        <v>246.87357604808398</v>
      </c>
      <c r="J9" s="11">
        <f t="shared" ref="J9:J15" si="1">SUM(H9:I9)</f>
        <v>333.25968189836323</v>
      </c>
      <c r="L9" s="10" t="str">
        <f>name!E5</f>
        <v>Professional occupations</v>
      </c>
      <c r="M9" s="11">
        <v>223.18106552077779</v>
      </c>
      <c r="N9" s="11">
        <v>250.39968497464</v>
      </c>
      <c r="O9" s="11">
        <v>264.36594447629642</v>
      </c>
      <c r="P9" s="11">
        <v>279.05509904749181</v>
      </c>
      <c r="Q9" s="11">
        <v>302.29681108868789</v>
      </c>
      <c r="R9" s="11"/>
      <c r="S9" s="11">
        <f t="shared" ref="S9:S16" si="2">Q9-O9</f>
        <v>37.930866612391469</v>
      </c>
      <c r="T9" s="11">
        <v>106.85191709966334</v>
      </c>
      <c r="U9" s="11">
        <f t="shared" ref="U9:U12" si="3">SUM(S9:T9)</f>
        <v>144.78278371205482</v>
      </c>
      <c r="W9" s="10" t="str">
        <f>name!E5</f>
        <v>Professional occupations</v>
      </c>
      <c r="X9" s="11">
        <v>178.34043438395275</v>
      </c>
      <c r="Y9" s="11">
        <v>215.84713367699146</v>
      </c>
      <c r="Z9" s="11">
        <v>231.13020073464156</v>
      </c>
      <c r="AA9" s="11">
        <v>248.90444332574717</v>
      </c>
      <c r="AB9" s="11">
        <v>279.58543997252883</v>
      </c>
      <c r="AC9" s="11"/>
      <c r="AD9" s="11">
        <f t="shared" ref="AD9:AD16" si="4">AB9-Z9</f>
        <v>48.45523923788727</v>
      </c>
      <c r="AE9" s="11">
        <v>140.02165894842062</v>
      </c>
      <c r="AF9" s="11">
        <f t="shared" ref="AF9:AF12" si="5">SUM(AD9:AE9)</f>
        <v>188.47689818630789</v>
      </c>
    </row>
    <row r="10" spans="1:32" x14ac:dyDescent="0.2">
      <c r="A10" t="str">
        <f>name!E6</f>
        <v>Associate professional occupations</v>
      </c>
      <c r="B10" s="11">
        <v>254.48663957131549</v>
      </c>
      <c r="C10" s="11">
        <v>277.73375952254469</v>
      </c>
      <c r="D10" s="11">
        <v>293.36127893413243</v>
      </c>
      <c r="E10" s="11">
        <v>284.42037280035231</v>
      </c>
      <c r="F10" s="11">
        <v>303.8157247101085</v>
      </c>
      <c r="G10" s="11"/>
      <c r="H10" s="11">
        <f t="shared" si="0"/>
        <v>10.454445775976069</v>
      </c>
      <c r="I10" s="11">
        <v>131.19771055036176</v>
      </c>
      <c r="J10" s="11">
        <f t="shared" si="1"/>
        <v>141.65215632633783</v>
      </c>
      <c r="L10" s="10" t="str">
        <f>name!E6</f>
        <v>Associate professional occupations</v>
      </c>
      <c r="M10" s="11">
        <v>144.2236910501486</v>
      </c>
      <c r="N10" s="11">
        <v>151.71703449663448</v>
      </c>
      <c r="O10" s="11">
        <v>160.65779830977863</v>
      </c>
      <c r="P10" s="11">
        <v>148.83739625005535</v>
      </c>
      <c r="Q10" s="11">
        <v>152.63367437968466</v>
      </c>
      <c r="R10" s="11"/>
      <c r="S10" s="11">
        <f t="shared" si="2"/>
        <v>-8.024123930093964</v>
      </c>
      <c r="T10" s="11">
        <v>55.369179014233907</v>
      </c>
      <c r="U10" s="11">
        <f t="shared" si="3"/>
        <v>47.345055084139943</v>
      </c>
      <c r="W10" s="10" t="str">
        <f>name!E6</f>
        <v>Associate professional occupations</v>
      </c>
      <c r="X10" s="11">
        <v>110.26294852116729</v>
      </c>
      <c r="Y10" s="11">
        <v>126.01672502591023</v>
      </c>
      <c r="Z10" s="11">
        <v>132.70348062435392</v>
      </c>
      <c r="AA10" s="11">
        <v>135.58297655029781</v>
      </c>
      <c r="AB10" s="11">
        <v>151.18205033042324</v>
      </c>
      <c r="AC10" s="11"/>
      <c r="AD10" s="11">
        <f t="shared" si="4"/>
        <v>18.478569706069322</v>
      </c>
      <c r="AE10" s="11">
        <v>75.828531536127826</v>
      </c>
      <c r="AF10" s="11">
        <f t="shared" si="5"/>
        <v>94.307101242197149</v>
      </c>
    </row>
    <row r="11" spans="1:32" x14ac:dyDescent="0.2">
      <c r="A11" t="str">
        <f>name!E7</f>
        <v>Administrative and secretarial occupations</v>
      </c>
      <c r="B11" s="11">
        <v>242.7039493064492</v>
      </c>
      <c r="C11" s="11">
        <v>242.54836775247864</v>
      </c>
      <c r="D11" s="11">
        <v>251.95376092648067</v>
      </c>
      <c r="E11" s="11">
        <v>236.66769336702646</v>
      </c>
      <c r="F11" s="11">
        <v>216.75443729533305</v>
      </c>
      <c r="G11" s="11"/>
      <c r="H11" s="11">
        <f t="shared" si="0"/>
        <v>-35.199323631147621</v>
      </c>
      <c r="I11" s="11">
        <v>117.84888330361139</v>
      </c>
      <c r="J11" s="11">
        <f t="shared" si="1"/>
        <v>82.649559672463766</v>
      </c>
      <c r="L11" s="10" t="str">
        <f>name!E7</f>
        <v>Administrative and secretarial occupations</v>
      </c>
      <c r="M11" s="11">
        <v>49.701102598667966</v>
      </c>
      <c r="N11" s="11">
        <v>46.878794699430671</v>
      </c>
      <c r="O11" s="11">
        <v>56.790661447985599</v>
      </c>
      <c r="P11" s="11">
        <v>53.554723681875828</v>
      </c>
      <c r="Q11" s="11">
        <v>57.866113684841316</v>
      </c>
      <c r="R11" s="11"/>
      <c r="S11" s="11">
        <f t="shared" si="2"/>
        <v>1.0754522368557176</v>
      </c>
      <c r="T11" s="11">
        <v>20.044705292139103</v>
      </c>
      <c r="U11" s="11">
        <f t="shared" si="3"/>
        <v>21.12015752899482</v>
      </c>
      <c r="W11" s="10" t="str">
        <f>name!E7</f>
        <v>Administrative and secretarial occupations</v>
      </c>
      <c r="X11" s="11">
        <v>193.00284670778143</v>
      </c>
      <c r="Y11" s="11">
        <v>195.669573053048</v>
      </c>
      <c r="Z11" s="11">
        <v>195.16309947849538</v>
      </c>
      <c r="AA11" s="11">
        <v>183.1129696851508</v>
      </c>
      <c r="AB11" s="11">
        <v>158.88832361049197</v>
      </c>
      <c r="AC11" s="11"/>
      <c r="AD11" s="11">
        <f t="shared" si="4"/>
        <v>-36.274775868003417</v>
      </c>
      <c r="AE11" s="11">
        <v>97.804178011472317</v>
      </c>
      <c r="AF11" s="11">
        <f t="shared" si="5"/>
        <v>61.5294021434689</v>
      </c>
    </row>
    <row r="12" spans="1:32" x14ac:dyDescent="0.2">
      <c r="A12" t="str">
        <f>name!E8</f>
        <v>Skilled trades occupations</v>
      </c>
      <c r="B12" s="11">
        <v>233.01015943539994</v>
      </c>
      <c r="C12" s="11">
        <v>229.69444665894585</v>
      </c>
      <c r="D12" s="11">
        <v>208.8051550287193</v>
      </c>
      <c r="E12" s="11">
        <v>203.78046369985992</v>
      </c>
      <c r="F12" s="11">
        <v>189.72476518084494</v>
      </c>
      <c r="G12" s="11"/>
      <c r="H12" s="11">
        <f t="shared" si="0"/>
        <v>-19.080389847874358</v>
      </c>
      <c r="I12" s="11">
        <v>84.471796903618184</v>
      </c>
      <c r="J12" s="11">
        <f t="shared" si="1"/>
        <v>65.391407055743827</v>
      </c>
      <c r="L12" s="10" t="str">
        <f>name!E8</f>
        <v>Skilled trades occupations</v>
      </c>
      <c r="M12" s="11">
        <v>207.16872804314892</v>
      </c>
      <c r="N12" s="11">
        <v>200.42693529687483</v>
      </c>
      <c r="O12" s="11">
        <v>180.9276069726215</v>
      </c>
      <c r="P12" s="11">
        <v>174.09651902989796</v>
      </c>
      <c r="Q12" s="11">
        <v>158.85779915270203</v>
      </c>
      <c r="R12" s="11"/>
      <c r="S12" s="11">
        <f t="shared" si="2"/>
        <v>-22.069807819919475</v>
      </c>
      <c r="T12" s="11">
        <v>66.680207331192435</v>
      </c>
      <c r="U12" s="11">
        <f t="shared" si="3"/>
        <v>44.610399511272959</v>
      </c>
      <c r="W12" s="10" t="str">
        <f>name!E8</f>
        <v>Skilled trades occupations</v>
      </c>
      <c r="X12" s="11">
        <v>25.841431392251177</v>
      </c>
      <c r="Y12" s="11">
        <v>29.267511362070714</v>
      </c>
      <c r="Z12" s="11">
        <v>27.877548056097719</v>
      </c>
      <c r="AA12" s="11">
        <v>29.683944669962209</v>
      </c>
      <c r="AB12" s="11">
        <v>30.86696602814289</v>
      </c>
      <c r="AC12" s="11"/>
      <c r="AD12" s="11">
        <f t="shared" si="4"/>
        <v>2.989417972045171</v>
      </c>
      <c r="AE12" s="11">
        <v>17.79158957242575</v>
      </c>
      <c r="AF12" s="11">
        <f t="shared" si="5"/>
        <v>20.781007544470921</v>
      </c>
    </row>
    <row r="13" spans="1:32" x14ac:dyDescent="0.2">
      <c r="A13" t="str">
        <f>name!E9</f>
        <v>Caring, leisure and other service occupations</v>
      </c>
      <c r="B13" s="11">
        <v>248.90155334327181</v>
      </c>
      <c r="C13" s="11">
        <v>266.0076197428105</v>
      </c>
      <c r="D13" s="11">
        <v>256.70113447063756</v>
      </c>
      <c r="E13" s="11">
        <v>272.49511517294417</v>
      </c>
      <c r="F13" s="11">
        <v>292.00776633195545</v>
      </c>
      <c r="G13" s="11"/>
      <c r="H13" s="11">
        <f t="shared" si="0"/>
        <v>35.306631861317896</v>
      </c>
      <c r="I13" s="11">
        <v>150.75988517089675</v>
      </c>
      <c r="J13" s="11">
        <f>SUM(H13:I13)</f>
        <v>186.06651703221465</v>
      </c>
      <c r="L13" s="10" t="str">
        <f>name!E9</f>
        <v>Caring, leisure and other service occupations</v>
      </c>
      <c r="M13" s="11">
        <v>46.094810335088596</v>
      </c>
      <c r="N13" s="11">
        <v>48.631269690184837</v>
      </c>
      <c r="O13" s="11">
        <v>49.068876716483061</v>
      </c>
      <c r="P13" s="11">
        <v>55.42946967163909</v>
      </c>
      <c r="Q13" s="11">
        <v>63.365290829355892</v>
      </c>
      <c r="R13" s="11"/>
      <c r="S13" s="11">
        <f t="shared" si="2"/>
        <v>14.296414112872831</v>
      </c>
      <c r="T13" s="11">
        <v>24.791092676950292</v>
      </c>
      <c r="U13" s="11">
        <f>SUM(S13:T13)</f>
        <v>39.087506789823124</v>
      </c>
      <c r="W13" s="10" t="str">
        <f>name!E9</f>
        <v>Caring, leisure and other service occupations</v>
      </c>
      <c r="X13" s="11">
        <v>202.80674300818313</v>
      </c>
      <c r="Y13" s="11">
        <v>217.37635005262575</v>
      </c>
      <c r="Z13" s="11">
        <v>207.63225775415447</v>
      </c>
      <c r="AA13" s="11">
        <v>217.06564550130534</v>
      </c>
      <c r="AB13" s="11">
        <v>228.64247550259907</v>
      </c>
      <c r="AC13" s="11"/>
      <c r="AD13" s="11">
        <f t="shared" si="4"/>
        <v>21.010217748444603</v>
      </c>
      <c r="AE13" s="11">
        <v>125.96879249394647</v>
      </c>
      <c r="AF13" s="11">
        <f>SUM(AD13:AE13)</f>
        <v>146.97901024239107</v>
      </c>
    </row>
    <row r="14" spans="1:32" x14ac:dyDescent="0.2">
      <c r="A14" t="str">
        <f>name!E10</f>
        <v>Sales and customer service occupations</v>
      </c>
      <c r="B14" s="11">
        <v>209.5783298065233</v>
      </c>
      <c r="C14" s="11">
        <v>202.74392844688504</v>
      </c>
      <c r="D14" s="11">
        <v>198.18210564551759</v>
      </c>
      <c r="E14" s="11">
        <v>198.25611745835891</v>
      </c>
      <c r="F14" s="11">
        <v>197.03104084334427</v>
      </c>
      <c r="G14" s="11"/>
      <c r="H14" s="11">
        <f t="shared" si="0"/>
        <v>-1.1510648021733232</v>
      </c>
      <c r="I14" s="11">
        <v>92.836044567260217</v>
      </c>
      <c r="J14" s="11">
        <f t="shared" si="1"/>
        <v>91.684979765086894</v>
      </c>
      <c r="L14" s="10" t="str">
        <f>name!E10</f>
        <v>Sales and customer service occupations</v>
      </c>
      <c r="M14" s="11">
        <v>74.938246020932596</v>
      </c>
      <c r="N14" s="11">
        <v>72.474335024082848</v>
      </c>
      <c r="O14" s="11">
        <v>73.876125908480944</v>
      </c>
      <c r="P14" s="11">
        <v>74.727215771636665</v>
      </c>
      <c r="Q14" s="11">
        <v>75.421976013337883</v>
      </c>
      <c r="R14" s="11"/>
      <c r="S14" s="11">
        <f t="shared" si="2"/>
        <v>1.5458501048569389</v>
      </c>
      <c r="T14" s="11">
        <v>24.747792164011095</v>
      </c>
      <c r="U14" s="11">
        <f t="shared" ref="U14:U15" si="6">SUM(S14:T14)</f>
        <v>26.293642268868034</v>
      </c>
      <c r="W14" s="10" t="str">
        <f>name!E10</f>
        <v>Sales and customer service occupations</v>
      </c>
      <c r="X14" s="11">
        <v>134.64008378558992</v>
      </c>
      <c r="Y14" s="11">
        <v>130.2695934228025</v>
      </c>
      <c r="Z14" s="11">
        <v>124.3059797370363</v>
      </c>
      <c r="AA14" s="11">
        <v>123.52890168672224</v>
      </c>
      <c r="AB14" s="11">
        <v>121.60906483000645</v>
      </c>
      <c r="AC14" s="11"/>
      <c r="AD14" s="11">
        <f t="shared" si="4"/>
        <v>-2.6969149070298499</v>
      </c>
      <c r="AE14" s="11">
        <v>68.088252403249143</v>
      </c>
      <c r="AF14" s="11">
        <f t="shared" ref="AF14:AF15" si="7">SUM(AD14:AE14)</f>
        <v>65.391337496219293</v>
      </c>
    </row>
    <row r="15" spans="1:32" x14ac:dyDescent="0.2">
      <c r="A15" t="str">
        <f>name!E11</f>
        <v>Process, plant and machine operatives</v>
      </c>
      <c r="B15" s="11">
        <v>189.28743948869192</v>
      </c>
      <c r="C15" s="11">
        <v>200.07980909128071</v>
      </c>
      <c r="D15" s="11">
        <v>188.14770130626522</v>
      </c>
      <c r="E15" s="11">
        <v>209.72785783508925</v>
      </c>
      <c r="F15" s="11">
        <v>206.19030032586417</v>
      </c>
      <c r="G15" s="11"/>
      <c r="H15" s="11">
        <f t="shared" si="0"/>
        <v>18.042599019598953</v>
      </c>
      <c r="I15" s="11">
        <v>96.092076438957406</v>
      </c>
      <c r="J15" s="11">
        <f t="shared" si="1"/>
        <v>114.13467545855636</v>
      </c>
      <c r="L15" s="10" t="str">
        <f>name!E11</f>
        <v>Process, plant and machine operatives</v>
      </c>
      <c r="M15" s="11">
        <v>161.13231469765259</v>
      </c>
      <c r="N15" s="11">
        <v>169.27907974831484</v>
      </c>
      <c r="O15" s="11">
        <v>162.32247876267738</v>
      </c>
      <c r="P15" s="11">
        <v>176.04129800169335</v>
      </c>
      <c r="Q15" s="11">
        <v>169.83690143914768</v>
      </c>
      <c r="R15" s="11"/>
      <c r="S15" s="11">
        <f t="shared" si="2"/>
        <v>7.5144226764703035</v>
      </c>
      <c r="T15" s="11">
        <v>78.904778778276949</v>
      </c>
      <c r="U15" s="11">
        <f t="shared" si="6"/>
        <v>86.419201454747252</v>
      </c>
      <c r="W15" s="10" t="str">
        <f>name!E11</f>
        <v>Process, plant and machine operatives</v>
      </c>
      <c r="X15" s="11">
        <v>28.155124791039292</v>
      </c>
      <c r="Y15" s="11">
        <v>30.800729342965873</v>
      </c>
      <c r="Z15" s="11">
        <v>25.825222543588019</v>
      </c>
      <c r="AA15" s="11">
        <v>33.686559833395435</v>
      </c>
      <c r="AB15" s="11">
        <v>36.353398886716242</v>
      </c>
      <c r="AC15" s="11"/>
      <c r="AD15" s="11">
        <f t="shared" si="4"/>
        <v>10.528176343128223</v>
      </c>
      <c r="AE15" s="11">
        <v>17.187297660680429</v>
      </c>
      <c r="AF15" s="11">
        <f t="shared" si="7"/>
        <v>27.715474003808652</v>
      </c>
    </row>
    <row r="16" spans="1:32" x14ac:dyDescent="0.2">
      <c r="A16" t="str">
        <f>name!E12</f>
        <v>Elementary occupations</v>
      </c>
      <c r="B16" s="11">
        <v>282.03448262605309</v>
      </c>
      <c r="C16" s="11">
        <v>268.92537386524066</v>
      </c>
      <c r="D16" s="11">
        <v>249.991780568786</v>
      </c>
      <c r="E16" s="11">
        <v>242.85975347981034</v>
      </c>
      <c r="F16" s="11">
        <v>226.94112388341784</v>
      </c>
      <c r="G16" s="11"/>
      <c r="H16" s="11">
        <f t="shared" si="0"/>
        <v>-23.050656685368153</v>
      </c>
      <c r="I16" s="11">
        <v>109.42671001028992</v>
      </c>
      <c r="J16" s="11">
        <f>SUM(H16:I16)</f>
        <v>86.37605332492177</v>
      </c>
      <c r="L16" s="10" t="str">
        <f>name!E12</f>
        <v>Elementary occupations</v>
      </c>
      <c r="M16" s="11">
        <v>158.57532455896319</v>
      </c>
      <c r="N16" s="11">
        <v>142.32968035953667</v>
      </c>
      <c r="O16" s="11">
        <v>137.61840268850708</v>
      </c>
      <c r="P16" s="11">
        <v>136.88737318025477</v>
      </c>
      <c r="Q16" s="11">
        <v>126.88803627233875</v>
      </c>
      <c r="R16" s="11"/>
      <c r="S16" s="11">
        <f t="shared" si="2"/>
        <v>-10.730366416168323</v>
      </c>
      <c r="T16" s="11">
        <v>50.851746075868235</v>
      </c>
      <c r="U16" s="11">
        <f>SUM(S16:T16)</f>
        <v>40.121379659699912</v>
      </c>
      <c r="W16" s="10" t="str">
        <f>name!E12</f>
        <v>Elementary occupations</v>
      </c>
      <c r="X16" s="11">
        <v>123.45915806709023</v>
      </c>
      <c r="Y16" s="11">
        <v>126.59569350570401</v>
      </c>
      <c r="Z16" s="11">
        <v>112.37337788027951</v>
      </c>
      <c r="AA16" s="11">
        <v>105.972380299555</v>
      </c>
      <c r="AB16" s="11">
        <v>100.05308761107935</v>
      </c>
      <c r="AC16" s="11"/>
      <c r="AD16" s="11">
        <f t="shared" si="4"/>
        <v>-12.320290269200157</v>
      </c>
      <c r="AE16" s="11">
        <v>58.57496393442166</v>
      </c>
      <c r="AF16" s="11">
        <f>SUM(AD16:AE16)</f>
        <v>46.254673665221503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3" t="str">
        <f>name!E3</f>
        <v>All occupations</v>
      </c>
      <c r="B18" s="33">
        <f>SUM(B8:B16)</f>
        <v>2274.4909999992283</v>
      </c>
      <c r="C18" s="33">
        <f>SUM(C8:C16)</f>
        <v>2405.3839999988058</v>
      </c>
      <c r="D18" s="33">
        <f>SUM(D8:D16)</f>
        <v>2404.2379999983373</v>
      </c>
      <c r="E18" s="33">
        <f>SUM(E8:E16)</f>
        <v>2442.8000000046995</v>
      </c>
      <c r="F18" s="33">
        <f>SUM(F8:F16)</f>
        <v>2510.6939999992715</v>
      </c>
      <c r="G18" s="11"/>
      <c r="H18" s="33">
        <f>SUM(H8:H16)</f>
        <v>106.45600000093418</v>
      </c>
      <c r="I18" s="33">
        <f>SUM(I8:I16)</f>
        <v>1171.8287661434322</v>
      </c>
      <c r="J18" s="33">
        <f>SUM(H18:I18)</f>
        <v>1278.2847661443664</v>
      </c>
      <c r="L18" s="231" t="str">
        <f>name!E3</f>
        <v>All occupations</v>
      </c>
      <c r="M18" s="33">
        <f>SUM(M8:M16)</f>
        <v>1213.5149999998521</v>
      </c>
      <c r="N18" s="33">
        <f>SUM(N8:N16)</f>
        <v>1250.4389999999844</v>
      </c>
      <c r="O18" s="33">
        <f>SUM(O8:O16)</f>
        <v>1262.591999999117</v>
      </c>
      <c r="P18" s="33">
        <f>SUM(P8:P16)</f>
        <v>1276.8599999999926</v>
      </c>
      <c r="Q18" s="33">
        <f>SUM(Q8:Q16)</f>
        <v>1300.4009999998568</v>
      </c>
      <c r="R18" s="11"/>
      <c r="S18" s="33">
        <f>SUM(S8:S16)</f>
        <v>37.809000000739744</v>
      </c>
      <c r="T18" s="33">
        <f>SUM(T8:T16)</f>
        <v>514.82360325134709</v>
      </c>
      <c r="U18" s="33">
        <f>SUM(S18:T18)</f>
        <v>552.63260325208682</v>
      </c>
      <c r="W18" s="231" t="str">
        <f>name!E3</f>
        <v>All occupations</v>
      </c>
      <c r="X18" s="33">
        <f>SUM(X8:X16)</f>
        <v>1060.9759999993764</v>
      </c>
      <c r="Y18" s="33">
        <f>SUM(Y8:Y16)</f>
        <v>1154.944999998821</v>
      </c>
      <c r="Z18" s="33">
        <f>SUM(Z8:Z16)</f>
        <v>1141.6459999992217</v>
      </c>
      <c r="AA18" s="33">
        <f>SUM(AA8:AA16)</f>
        <v>1165.9400000047085</v>
      </c>
      <c r="AB18" s="33">
        <f>SUM(AB8:AB16)</f>
        <v>1210.2929999994135</v>
      </c>
      <c r="AC18" s="11"/>
      <c r="AD18" s="33">
        <f>SUM(AD8:AD16)</f>
        <v>68.647000000191994</v>
      </c>
      <c r="AE18" s="33">
        <f>SUM(AE8:AE16)</f>
        <v>657.00516289208542</v>
      </c>
      <c r="AF18" s="33">
        <f>SUM(AD18:AE18)</f>
        <v>725.65216289227737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5" t="s">
        <v>34</v>
      </c>
      <c r="G21" s="11"/>
      <c r="J21" s="15" t="s">
        <v>34</v>
      </c>
      <c r="M21" s="11"/>
      <c r="N21" s="11"/>
      <c r="O21" s="11"/>
      <c r="P21" s="11"/>
      <c r="Q21" s="15" t="s">
        <v>34</v>
      </c>
      <c r="R21" s="11"/>
      <c r="U21" s="15" t="s">
        <v>34</v>
      </c>
      <c r="X21" s="11"/>
      <c r="Y21" s="11"/>
      <c r="Z21" s="11"/>
      <c r="AA21" s="11"/>
      <c r="AB21" s="15" t="s">
        <v>34</v>
      </c>
      <c r="AC21" s="11"/>
      <c r="AF21" s="15" t="s">
        <v>34</v>
      </c>
    </row>
    <row r="22" spans="1:32" x14ac:dyDescent="0.2">
      <c r="A22" s="35"/>
      <c r="B22" s="64"/>
      <c r="C22" s="64"/>
      <c r="D22" s="64"/>
      <c r="E22" s="64"/>
      <c r="F22" s="64"/>
      <c r="G22" s="11"/>
      <c r="H22" s="27" t="str">
        <f>H4</f>
        <v>2020-2035</v>
      </c>
      <c r="I22" s="35"/>
      <c r="J22" s="35"/>
      <c r="L22" s="35"/>
      <c r="M22" s="64"/>
      <c r="N22" s="64"/>
      <c r="O22" s="64"/>
      <c r="P22" s="64"/>
      <c r="Q22" s="64"/>
      <c r="R22" s="11"/>
      <c r="S22" s="27" t="str">
        <f>S4</f>
        <v>2020-2035</v>
      </c>
      <c r="T22" s="35"/>
      <c r="U22" s="35"/>
      <c r="W22" s="35"/>
      <c r="X22" s="64"/>
      <c r="Y22" s="64"/>
      <c r="Z22" s="64"/>
      <c r="AA22" s="64"/>
      <c r="AB22" s="64"/>
      <c r="AC22" s="11"/>
      <c r="AD22" s="27" t="str">
        <f>AD4</f>
        <v>2020-2035</v>
      </c>
      <c r="AE22" s="35"/>
      <c r="AF22" s="35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0" t="s">
        <v>463</v>
      </c>
      <c r="B24" s="34">
        <f>B$6</f>
        <v>2015</v>
      </c>
      <c r="C24" s="34">
        <f>C$6</f>
        <v>2019</v>
      </c>
      <c r="D24" s="34">
        <f>D$6</f>
        <v>2020</v>
      </c>
      <c r="E24" s="34">
        <f>E$6</f>
        <v>2025</v>
      </c>
      <c r="F24" s="34">
        <f>F$6</f>
        <v>2035</v>
      </c>
      <c r="G24" s="11"/>
      <c r="H24" s="23" t="str">
        <f>H6</f>
        <v>Change</v>
      </c>
      <c r="I24" s="23" t="str">
        <f>I6</f>
        <v>Demand</v>
      </c>
      <c r="J24" s="23" t="str">
        <f>J6</f>
        <v>Requirement</v>
      </c>
      <c r="L24" s="40" t="s">
        <v>463</v>
      </c>
      <c r="M24" s="34">
        <f>M$6</f>
        <v>2015</v>
      </c>
      <c r="N24" s="34">
        <f>N$6</f>
        <v>2019</v>
      </c>
      <c r="O24" s="34">
        <f>O$6</f>
        <v>2020</v>
      </c>
      <c r="P24" s="34">
        <f>P$6</f>
        <v>2025</v>
      </c>
      <c r="Q24" s="34">
        <f>Q$6</f>
        <v>2035</v>
      </c>
      <c r="R24" s="11"/>
      <c r="S24" s="23" t="str">
        <f>S6</f>
        <v>Change</v>
      </c>
      <c r="T24" s="23" t="str">
        <f>T6</f>
        <v>Demand</v>
      </c>
      <c r="U24" s="23" t="str">
        <f>U6</f>
        <v>Requirement</v>
      </c>
      <c r="W24" s="40" t="s">
        <v>463</v>
      </c>
      <c r="X24" s="34">
        <f>X$6</f>
        <v>2015</v>
      </c>
      <c r="Y24" s="34">
        <f>Y$6</f>
        <v>2019</v>
      </c>
      <c r="Z24" s="34">
        <f>Z$6</f>
        <v>2020</v>
      </c>
      <c r="AA24" s="34">
        <f>AA$6</f>
        <v>2025</v>
      </c>
      <c r="AB24" s="34">
        <f>AB$6</f>
        <v>2035</v>
      </c>
      <c r="AC24" s="11"/>
      <c r="AD24" s="23" t="str">
        <f>AD6</f>
        <v>Change</v>
      </c>
      <c r="AE24" s="23" t="str">
        <f>AE6</f>
        <v>Demand</v>
      </c>
      <c r="AF24" s="23" t="str">
        <f>AF6</f>
        <v>Requirement</v>
      </c>
    </row>
    <row r="25" spans="1:32" x14ac:dyDescent="0.2">
      <c r="A25" s="1"/>
      <c r="B25" s="16"/>
      <c r="C25" s="16"/>
      <c r="D25" s="16"/>
      <c r="E25" s="16"/>
      <c r="F25" s="16"/>
      <c r="G25" s="11"/>
      <c r="L25" s="1"/>
      <c r="M25" s="16"/>
      <c r="N25" s="16"/>
      <c r="O25" s="16"/>
      <c r="P25" s="16"/>
      <c r="Q25" s="16"/>
      <c r="R25" s="11"/>
      <c r="W25" s="1"/>
      <c r="X25" s="16"/>
      <c r="Y25" s="16"/>
      <c r="Z25" s="16"/>
      <c r="AA25" s="16"/>
      <c r="AB25" s="16"/>
      <c r="AC25" s="11"/>
    </row>
    <row r="26" spans="1:32" x14ac:dyDescent="0.2">
      <c r="A26" t="str">
        <f>$A$8</f>
        <v>Managers, directors and senior officials</v>
      </c>
      <c r="B26" s="17">
        <f t="shared" ref="B26:F34" si="8">B8/B$18*100</f>
        <v>9.3632793674217751</v>
      </c>
      <c r="C26" s="17">
        <f t="shared" si="8"/>
        <v>10.451714830859139</v>
      </c>
      <c r="D26" s="17">
        <f t="shared" si="8"/>
        <v>10.880742168913464</v>
      </c>
      <c r="E26" s="17">
        <f t="shared" si="8"/>
        <v>10.915059923755782</v>
      </c>
      <c r="F26" s="17">
        <f t="shared" si="8"/>
        <v>11.80337350418937</v>
      </c>
      <c r="G26" s="11"/>
      <c r="H26" s="39">
        <f>IF(D8&gt;0,(H8/D8)*100,0)</f>
        <v>13.282795694184721</v>
      </c>
      <c r="I26" s="39">
        <f>IF(D8&gt;0,(I8/D8)*100,0)</f>
        <v>54.404686918501518</v>
      </c>
      <c r="J26" s="39">
        <f>IF(D8&gt;0,(J8/D8)*100,0)</f>
        <v>67.687482612686239</v>
      </c>
      <c r="L26" t="str">
        <f>$A$8</f>
        <v>Managers, directors and senior officials</v>
      </c>
      <c r="M26" s="17">
        <f t="shared" ref="M26:Q26" si="9">M8/M$18*100</f>
        <v>12.237155467751927</v>
      </c>
      <c r="N26" s="17">
        <f t="shared" si="9"/>
        <v>13.459447898720967</v>
      </c>
      <c r="O26" s="17">
        <f t="shared" si="9"/>
        <v>14.015937430017795</v>
      </c>
      <c r="P26" s="17">
        <f t="shared" si="9"/>
        <v>13.9585315042721</v>
      </c>
      <c r="Q26" s="17">
        <f t="shared" si="9"/>
        <v>14.859600780050307</v>
      </c>
      <c r="R26" s="11"/>
      <c r="S26" s="39">
        <f>IF(O8&gt;0,(S8/O8)*100,0)</f>
        <v>9.1941201576213469</v>
      </c>
      <c r="T26" s="39">
        <f>IF(O8&gt;0,(T8/O8)*100,0)</f>
        <v>48.926410786991241</v>
      </c>
      <c r="U26" s="39">
        <f>IF(O8&gt;0,(U8/O8)*100,0)</f>
        <v>58.12053094461259</v>
      </c>
      <c r="W26" t="str">
        <f>$A$8</f>
        <v>Managers, directors and senior officials</v>
      </c>
      <c r="X26" s="17">
        <f t="shared" ref="X26:AB26" si="10">X8/X$18*100</f>
        <v>6.0762193812451182</v>
      </c>
      <c r="Y26" s="17">
        <f t="shared" si="10"/>
        <v>7.1952941964151762</v>
      </c>
      <c r="Z26" s="17">
        <f t="shared" si="10"/>
        <v>7.413404259344178</v>
      </c>
      <c r="AA26" s="17">
        <f t="shared" si="10"/>
        <v>7.5820521169370121</v>
      </c>
      <c r="AB26" s="17">
        <f t="shared" si="10"/>
        <v>8.5196058497798077</v>
      </c>
      <c r="AC26" s="11"/>
      <c r="AD26" s="39">
        <f>IF(Z8&gt;0,(AD8/Z8)*100,0)</f>
        <v>21.831862059968635</v>
      </c>
      <c r="AE26" s="39">
        <f>IF(Z8&gt;0,(AE8/Z8)*100,0)</f>
        <v>65.859287754286669</v>
      </c>
      <c r="AF26" s="39">
        <f>IF(Z8&gt;0,(AF8/Z8)*100,0)</f>
        <v>87.691149814255297</v>
      </c>
    </row>
    <row r="27" spans="1:32" x14ac:dyDescent="0.2">
      <c r="A27" t="str">
        <f>$A$9</f>
        <v>Professional occupations</v>
      </c>
      <c r="B27" s="17">
        <f t="shared" si="8"/>
        <v>17.653246370500774</v>
      </c>
      <c r="C27" s="17">
        <f t="shared" si="8"/>
        <v>19.3834671990777</v>
      </c>
      <c r="D27" s="17">
        <f t="shared" si="8"/>
        <v>20.609280163248414</v>
      </c>
      <c r="E27" s="17">
        <f t="shared" si="8"/>
        <v>21.612884492067433</v>
      </c>
      <c r="F27" s="17">
        <f t="shared" si="8"/>
        <v>23.176151735790416</v>
      </c>
      <c r="G27" s="11"/>
      <c r="H27" s="39">
        <f>IF(D9&gt;0,(H9/D9)*100,0)</f>
        <v>17.434263956484227</v>
      </c>
      <c r="I27" s="39">
        <f t="shared" ref="I27:I36" si="11">IF(D9&gt;0,(I9/D9)*100,0)</f>
        <v>49.823510926202545</v>
      </c>
      <c r="J27" s="39">
        <f t="shared" ref="J27:J36" si="12">IF(D9&gt;0,(J9/D9)*100,0)</f>
        <v>67.257774882686775</v>
      </c>
      <c r="L27" t="str">
        <f>$A$9</f>
        <v>Professional occupations</v>
      </c>
      <c r="M27" s="17">
        <f t="shared" ref="M27:Q27" si="13">M9/M$18*100</f>
        <v>18.391290220623972</v>
      </c>
      <c r="N27" s="17">
        <f t="shared" si="13"/>
        <v>20.024942038327591</v>
      </c>
      <c r="O27" s="17">
        <f t="shared" si="13"/>
        <v>20.938350985629668</v>
      </c>
      <c r="P27" s="17">
        <f t="shared" si="13"/>
        <v>21.854792150078588</v>
      </c>
      <c r="Q27" s="17">
        <f t="shared" si="13"/>
        <v>23.246430223348121</v>
      </c>
      <c r="R27" s="11"/>
      <c r="S27" s="39">
        <f t="shared" ref="S27:S34" si="14">IF(O9&gt;0,(S9/O9)*100,0)</f>
        <v>14.347864165156274</v>
      </c>
      <c r="T27" s="39">
        <f t="shared" ref="T27:T34" si="15">IF(O9&gt;0,(T9/O9)*100,0)</f>
        <v>40.418185220995397</v>
      </c>
      <c r="U27" s="39">
        <f t="shared" ref="U27:U34" si="16">IF(O9&gt;0,(U9/O9)*100,0)</f>
        <v>54.766049386151685</v>
      </c>
      <c r="W27" t="str">
        <f>$A$9</f>
        <v>Professional occupations</v>
      </c>
      <c r="X27" s="17">
        <f t="shared" ref="X27:AB27" si="17">X9/X$18*100</f>
        <v>16.809092230555411</v>
      </c>
      <c r="Y27" s="17">
        <f t="shared" si="17"/>
        <v>18.688953472001852</v>
      </c>
      <c r="Z27" s="17">
        <f t="shared" si="17"/>
        <v>20.245347571383697</v>
      </c>
      <c r="AA27" s="17">
        <f t="shared" si="17"/>
        <v>21.347963302120348</v>
      </c>
      <c r="AB27" s="17">
        <f t="shared" si="17"/>
        <v>23.10064091692378</v>
      </c>
      <c r="AC27" s="11"/>
      <c r="AD27" s="39">
        <f t="shared" ref="AD27:AD34" si="18">IF(Z9&gt;0,(AD9/Z9)*100,0)</f>
        <v>20.964477633763785</v>
      </c>
      <c r="AE27" s="39">
        <f t="shared" ref="AE27:AE34" si="19">IF(Z9&gt;0,(AE9/Z9)*100,0)</f>
        <v>60.581290763113294</v>
      </c>
      <c r="AF27" s="39">
        <f t="shared" ref="AF27:AF34" si="20">IF(Z9&gt;0,(AF9/Z9)*100,0)</f>
        <v>81.545768396877079</v>
      </c>
    </row>
    <row r="28" spans="1:32" x14ac:dyDescent="0.2">
      <c r="A28" t="str">
        <f>$A$10</f>
        <v>Associate professional occupations</v>
      </c>
      <c r="B28" s="17">
        <f t="shared" si="8"/>
        <v>11.188729239702502</v>
      </c>
      <c r="C28" s="17">
        <f t="shared" si="8"/>
        <v>11.546337695880682</v>
      </c>
      <c r="D28" s="17">
        <f t="shared" si="8"/>
        <v>12.201840206100032</v>
      </c>
      <c r="E28" s="17">
        <f t="shared" si="8"/>
        <v>11.643211593245665</v>
      </c>
      <c r="F28" s="17">
        <f t="shared" si="8"/>
        <v>12.100866322626201</v>
      </c>
      <c r="G28" s="11"/>
      <c r="H28" s="39">
        <f t="shared" ref="H28:H34" si="21">IF(D10&gt;0,(H10/D10)*100,0)</f>
        <v>3.5636760972545991</v>
      </c>
      <c r="I28" s="39">
        <f t="shared" si="11"/>
        <v>44.722231586609361</v>
      </c>
      <c r="J28" s="39">
        <f t="shared" si="12"/>
        <v>48.285907683863961</v>
      </c>
      <c r="L28" t="str">
        <f>$A$10</f>
        <v>Associate professional occupations</v>
      </c>
      <c r="M28" s="17">
        <f t="shared" ref="M28:Q28" si="22">M10/M$18*100</f>
        <v>11.884788490473227</v>
      </c>
      <c r="N28" s="17">
        <f t="shared" si="22"/>
        <v>12.133101614443916</v>
      </c>
      <c r="O28" s="17">
        <f t="shared" si="22"/>
        <v>12.724442916626352</v>
      </c>
      <c r="P28" s="17">
        <f t="shared" si="22"/>
        <v>11.656516474010949</v>
      </c>
      <c r="Q28" s="17">
        <f t="shared" si="22"/>
        <v>11.73743132923625</v>
      </c>
      <c r="R28" s="11"/>
      <c r="S28" s="39">
        <f t="shared" si="14"/>
        <v>-4.994543691319568</v>
      </c>
      <c r="T28" s="39">
        <f t="shared" si="15"/>
        <v>34.464046935008817</v>
      </c>
      <c r="U28" s="39">
        <f t="shared" si="16"/>
        <v>29.46950324368925</v>
      </c>
      <c r="W28" t="str">
        <f>$A$10</f>
        <v>Associate professional occupations</v>
      </c>
      <c r="X28" s="17">
        <f t="shared" ref="X28:AB28" si="23">X10/X$18*100</f>
        <v>10.392595923115328</v>
      </c>
      <c r="Y28" s="17">
        <f t="shared" si="23"/>
        <v>10.911058537509481</v>
      </c>
      <c r="Z28" s="17">
        <f t="shared" si="23"/>
        <v>11.623872954001888</v>
      </c>
      <c r="AA28" s="17">
        <f t="shared" si="23"/>
        <v>11.628640972069771</v>
      </c>
      <c r="AB28" s="17">
        <f t="shared" si="23"/>
        <v>12.491359557602705</v>
      </c>
      <c r="AC28" s="11"/>
      <c r="AD28" s="39">
        <f t="shared" si="18"/>
        <v>13.924706133652165</v>
      </c>
      <c r="AE28" s="39">
        <f t="shared" si="19"/>
        <v>57.141328305304206</v>
      </c>
      <c r="AF28" s="39">
        <f t="shared" si="20"/>
        <v>71.066034438956365</v>
      </c>
    </row>
    <row r="29" spans="1:32" x14ac:dyDescent="0.2">
      <c r="A29" t="str">
        <f>$A$11</f>
        <v>Administrative and secretarial occupations</v>
      </c>
      <c r="B29" s="17">
        <f t="shared" si="8"/>
        <v>10.670692884980927</v>
      </c>
      <c r="C29" s="17">
        <f t="shared" si="8"/>
        <v>10.083561200731319</v>
      </c>
      <c r="D29" s="17">
        <f t="shared" si="8"/>
        <v>10.479568201095519</v>
      </c>
      <c r="E29" s="17">
        <f t="shared" si="8"/>
        <v>9.688377819165348</v>
      </c>
      <c r="F29" s="17">
        <f t="shared" si="8"/>
        <v>8.6332479105536546</v>
      </c>
      <c r="G29" s="11"/>
      <c r="H29" s="39">
        <f t="shared" si="21"/>
        <v>-13.970549001417238</v>
      </c>
      <c r="I29" s="39">
        <f t="shared" si="11"/>
        <v>46.774012370467979</v>
      </c>
      <c r="J29" s="39">
        <f t="shared" si="12"/>
        <v>32.803463369050739</v>
      </c>
      <c r="L29" t="str">
        <f>$A$11</f>
        <v>Administrative and secretarial occupations</v>
      </c>
      <c r="M29" s="17">
        <f t="shared" ref="M29:Q29" si="24">M11/M$18*100</f>
        <v>4.0956315001194072</v>
      </c>
      <c r="N29" s="17">
        <f t="shared" si="24"/>
        <v>3.748986931744072</v>
      </c>
      <c r="O29" s="17">
        <f t="shared" si="24"/>
        <v>4.4979424428497348</v>
      </c>
      <c r="P29" s="17">
        <f t="shared" si="24"/>
        <v>4.1942518116219585</v>
      </c>
      <c r="Q29" s="17">
        <f t="shared" si="24"/>
        <v>4.4498669014286891</v>
      </c>
      <c r="R29" s="11"/>
      <c r="S29" s="39">
        <f t="shared" si="14"/>
        <v>1.8937131729672159</v>
      </c>
      <c r="T29" s="39">
        <f t="shared" si="15"/>
        <v>35.29577712437456</v>
      </c>
      <c r="U29" s="39">
        <f t="shared" si="16"/>
        <v>37.189490297341777</v>
      </c>
      <c r="W29" t="str">
        <f>$A$11</f>
        <v>Administrative and secretarial occupations</v>
      </c>
      <c r="X29" s="17">
        <f t="shared" ref="X29:AB29" si="25">X11/X$18*100</f>
        <v>18.19106621713355</v>
      </c>
      <c r="Y29" s="17">
        <f t="shared" si="25"/>
        <v>16.941895332959383</v>
      </c>
      <c r="Z29" s="17">
        <f t="shared" si="25"/>
        <v>17.094887511420215</v>
      </c>
      <c r="AA29" s="17">
        <f t="shared" si="25"/>
        <v>15.705179484742896</v>
      </c>
      <c r="AB29" s="17">
        <f t="shared" si="25"/>
        <v>13.128087463991692</v>
      </c>
      <c r="AC29" s="11"/>
      <c r="AD29" s="39">
        <f t="shared" si="18"/>
        <v>-18.586902936536145</v>
      </c>
      <c r="AE29" s="39">
        <f t="shared" si="19"/>
        <v>50.114072933264289</v>
      </c>
      <c r="AF29" s="39">
        <f t="shared" si="20"/>
        <v>31.527169996728144</v>
      </c>
    </row>
    <row r="30" spans="1:32" x14ac:dyDescent="0.2">
      <c r="A30" t="str">
        <f>$A$12</f>
        <v>Skilled trades occupations</v>
      </c>
      <c r="B30" s="17">
        <f t="shared" si="8"/>
        <v>10.244496875805575</v>
      </c>
      <c r="C30" s="17">
        <f t="shared" si="8"/>
        <v>9.5491799504386776</v>
      </c>
      <c r="D30" s="17">
        <f t="shared" si="8"/>
        <v>8.6848787444863493</v>
      </c>
      <c r="E30" s="17">
        <f t="shared" si="8"/>
        <v>8.3420854633808705</v>
      </c>
      <c r="F30" s="17">
        <f t="shared" si="8"/>
        <v>7.5566662118481984</v>
      </c>
      <c r="G30" s="11"/>
      <c r="H30" s="39">
        <f t="shared" si="21"/>
        <v>-9.1378921393248262</v>
      </c>
      <c r="I30" s="39">
        <f t="shared" si="11"/>
        <v>40.454842646006433</v>
      </c>
      <c r="J30" s="39">
        <f t="shared" si="12"/>
        <v>31.316950506681607</v>
      </c>
      <c r="L30" t="str">
        <f>$A$12</f>
        <v>Skilled trades occupations</v>
      </c>
      <c r="M30" s="17">
        <f t="shared" ref="M30:Q30" si="26">M12/M$18*100</f>
        <v>17.071789639450206</v>
      </c>
      <c r="N30" s="17">
        <f t="shared" si="26"/>
        <v>16.028525605557515</v>
      </c>
      <c r="O30" s="17">
        <f t="shared" si="26"/>
        <v>14.329855327195803</v>
      </c>
      <c r="P30" s="17">
        <f t="shared" si="26"/>
        <v>13.634738266520916</v>
      </c>
      <c r="Q30" s="17">
        <f t="shared" si="26"/>
        <v>12.216062518616914</v>
      </c>
      <c r="R30" s="11"/>
      <c r="S30" s="39">
        <f t="shared" si="14"/>
        <v>-12.198142776109973</v>
      </c>
      <c r="T30" s="39">
        <f t="shared" si="15"/>
        <v>36.854633986997179</v>
      </c>
      <c r="U30" s="39">
        <f t="shared" si="16"/>
        <v>24.656491210887204</v>
      </c>
      <c r="W30" t="str">
        <f>$A$12</f>
        <v>Skilled trades occupations</v>
      </c>
      <c r="X30" s="17">
        <f t="shared" ref="X30:AB30" si="27">X12/X$18*100</f>
        <v>2.4356282698445928</v>
      </c>
      <c r="Y30" s="17">
        <f t="shared" si="27"/>
        <v>2.5341043393495437</v>
      </c>
      <c r="Z30" s="17">
        <f t="shared" si="27"/>
        <v>2.4418732300657759</v>
      </c>
      <c r="AA30" s="17">
        <f t="shared" si="27"/>
        <v>2.54592386142017</v>
      </c>
      <c r="AB30" s="17">
        <f t="shared" si="27"/>
        <v>2.5503713586840417</v>
      </c>
      <c r="AC30" s="11"/>
      <c r="AD30" s="39">
        <f t="shared" si="18"/>
        <v>10.723389180531925</v>
      </c>
      <c r="AE30" s="39">
        <f t="shared" si="19"/>
        <v>63.820496467709084</v>
      </c>
      <c r="AF30" s="39">
        <f t="shared" si="20"/>
        <v>74.543885648241016</v>
      </c>
    </row>
    <row r="31" spans="1:32" x14ac:dyDescent="0.2">
      <c r="A31" t="str">
        <f>$A$13</f>
        <v>Caring, leisure and other service occupations</v>
      </c>
      <c r="B31" s="17">
        <f t="shared" si="8"/>
        <v>10.943176004800909</v>
      </c>
      <c r="C31" s="17">
        <f t="shared" si="8"/>
        <v>11.058842153391831</v>
      </c>
      <c r="D31" s="17">
        <f t="shared" si="8"/>
        <v>10.677026753208921</v>
      </c>
      <c r="E31" s="17">
        <f t="shared" si="8"/>
        <v>11.155031732946616</v>
      </c>
      <c r="F31" s="17">
        <f t="shared" si="8"/>
        <v>11.630559770806007</v>
      </c>
      <c r="G31" s="11"/>
      <c r="H31" s="39">
        <f t="shared" si="21"/>
        <v>13.753983570865911</v>
      </c>
      <c r="I31" s="39">
        <f t="shared" si="11"/>
        <v>58.72973077496907</v>
      </c>
      <c r="J31" s="39">
        <f t="shared" si="12"/>
        <v>72.483714345834983</v>
      </c>
      <c r="L31" t="str">
        <f>$A$13</f>
        <v>Caring, leisure and other service occupations</v>
      </c>
      <c r="M31" s="17">
        <f t="shared" ref="M31:Q31" si="28">M13/M$18*100</f>
        <v>3.7984541052310203</v>
      </c>
      <c r="N31" s="17">
        <f t="shared" si="28"/>
        <v>3.8891357107532194</v>
      </c>
      <c r="O31" s="17">
        <f t="shared" si="28"/>
        <v>3.8863604962266018</v>
      </c>
      <c r="P31" s="17">
        <f t="shared" si="28"/>
        <v>4.3410765214384828</v>
      </c>
      <c r="Q31" s="17">
        <f t="shared" si="28"/>
        <v>4.8727500847325453</v>
      </c>
      <c r="R31" s="11"/>
      <c r="S31" s="39">
        <f t="shared" si="14"/>
        <v>29.135401235036678</v>
      </c>
      <c r="T31" s="39">
        <f t="shared" si="15"/>
        <v>50.523049101351333</v>
      </c>
      <c r="U31" s="39">
        <f t="shared" si="16"/>
        <v>79.658450336388015</v>
      </c>
      <c r="W31" t="str">
        <f>$A$13</f>
        <v>Caring, leisure and other service occupations</v>
      </c>
      <c r="X31" s="17">
        <f t="shared" ref="X31:AB31" si="29">X13/X$18*100</f>
        <v>19.115111275684118</v>
      </c>
      <c r="Y31" s="17">
        <f t="shared" si="29"/>
        <v>18.821359463251294</v>
      </c>
      <c r="Z31" s="17">
        <f t="shared" si="29"/>
        <v>18.187096328835388</v>
      </c>
      <c r="AA31" s="17">
        <f t="shared" si="29"/>
        <v>18.617222627273165</v>
      </c>
      <c r="AB31" s="17">
        <f t="shared" si="29"/>
        <v>18.891497802822116</v>
      </c>
      <c r="AC31" s="11"/>
      <c r="AD31" s="39">
        <f t="shared" si="18"/>
        <v>10.118956454888433</v>
      </c>
      <c r="AE31" s="39">
        <f t="shared" si="19"/>
        <v>60.669182070494529</v>
      </c>
      <c r="AF31" s="39">
        <f t="shared" si="20"/>
        <v>70.788138525382962</v>
      </c>
    </row>
    <row r="32" spans="1:32" x14ac:dyDescent="0.2">
      <c r="A32" t="str">
        <f>$A$14</f>
        <v>Sales and customer service occupations</v>
      </c>
      <c r="B32" s="17">
        <f t="shared" si="8"/>
        <v>9.2142958493392317</v>
      </c>
      <c r="C32" s="17">
        <f t="shared" si="8"/>
        <v>8.4287551778421115</v>
      </c>
      <c r="D32" s="17">
        <f t="shared" si="8"/>
        <v>8.2430319147128799</v>
      </c>
      <c r="E32" s="17">
        <f t="shared" si="8"/>
        <v>8.1159373447673779</v>
      </c>
      <c r="F32" s="17">
        <f t="shared" si="8"/>
        <v>7.8476724301488527</v>
      </c>
      <c r="H32" s="39">
        <f t="shared" si="21"/>
        <v>-0.58081167238791909</v>
      </c>
      <c r="I32" s="39">
        <f t="shared" si="11"/>
        <v>46.843807751903327</v>
      </c>
      <c r="J32" s="39">
        <f t="shared" si="12"/>
        <v>46.26299607951541</v>
      </c>
      <c r="L32" t="str">
        <f>$A$14</f>
        <v>Sales and customer service occupations</v>
      </c>
      <c r="M32" s="17">
        <f t="shared" ref="M32:Q32" si="30">M14/M$18*100</f>
        <v>6.1753044685019738</v>
      </c>
      <c r="N32" s="17">
        <f t="shared" si="30"/>
        <v>5.7959112778859065</v>
      </c>
      <c r="O32" s="17">
        <f t="shared" si="30"/>
        <v>5.8511479487065188</v>
      </c>
      <c r="P32" s="17">
        <f t="shared" si="30"/>
        <v>5.8524204510781992</v>
      </c>
      <c r="Q32" s="17">
        <f t="shared" si="30"/>
        <v>5.7999014160513704</v>
      </c>
      <c r="S32" s="39">
        <f t="shared" si="14"/>
        <v>2.0924894014772315</v>
      </c>
      <c r="T32" s="39">
        <f t="shared" si="15"/>
        <v>33.499038910986073</v>
      </c>
      <c r="U32" s="39">
        <f t="shared" si="16"/>
        <v>35.591528312463304</v>
      </c>
      <c r="W32" t="str">
        <f>$A$14</f>
        <v>Sales and customer service occupations</v>
      </c>
      <c r="X32" s="17">
        <f t="shared" ref="X32:AB32" si="31">X14/X$18*100</f>
        <v>12.690210125928299</v>
      </c>
      <c r="Y32" s="17">
        <f t="shared" si="31"/>
        <v>11.279289786347876</v>
      </c>
      <c r="Z32" s="17">
        <f t="shared" si="31"/>
        <v>10.888312115762771</v>
      </c>
      <c r="AA32" s="17">
        <f t="shared" si="31"/>
        <v>10.594790614115938</v>
      </c>
      <c r="AB32" s="17">
        <f t="shared" si="31"/>
        <v>10.047902849150196</v>
      </c>
      <c r="AD32" s="39">
        <f t="shared" si="18"/>
        <v>-2.16957777311683</v>
      </c>
      <c r="AE32" s="39">
        <f t="shared" si="19"/>
        <v>54.77472004748828</v>
      </c>
      <c r="AF32" s="39">
        <f t="shared" si="20"/>
        <v>52.605142274371453</v>
      </c>
    </row>
    <row r="33" spans="1:32" x14ac:dyDescent="0.2">
      <c r="A33" t="str">
        <f>$A$15</f>
        <v>Process, plant and machine operatives</v>
      </c>
      <c r="B33" s="17">
        <f t="shared" si="8"/>
        <v>8.322188985964603</v>
      </c>
      <c r="C33" s="17">
        <f t="shared" si="8"/>
        <v>8.3179986684612537</v>
      </c>
      <c r="D33" s="17">
        <f t="shared" si="8"/>
        <v>7.8256687277380745</v>
      </c>
      <c r="E33" s="17">
        <f t="shared" si="8"/>
        <v>8.5855517371330343</v>
      </c>
      <c r="F33" s="17">
        <f t="shared" si="8"/>
        <v>8.2124822987558019</v>
      </c>
      <c r="G33" s="11"/>
      <c r="H33" s="39">
        <f t="shared" si="21"/>
        <v>9.5895931198379962</v>
      </c>
      <c r="I33" s="39">
        <f t="shared" si="11"/>
        <v>51.072681606957048</v>
      </c>
      <c r="J33" s="39">
        <f t="shared" si="12"/>
        <v>60.662274726795054</v>
      </c>
      <c r="L33" t="str">
        <f>$A$15</f>
        <v>Process, plant and machine operatives</v>
      </c>
      <c r="M33" s="17">
        <f t="shared" ref="M33:Q33" si="32">M15/M$18*100</f>
        <v>13.278147752411154</v>
      </c>
      <c r="N33" s="17">
        <f t="shared" si="32"/>
        <v>13.537571984584371</v>
      </c>
      <c r="O33" s="17">
        <f t="shared" si="32"/>
        <v>12.856289186276399</v>
      </c>
      <c r="P33" s="17">
        <f t="shared" si="32"/>
        <v>13.787047757913504</v>
      </c>
      <c r="Q33" s="17">
        <f t="shared" si="32"/>
        <v>13.06034841861598</v>
      </c>
      <c r="R33" s="11"/>
      <c r="S33" s="39">
        <f t="shared" si="14"/>
        <v>4.6293173525625617</v>
      </c>
      <c r="T33" s="39">
        <f t="shared" si="15"/>
        <v>48.609890250406544</v>
      </c>
      <c r="U33" s="39">
        <f t="shared" si="16"/>
        <v>53.23920760296911</v>
      </c>
      <c r="W33" t="str">
        <f>$A$15</f>
        <v>Process, plant and machine operatives</v>
      </c>
      <c r="X33" s="17">
        <f t="shared" ref="X33:AB33" si="33">X15/X$18*100</f>
        <v>2.6537004410142959</v>
      </c>
      <c r="Y33" s="17">
        <f t="shared" si="33"/>
        <v>2.6668568064277793</v>
      </c>
      <c r="Z33" s="17">
        <f t="shared" si="33"/>
        <v>2.2621042375312159</v>
      </c>
      <c r="AA33" s="17">
        <f t="shared" si="33"/>
        <v>2.8892189849614383</v>
      </c>
      <c r="AB33" s="17">
        <f t="shared" si="33"/>
        <v>3.0036857923439912</v>
      </c>
      <c r="AC33" s="11"/>
      <c r="AD33" s="39">
        <f t="shared" si="18"/>
        <v>40.767030469374198</v>
      </c>
      <c r="AE33" s="39">
        <f t="shared" si="19"/>
        <v>66.552370000574314</v>
      </c>
      <c r="AF33" s="39">
        <f t="shared" si="20"/>
        <v>107.31940046994852</v>
      </c>
    </row>
    <row r="34" spans="1:32" x14ac:dyDescent="0.2">
      <c r="A34" t="str">
        <f>$A$16</f>
        <v>Elementary occupations</v>
      </c>
      <c r="B34" s="17">
        <f t="shared" si="8"/>
        <v>12.399894421483697</v>
      </c>
      <c r="C34" s="17">
        <f t="shared" si="8"/>
        <v>11.180143123317283</v>
      </c>
      <c r="D34" s="17">
        <f t="shared" si="8"/>
        <v>10.397963120496344</v>
      </c>
      <c r="E34" s="17">
        <f t="shared" si="8"/>
        <v>9.9418598935378721</v>
      </c>
      <c r="F34" s="17">
        <f t="shared" si="8"/>
        <v>9.0389798152815004</v>
      </c>
      <c r="G34" s="11"/>
      <c r="H34" s="39">
        <f t="shared" si="21"/>
        <v>-9.2205658253734857</v>
      </c>
      <c r="I34" s="39">
        <f t="shared" si="11"/>
        <v>43.772123131936667</v>
      </c>
      <c r="J34" s="39">
        <f t="shared" si="12"/>
        <v>34.551557306563183</v>
      </c>
      <c r="L34" t="str">
        <f>$A$16</f>
        <v>Elementary occupations</v>
      </c>
      <c r="M34" s="17">
        <f t="shared" ref="M34:Q34" si="34">M16/M$18*100</f>
        <v>13.067438355437099</v>
      </c>
      <c r="N34" s="17">
        <f t="shared" si="34"/>
        <v>11.382376937982457</v>
      </c>
      <c r="O34" s="17">
        <f t="shared" si="34"/>
        <v>10.899673266471142</v>
      </c>
      <c r="P34" s="17">
        <f t="shared" si="34"/>
        <v>10.720625063065297</v>
      </c>
      <c r="Q34" s="17">
        <f t="shared" si="34"/>
        <v>9.7576083279198276</v>
      </c>
      <c r="R34" s="11"/>
      <c r="S34" s="39">
        <f t="shared" si="14"/>
        <v>-7.7971886074393799</v>
      </c>
      <c r="T34" s="39">
        <f t="shared" si="15"/>
        <v>36.951268930921124</v>
      </c>
      <c r="U34" s="39">
        <f t="shared" si="16"/>
        <v>29.154080323481747</v>
      </c>
      <c r="W34" t="str">
        <f>$A$16</f>
        <v>Elementary occupations</v>
      </c>
      <c r="X34" s="17">
        <f t="shared" ref="X34:AB34" si="35">X16/X$18*100</f>
        <v>11.636376135479294</v>
      </c>
      <c r="Y34" s="17">
        <f t="shared" si="35"/>
        <v>10.961188065737609</v>
      </c>
      <c r="Z34" s="17">
        <f t="shared" si="35"/>
        <v>9.8431017916548669</v>
      </c>
      <c r="AA34" s="17">
        <f t="shared" si="35"/>
        <v>9.0890080363592496</v>
      </c>
      <c r="AB34" s="17">
        <f t="shared" si="35"/>
        <v>8.2668484087016818</v>
      </c>
      <c r="AC34" s="11"/>
      <c r="AD34" s="39">
        <f t="shared" si="18"/>
        <v>-10.963709111179307</v>
      </c>
      <c r="AE34" s="39">
        <f t="shared" si="19"/>
        <v>52.125303198437557</v>
      </c>
      <c r="AF34" s="39">
        <f t="shared" si="20"/>
        <v>41.161594087258251</v>
      </c>
    </row>
    <row r="35" spans="1:32" x14ac:dyDescent="0.2">
      <c r="B35" s="17"/>
      <c r="C35" s="17"/>
      <c r="D35" s="17"/>
      <c r="E35" s="17"/>
      <c r="F35" s="17"/>
      <c r="G35" s="11"/>
      <c r="H35" s="39"/>
      <c r="I35" s="39"/>
      <c r="J35" s="39"/>
      <c r="M35" s="17"/>
      <c r="N35" s="17"/>
      <c r="O35" s="17"/>
      <c r="P35" s="17"/>
      <c r="Q35" s="17"/>
      <c r="R35" s="11"/>
      <c r="S35" s="39"/>
      <c r="T35" s="39"/>
      <c r="U35" s="39"/>
      <c r="X35" s="17"/>
      <c r="Y35" s="17"/>
      <c r="Z35" s="17"/>
      <c r="AA35" s="17"/>
      <c r="AB35" s="17"/>
      <c r="AC35" s="11"/>
      <c r="AD35" s="39"/>
      <c r="AE35" s="39"/>
      <c r="AF35" s="39"/>
    </row>
    <row r="36" spans="1:32" x14ac:dyDescent="0.2">
      <c r="A36" s="23" t="str">
        <f>$A$18</f>
        <v>All occupations</v>
      </c>
      <c r="B36" s="25">
        <f>B18/B$18*100</f>
        <v>100</v>
      </c>
      <c r="C36" s="25">
        <f>C18/C$18*100</f>
        <v>100</v>
      </c>
      <c r="D36" s="25">
        <f>D18/D$18*100</f>
        <v>100</v>
      </c>
      <c r="E36" s="25">
        <f>E18/E$18*100</f>
        <v>100</v>
      </c>
      <c r="F36" s="25">
        <f>F18/F$18*100</f>
        <v>100</v>
      </c>
      <c r="G36" s="11"/>
      <c r="H36" s="42">
        <f>IF(D18&gt;0,(H18/D18)*100,0)</f>
        <v>4.4278478254235987</v>
      </c>
      <c r="I36" s="42">
        <f t="shared" si="11"/>
        <v>48.740131640222081</v>
      </c>
      <c r="J36" s="42">
        <f t="shared" si="12"/>
        <v>53.167979465645679</v>
      </c>
      <c r="L36" s="23" t="str">
        <f>$A$18</f>
        <v>All occupations</v>
      </c>
      <c r="M36" s="25">
        <f>M18/M$18*100</f>
        <v>100</v>
      </c>
      <c r="N36" s="25">
        <f>N18/N$18*100</f>
        <v>100</v>
      </c>
      <c r="O36" s="25">
        <f>O18/O$18*100</f>
        <v>100</v>
      </c>
      <c r="P36" s="25">
        <f>P18/P$18*100</f>
        <v>100</v>
      </c>
      <c r="Q36" s="25">
        <f>Q18/Q$18*100</f>
        <v>100</v>
      </c>
      <c r="R36" s="11"/>
      <c r="S36" s="42">
        <f t="shared" ref="S36" si="36">IF(O18&gt;0,(S18/O18)*100,0)</f>
        <v>2.9945540602796616</v>
      </c>
      <c r="T36" s="42">
        <f t="shared" ref="T36" si="37">IF(O18&gt;0,(T18/O18)*100,0)</f>
        <v>40.775135851621677</v>
      </c>
      <c r="U36" s="42">
        <f t="shared" ref="U36" si="38">IF(O18&gt;0,(U18/O18)*100,0)</f>
        <v>43.769689911901338</v>
      </c>
      <c r="W36" s="23" t="str">
        <f>$A$18</f>
        <v>All occupations</v>
      </c>
      <c r="X36" s="25">
        <f>X18/X$18*100</f>
        <v>100</v>
      </c>
      <c r="Y36" s="25">
        <f>Y18/Y$18*100</f>
        <v>100</v>
      </c>
      <c r="Z36" s="25">
        <f>Z18/Z$18*100</f>
        <v>100</v>
      </c>
      <c r="AA36" s="25">
        <f>AA18/AA$18*100</f>
        <v>100</v>
      </c>
      <c r="AB36" s="25">
        <f>AB18/AB$18*100</f>
        <v>100</v>
      </c>
      <c r="AC36" s="11"/>
      <c r="AD36" s="42">
        <f t="shared" ref="AD36" si="39">IF(Z18&gt;0,(AD18/Z18)*100,0)</f>
        <v>6.0129847606209621</v>
      </c>
      <c r="AE36" s="42">
        <f t="shared" ref="AE36" si="40">IF(Z18&gt;0,(AE18/Z18)*100,0)</f>
        <v>57.548939241457809</v>
      </c>
      <c r="AF36" s="42">
        <f t="shared" ref="AF36" si="41">IF(Z18&gt;0,(AF18/Z18)*100,0)</f>
        <v>63.561924002078761</v>
      </c>
    </row>
    <row r="37" spans="1:32" x14ac:dyDescent="0.2">
      <c r="B37" s="17"/>
      <c r="C37" s="17"/>
      <c r="D37" s="17"/>
      <c r="E37" s="17"/>
      <c r="F37" s="17"/>
      <c r="G37" s="11"/>
      <c r="M37" s="17"/>
      <c r="N37" s="17"/>
      <c r="O37" s="17"/>
      <c r="P37" s="17"/>
      <c r="Q37" s="17"/>
      <c r="R37" s="11"/>
      <c r="X37" s="17"/>
      <c r="Y37" s="17"/>
      <c r="Z37" s="17"/>
      <c r="AA37" s="17"/>
      <c r="AB37" s="17"/>
      <c r="AC37" s="11"/>
    </row>
    <row r="38" spans="1:32" x14ac:dyDescent="0.2">
      <c r="B38" s="17"/>
      <c r="C38" s="17"/>
      <c r="D38" s="17"/>
      <c r="E38" s="17"/>
      <c r="F38" s="17"/>
      <c r="G38" s="11"/>
      <c r="M38" s="17"/>
      <c r="N38" s="17"/>
      <c r="O38" s="17"/>
      <c r="P38" s="17"/>
      <c r="Q38" s="17"/>
      <c r="R38" s="11"/>
      <c r="X38" s="17"/>
      <c r="Y38" s="17"/>
      <c r="Z38" s="17"/>
      <c r="AA38" s="17"/>
      <c r="AB38" s="17"/>
      <c r="AC38" s="11"/>
    </row>
    <row r="39" spans="1:32" ht="15.75" x14ac:dyDescent="0.25">
      <c r="A39" s="18" t="str">
        <f>CONCATENATE(A$1," (Continued)")</f>
        <v>Occupation Table 1  Employment Change by Occupation Group (SOC 2020) and Replacement Demand, 2015-2035, East Midlands (Continued)</v>
      </c>
      <c r="B39" s="17"/>
      <c r="C39" s="17"/>
      <c r="D39" s="17"/>
      <c r="E39" s="17"/>
      <c r="F39" s="17"/>
      <c r="G39" s="11"/>
      <c r="L39" s="18" t="str">
        <f>CONCATENATE(L$1," (Continued)")</f>
        <v>Occupation Table 1.1  Males: Employment Change by Occupation Group (SOC 2020) and Replacement Demand, 2015-2035, East Midlands (Continued)</v>
      </c>
      <c r="M39" s="17"/>
      <c r="N39" s="17"/>
      <c r="O39" s="17"/>
      <c r="P39" s="17"/>
      <c r="Q39" s="17"/>
      <c r="R39" s="11"/>
      <c r="W39" s="18" t="str">
        <f>CONCATENATE(W$1," (Continued)")</f>
        <v>Occupation Table 1.2  Females: Employment Change by Occupation Group (SOC 2020) and Replacement Demand, 2015-2035, East Midlands (Continued)</v>
      </c>
      <c r="X39" s="17"/>
      <c r="Y39" s="17"/>
      <c r="Z39" s="17"/>
      <c r="AA39" s="17"/>
      <c r="AB39" s="17"/>
      <c r="AC39" s="11"/>
    </row>
    <row r="40" spans="1:32" x14ac:dyDescent="0.2">
      <c r="B40" s="17"/>
      <c r="C40" s="17"/>
      <c r="D40" s="17"/>
      <c r="E40" s="17"/>
      <c r="F40" s="17"/>
      <c r="G40" s="11"/>
      <c r="M40" s="17"/>
      <c r="N40" s="17"/>
      <c r="O40" s="17"/>
      <c r="P40" s="17"/>
      <c r="Q40" s="17"/>
      <c r="R40" s="11"/>
      <c r="X40" s="17"/>
      <c r="Y40" s="17"/>
      <c r="Z40" s="17"/>
      <c r="AA40" s="17"/>
      <c r="AB40" s="17"/>
      <c r="AC40" s="11"/>
    </row>
    <row r="41" spans="1:32" x14ac:dyDescent="0.2">
      <c r="B41" s="17"/>
      <c r="C41" s="17"/>
      <c r="D41" s="17"/>
      <c r="E41" s="17"/>
      <c r="F41" s="15" t="s">
        <v>36</v>
      </c>
      <c r="G41" s="11"/>
      <c r="J41" s="15" t="s">
        <v>36</v>
      </c>
      <c r="M41" s="17"/>
      <c r="N41" s="17"/>
      <c r="O41" s="17"/>
      <c r="P41" s="17"/>
      <c r="Q41" s="15" t="s">
        <v>36</v>
      </c>
      <c r="R41" s="11"/>
      <c r="U41" s="15" t="s">
        <v>36</v>
      </c>
      <c r="X41" s="17"/>
      <c r="Y41" s="17"/>
      <c r="Z41" s="17"/>
      <c r="AA41" s="17"/>
      <c r="AB41" s="15" t="s">
        <v>36</v>
      </c>
      <c r="AC41" s="11"/>
      <c r="AF41" s="15" t="s">
        <v>36</v>
      </c>
    </row>
    <row r="42" spans="1:32" x14ac:dyDescent="0.2">
      <c r="A42" s="35"/>
      <c r="B42" s="65"/>
      <c r="C42" s="65"/>
      <c r="D42" s="65"/>
      <c r="E42" s="65"/>
      <c r="F42" s="65"/>
      <c r="G42" s="11"/>
      <c r="H42" s="27" t="str">
        <f>H4</f>
        <v>2020-2035</v>
      </c>
      <c r="I42" s="35"/>
      <c r="J42" s="35"/>
      <c r="L42" s="35"/>
      <c r="M42" s="65"/>
      <c r="N42" s="65"/>
      <c r="O42" s="65"/>
      <c r="P42" s="65"/>
      <c r="Q42" s="65"/>
      <c r="R42" s="11"/>
      <c r="S42" s="27" t="str">
        <f>S4</f>
        <v>2020-2035</v>
      </c>
      <c r="T42" s="35"/>
      <c r="U42" s="35"/>
      <c r="W42" s="35"/>
      <c r="X42" s="65"/>
      <c r="Y42" s="65"/>
      <c r="Z42" s="65"/>
      <c r="AA42" s="65"/>
      <c r="AB42" s="65"/>
      <c r="AC42" s="11"/>
      <c r="AD42" s="27" t="str">
        <f>AD4</f>
        <v>2020-2035</v>
      </c>
      <c r="AE42" s="35"/>
      <c r="AF42" s="35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0" t="s">
        <v>14</v>
      </c>
      <c r="B44" s="63" t="str">
        <f>CONCATENATE(B$6,"-",C$6)</f>
        <v>2015-2019</v>
      </c>
      <c r="C44" s="63" t="str">
        <f>CONCATENATE(C$6,"-",D$6)</f>
        <v>2019-2020</v>
      </c>
      <c r="D44" s="63" t="str">
        <f>CONCATENATE(D$6,"-",E$6)</f>
        <v>2020-2025</v>
      </c>
      <c r="E44" s="63" t="str">
        <f>CONCATENATE(E$6,"-",F$6)</f>
        <v>2025-2035</v>
      </c>
      <c r="F44" s="63" t="str">
        <f>CONCATENATE(D$6,"-",F$6)</f>
        <v>2020-2035</v>
      </c>
      <c r="H44" s="23" t="str">
        <f>H6</f>
        <v>Change</v>
      </c>
      <c r="I44" s="23" t="str">
        <f>I6</f>
        <v>Demand</v>
      </c>
      <c r="J44" s="23" t="str">
        <f>J6</f>
        <v>Requirement</v>
      </c>
      <c r="L44" s="40" t="s">
        <v>14</v>
      </c>
      <c r="M44" s="63" t="str">
        <f>CONCATENATE(M$6,"-",N$6)</f>
        <v>2015-2019</v>
      </c>
      <c r="N44" s="63" t="str">
        <f>CONCATENATE(N$6,"-",O$6)</f>
        <v>2019-2020</v>
      </c>
      <c r="O44" s="63" t="str">
        <f>CONCATENATE(O$6,"-",P$6)</f>
        <v>2020-2025</v>
      </c>
      <c r="P44" s="63" t="str">
        <f>CONCATENATE(P$6,"-",Q$6)</f>
        <v>2025-2035</v>
      </c>
      <c r="Q44" s="63" t="str">
        <f>CONCATENATE(O$6,"-",Q$6)</f>
        <v>2020-2035</v>
      </c>
      <c r="S44" s="23" t="str">
        <f>S6</f>
        <v>Change</v>
      </c>
      <c r="T44" s="23" t="str">
        <f>T6</f>
        <v>Demand</v>
      </c>
      <c r="U44" s="23" t="str">
        <f>U6</f>
        <v>Requirement</v>
      </c>
      <c r="W44" s="40" t="s">
        <v>14</v>
      </c>
      <c r="X44" s="63" t="str">
        <f>CONCATENATE(X$6,"-",Y$6)</f>
        <v>2015-2019</v>
      </c>
      <c r="Y44" s="63" t="str">
        <f>CONCATENATE(Y$6,"-",Z$6)</f>
        <v>2019-2020</v>
      </c>
      <c r="Z44" s="63" t="str">
        <f>CONCATENATE(Z$6,"-",AA$6)</f>
        <v>2020-2025</v>
      </c>
      <c r="AA44" s="63" t="str">
        <f>CONCATENATE(AA$6,"-",AB$6)</f>
        <v>2025-2035</v>
      </c>
      <c r="AB44" s="63" t="str">
        <f>CONCATENATE(Z$6,"-",AB$6)</f>
        <v>2020-2035</v>
      </c>
      <c r="AD44" s="23" t="str">
        <f>AD6</f>
        <v>Change</v>
      </c>
      <c r="AE44" s="23" t="str">
        <f>AE6</f>
        <v>Demand</v>
      </c>
      <c r="AF44" s="23" t="str">
        <f>AF6</f>
        <v>Requirement</v>
      </c>
    </row>
    <row r="45" spans="1:32" x14ac:dyDescent="0.2">
      <c r="A45" s="1"/>
      <c r="B45" s="19"/>
      <c r="C45" s="19"/>
      <c r="D45" s="19"/>
      <c r="E45" s="19"/>
      <c r="F45" s="19"/>
      <c r="L45" s="1"/>
      <c r="M45" s="19"/>
      <c r="N45" s="19"/>
      <c r="O45" s="19"/>
      <c r="P45" s="19"/>
      <c r="Q45" s="19"/>
      <c r="W45" s="1"/>
      <c r="X45" s="19"/>
      <c r="Y45" s="19"/>
      <c r="Z45" s="19"/>
      <c r="AA45" s="19"/>
      <c r="AB45" s="19"/>
    </row>
    <row r="46" spans="1:32" x14ac:dyDescent="0.2">
      <c r="A46" t="str">
        <f>$A$8</f>
        <v>Managers, directors and senior officials</v>
      </c>
      <c r="B46" s="17">
        <f>IF(C$6-B$6 &lt;&gt; 0,(EXP(LN(C8/B8)/(C$6-B$6))-1)*100,0)</f>
        <v>4.2353289656532622</v>
      </c>
      <c r="C46" s="17">
        <f t="shared" ref="B46:E54" si="42">IF(D$6-C$6 &lt;&gt; 0,(EXP(LN(D8/C8)/(D$6-C$6))-1)*100,0)</f>
        <v>4.0552523657374939</v>
      </c>
      <c r="D46" s="17">
        <f t="shared" si="42"/>
        <v>0.38194627881038556</v>
      </c>
      <c r="E46" s="17">
        <f t="shared" si="42"/>
        <v>1.0621631982902002</v>
      </c>
      <c r="F46" s="17">
        <f>IF(F$6-D$6 &lt;&gt; 0,(EXP(LN(F8/D8)/(F$6-D$6))-1)*100,0)</f>
        <v>0.83491361200913605</v>
      </c>
      <c r="H46" s="17">
        <f>IF($F$6-$D$6 &lt;&gt; 0,(EXP(LN(1+(H26/100))/($F$6-$D$6))-1)*100,0)</f>
        <v>0.83491361200913605</v>
      </c>
      <c r="I46" s="17">
        <f>IF($F$6-$D$6 &lt;&gt; 0,(EXP(LN(1+(I26/100))/($F$6-$D$6))-1)*100,0)</f>
        <v>2.9383885437627599</v>
      </c>
      <c r="J46" s="17">
        <f>IF($F$6-$D$6 &lt;&gt; 0,(EXP(LN(1+(J26/100))/($F$6-$D$6))-1)*100,0)</f>
        <v>3.5062822111180392</v>
      </c>
      <c r="L46" t="str">
        <f>$A$8</f>
        <v>Managers, directors and senior officials</v>
      </c>
      <c r="M46" s="17">
        <f t="shared" ref="M46:M54" si="43">IF(N$6-M$6 &lt;&gt; 0,(EXP(LN(N8/M8)/(N$6-M$6))-1)*100,0)</f>
        <v>3.1789329978201719</v>
      </c>
      <c r="N46" s="17">
        <f t="shared" ref="N46:N54" si="44">IF(O$6-N$6 &lt;&gt; 0,(EXP(LN(O8/N8)/(O$6-N$6))-1)*100,0)</f>
        <v>5.1466467707744101</v>
      </c>
      <c r="O46" s="17">
        <f t="shared" ref="O46:O54" si="45">IF(P$6-O$6 &lt;&gt; 0,(EXP(LN(P8/O8)/(P$6-O$6))-1)*100,0)</f>
        <v>0.14276214801915987</v>
      </c>
      <c r="P46" s="17">
        <f t="shared" ref="P46:P54" si="46">IF(Q$6-P$6 &lt;&gt; 0,(EXP(LN(Q8/P8)/(Q$6-P$6))-1)*100,0)</f>
        <v>0.81151521993807485</v>
      </c>
      <c r="Q46" s="17">
        <f>IF(Q$6-O$6 &lt;&gt; 0,(EXP(LN(Q8/O8)/(Q$6-O$6))-1)*100,0)</f>
        <v>0.58810278178944575</v>
      </c>
      <c r="S46" s="17">
        <f>IF($F$6-$D$6 &lt;&gt; 0,(EXP(LN(1+(S26/100))/($F$6-$D$6))-1)*100,0)</f>
        <v>0.58810278178944575</v>
      </c>
      <c r="T46" s="17">
        <f>IF($F$6-$D$6 &lt;&gt; 0,(EXP(LN(1+(T26/100))/($F$6-$D$6))-1)*100,0)</f>
        <v>2.6907789564948326</v>
      </c>
      <c r="U46" s="17">
        <f>IF($F$6-$D$6 &lt;&gt; 0,(EXP(LN(1+(U26/100))/($F$6-$D$6))-1)*100,0)</f>
        <v>3.1017137752366475</v>
      </c>
      <c r="W46" t="str">
        <f>$A$8</f>
        <v>Managers, directors and senior officials</v>
      </c>
      <c r="X46" s="17">
        <f t="shared" ref="X46:X54" si="47">IF(Y$6-X$6 &lt;&gt; 0,(EXP(LN(Y8/X8)/(Y$6-X$6))-1)*100,0)</f>
        <v>6.5534984293973642</v>
      </c>
      <c r="Y46" s="17">
        <f t="shared" ref="Y46:Y54" si="48">IF(Z$6-Y$6 &lt;&gt; 0,(EXP(LN(Z8/Y8)/(Z$6-Y$6))-1)*100,0)</f>
        <v>1.8448994522273887</v>
      </c>
      <c r="Z46" s="17">
        <f t="shared" ref="Z46:Z54" si="49">IF(AA$6-Z$6 &lt;&gt; 0,(EXP(LN(AA8/Z8)/(AA$6-Z$6))-1)*100,0)</f>
        <v>0.87481817795156402</v>
      </c>
      <c r="AA46" s="17">
        <f t="shared" ref="AA46:AA54" si="50">IF(AB$6-AA$6 &lt;&gt; 0,(EXP(LN(AB8/AA8)/(AB$6-AA$6))-1)*100,0)</f>
        <v>1.5511172308707577</v>
      </c>
      <c r="AB46" s="17">
        <f>IF(AB$6-Z$6 &lt;&gt; 0,(EXP(LN(AB8/Z8)/(AB$6-Z$6))-1)*100,0)</f>
        <v>1.3251819153620614</v>
      </c>
      <c r="AD46" s="17">
        <f>IF($F$6-$D$6 &lt;&gt; 0,(EXP(LN(1+(AD26/100))/($F$6-$D$6))-1)*100,0)</f>
        <v>1.3251819153620614</v>
      </c>
      <c r="AE46" s="17">
        <f>IF($F$6-$D$6 &lt;&gt; 0,(EXP(LN(1+(AE26/100))/($F$6-$D$6))-1)*100,0)</f>
        <v>3.4306656620588738</v>
      </c>
      <c r="AF46" s="17">
        <f>IF($F$6-$D$6 &lt;&gt; 0,(EXP(LN(1+(AF26/100))/($F$6-$D$6))-1)*100,0)</f>
        <v>4.2868587881546016</v>
      </c>
    </row>
    <row r="47" spans="1:32" x14ac:dyDescent="0.2">
      <c r="A47" t="str">
        <f>$A$9</f>
        <v>Professional occupations</v>
      </c>
      <c r="B47" s="17">
        <f t="shared" si="42"/>
        <v>3.8070308141573417</v>
      </c>
      <c r="C47" s="17">
        <f t="shared" si="42"/>
        <v>6.273356812148112</v>
      </c>
      <c r="D47" s="17">
        <f t="shared" si="42"/>
        <v>1.2772901945105497</v>
      </c>
      <c r="E47" s="17">
        <f t="shared" si="42"/>
        <v>0.97722852675612426</v>
      </c>
      <c r="F47" s="17">
        <f>IF(F$6-D$6 &lt;&gt; 0,(EXP(LN(F9/D9)/(F$6-D$6))-1)*100,0)</f>
        <v>1.0771501729611943</v>
      </c>
      <c r="H47" s="17">
        <f t="shared" ref="H47:J56" si="51">IF($F$6-$D$6 &lt;&gt; 0,(EXP(LN(1+(H27/100))/($F$6-$D$6))-1)*100,0)</f>
        <v>1.0771501729611943</v>
      </c>
      <c r="I47" s="17">
        <f t="shared" si="51"/>
        <v>2.7319025974333444</v>
      </c>
      <c r="J47" s="17">
        <f t="shared" si="51"/>
        <v>3.4885783548914029</v>
      </c>
      <c r="L47" t="str">
        <f>$A$9</f>
        <v>Professional occupations</v>
      </c>
      <c r="M47" s="17">
        <f t="shared" si="43"/>
        <v>2.9186563990354353</v>
      </c>
      <c r="N47" s="17">
        <f t="shared" si="44"/>
        <v>5.5775866902831428</v>
      </c>
      <c r="O47" s="17">
        <f t="shared" si="45"/>
        <v>1.0873684071569079</v>
      </c>
      <c r="P47" s="17">
        <f t="shared" si="46"/>
        <v>0.80320958820738753</v>
      </c>
      <c r="Q47" s="17">
        <f>IF(Q$6-O$6 &lt;&gt; 0,(EXP(LN(Q9/O9)/(Q$6-O$6))-1)*100,0)</f>
        <v>0.8978403304923388</v>
      </c>
      <c r="S47" s="17">
        <f t="shared" ref="S47:U47" si="52">IF($F$6-$D$6 &lt;&gt; 0,(EXP(LN(1+(S27/100))/($F$6-$D$6))-1)*100,0)</f>
        <v>0.8978403304923388</v>
      </c>
      <c r="T47" s="17">
        <f t="shared" si="52"/>
        <v>2.2888329757494885</v>
      </c>
      <c r="U47" s="17">
        <f t="shared" si="52"/>
        <v>2.9544318843627959</v>
      </c>
      <c r="W47" t="str">
        <f>$A$9</f>
        <v>Professional occupations</v>
      </c>
      <c r="X47" s="17">
        <f t="shared" si="47"/>
        <v>4.8875923386620279</v>
      </c>
      <c r="Y47" s="17">
        <f t="shared" si="48"/>
        <v>7.0805049839210543</v>
      </c>
      <c r="Z47" s="17">
        <f t="shared" si="49"/>
        <v>1.4927898446171373</v>
      </c>
      <c r="AA47" s="17">
        <f t="shared" si="50"/>
        <v>1.1691707245542027</v>
      </c>
      <c r="AB47" s="17">
        <f>IF(AB$6-Z$6 &lt;&gt; 0,(EXP(LN(AB9/Z9)/(AB$6-Z$6))-1)*100,0)</f>
        <v>1.2769289474109158</v>
      </c>
      <c r="AD47" s="17">
        <f t="shared" ref="AD47:AF47" si="53">IF($F$6-$D$6 &lt;&gt; 0,(EXP(LN(1+(AD27/100))/($F$6-$D$6))-1)*100,0)</f>
        <v>1.2769289474109158</v>
      </c>
      <c r="AE47" s="17">
        <f t="shared" si="53"/>
        <v>3.207913039357968</v>
      </c>
      <c r="AF47" s="17">
        <f t="shared" si="53"/>
        <v>4.0556681090864855</v>
      </c>
    </row>
    <row r="48" spans="1:32" x14ac:dyDescent="0.2">
      <c r="A48" t="str">
        <f>$A$10</f>
        <v>Associate professional occupations</v>
      </c>
      <c r="B48" s="17">
        <f t="shared" si="42"/>
        <v>2.2094194486671936</v>
      </c>
      <c r="C48" s="17">
        <f t="shared" si="42"/>
        <v>5.6267986428632843</v>
      </c>
      <c r="D48" s="17">
        <f t="shared" si="42"/>
        <v>-0.61711902362656668</v>
      </c>
      <c r="E48" s="17">
        <f t="shared" si="42"/>
        <v>0.66186087444228825</v>
      </c>
      <c r="F48" s="17">
        <f t="shared" ref="F48:F56" si="54">IF(F$6-D$6 &lt;&gt; 0,(EXP(LN(F10/D10)/(F$6-D$6))-1)*100,0)</f>
        <v>0.23371579413067334</v>
      </c>
      <c r="H48" s="17">
        <f t="shared" si="51"/>
        <v>0.23371579413067334</v>
      </c>
      <c r="I48" s="17">
        <f t="shared" si="51"/>
        <v>2.4949221811637168</v>
      </c>
      <c r="J48" s="17">
        <f t="shared" si="51"/>
        <v>2.6612761795048234</v>
      </c>
      <c r="L48" t="str">
        <f>$A$10</f>
        <v>Associate professional occupations</v>
      </c>
      <c r="M48" s="17">
        <f t="shared" si="43"/>
        <v>1.2743430812799827</v>
      </c>
      <c r="N48" s="17">
        <f t="shared" si="44"/>
        <v>5.8930520510157125</v>
      </c>
      <c r="O48" s="17">
        <f t="shared" si="45"/>
        <v>-1.5168229120443133</v>
      </c>
      <c r="P48" s="17">
        <f t="shared" si="46"/>
        <v>0.25218099970729657</v>
      </c>
      <c r="Q48" s="17">
        <f t="shared" ref="Q48:Q54" si="55">IF(Q$6-O$6 &lt;&gt; 0,(EXP(LN(Q10/O10)/(Q$6-O$6))-1)*100,0)</f>
        <v>-0.34098971313843984</v>
      </c>
      <c r="S48" s="17">
        <f t="shared" ref="S48:U48" si="56">IF($F$6-$D$6 &lt;&gt; 0,(EXP(LN(1+(S28/100))/($F$6-$D$6))-1)*100,0)</f>
        <v>-0.34098971313843984</v>
      </c>
      <c r="T48" s="17">
        <f t="shared" si="56"/>
        <v>1.9937935489725112</v>
      </c>
      <c r="U48" s="17">
        <f t="shared" si="56"/>
        <v>1.7367434912690438</v>
      </c>
      <c r="W48" t="str">
        <f>$A$10</f>
        <v>Associate professional occupations</v>
      </c>
      <c r="X48" s="17">
        <f t="shared" si="47"/>
        <v>3.3950260048345005</v>
      </c>
      <c r="Y48" s="17">
        <f t="shared" si="48"/>
        <v>5.3062445457686902</v>
      </c>
      <c r="Z48" s="17">
        <f t="shared" si="49"/>
        <v>0.43025606888991152</v>
      </c>
      <c r="AA48" s="17">
        <f t="shared" si="50"/>
        <v>1.0949604484073117</v>
      </c>
      <c r="AB48" s="17">
        <f t="shared" ref="AB48:AB54" si="57">IF(AB$6-Z$6 &lt;&gt; 0,(EXP(LN(AB10/Z10)/(AB$6-Z$6))-1)*100,0)</f>
        <v>0.87290493311942274</v>
      </c>
      <c r="AD48" s="17">
        <f t="shared" ref="AD48:AF48" si="58">IF($F$6-$D$6 &lt;&gt; 0,(EXP(LN(1+(AD28/100))/($F$6-$D$6))-1)*100,0)</f>
        <v>0.87290493311942274</v>
      </c>
      <c r="AE48" s="17">
        <f t="shared" si="58"/>
        <v>3.0590246519873299</v>
      </c>
      <c r="AF48" s="17">
        <f t="shared" si="58"/>
        <v>3.644020734401443</v>
      </c>
    </row>
    <row r="49" spans="1:32" x14ac:dyDescent="0.2">
      <c r="A49" t="str">
        <f>$A$11</f>
        <v>Administrative and secretarial occupations</v>
      </c>
      <c r="B49" s="17">
        <f t="shared" si="42"/>
        <v>-1.6029711127829582E-2</v>
      </c>
      <c r="C49" s="17">
        <f t="shared" si="42"/>
        <v>3.877739215957221</v>
      </c>
      <c r="D49" s="17">
        <f t="shared" si="42"/>
        <v>-1.2439691874348568</v>
      </c>
      <c r="E49" s="17">
        <f t="shared" si="42"/>
        <v>-0.87506811665138962</v>
      </c>
      <c r="F49" s="17">
        <f t="shared" si="54"/>
        <v>-0.99818800017190679</v>
      </c>
      <c r="H49" s="17">
        <f t="shared" si="51"/>
        <v>-0.99818800017190679</v>
      </c>
      <c r="I49" s="17">
        <f t="shared" si="51"/>
        <v>2.591160951934679</v>
      </c>
      <c r="J49" s="17">
        <f t="shared" si="51"/>
        <v>1.9093332221228554</v>
      </c>
      <c r="L49" t="str">
        <f>$A$11</f>
        <v>Administrative and secretarial occupations</v>
      </c>
      <c r="M49" s="17">
        <f t="shared" si="43"/>
        <v>-1.4509134010476377</v>
      </c>
      <c r="N49" s="17">
        <f t="shared" si="44"/>
        <v>21.143604079640088</v>
      </c>
      <c r="O49" s="17">
        <f t="shared" si="45"/>
        <v>-1.1665009488881495</v>
      </c>
      <c r="P49" s="17">
        <f t="shared" si="46"/>
        <v>0.77728483238410639</v>
      </c>
      <c r="Q49" s="17">
        <f t="shared" si="55"/>
        <v>0.12514528338523068</v>
      </c>
      <c r="S49" s="17">
        <f t="shared" ref="S49:U49" si="59">IF($F$6-$D$6 &lt;&gt; 0,(EXP(LN(1+(S29/100))/($F$6-$D$6))-1)*100,0)</f>
        <v>0.12514528338523068</v>
      </c>
      <c r="T49" s="17">
        <f t="shared" si="59"/>
        <v>2.0357316078934318</v>
      </c>
      <c r="U49" s="17">
        <f t="shared" si="59"/>
        <v>2.1303270957444331</v>
      </c>
      <c r="W49" t="str">
        <f>$A$11</f>
        <v>Administrative and secretarial occupations</v>
      </c>
      <c r="X49" s="17">
        <f t="shared" si="47"/>
        <v>0.34365028417484567</v>
      </c>
      <c r="Y49" s="17">
        <f t="shared" si="48"/>
        <v>-0.2588412529603179</v>
      </c>
      <c r="Z49" s="17">
        <f t="shared" si="49"/>
        <v>-1.2665574552589209</v>
      </c>
      <c r="AA49" s="17">
        <f t="shared" si="50"/>
        <v>-1.4089963569204</v>
      </c>
      <c r="AB49" s="17">
        <f t="shared" si="57"/>
        <v>-1.3615395700263377</v>
      </c>
      <c r="AD49" s="17">
        <f t="shared" ref="AD49:AF49" si="60">IF($F$6-$D$6 &lt;&gt; 0,(EXP(LN(1+(AD29/100))/($F$6-$D$6))-1)*100,0)</f>
        <v>-1.3615395700263377</v>
      </c>
      <c r="AE49" s="17">
        <f t="shared" si="60"/>
        <v>2.7451728805994557</v>
      </c>
      <c r="AF49" s="17">
        <f t="shared" si="60"/>
        <v>1.8437459906570197</v>
      </c>
    </row>
    <row r="50" spans="1:32" x14ac:dyDescent="0.2">
      <c r="A50" t="str">
        <f>$A$12</f>
        <v>Skilled trades occupations</v>
      </c>
      <c r="B50" s="17">
        <f t="shared" si="42"/>
        <v>-0.35766192142807629</v>
      </c>
      <c r="C50" s="17">
        <f t="shared" si="42"/>
        <v>-9.0943825303897441</v>
      </c>
      <c r="D50" s="17">
        <f t="shared" si="42"/>
        <v>-0.48598104225680006</v>
      </c>
      <c r="E50" s="17">
        <f t="shared" si="42"/>
        <v>-0.71214056013283455</v>
      </c>
      <c r="F50" s="17">
        <f t="shared" si="54"/>
        <v>-0.6368112207248644</v>
      </c>
      <c r="H50" s="17">
        <f t="shared" si="51"/>
        <v>-0.6368112207248644</v>
      </c>
      <c r="I50" s="17">
        <f t="shared" si="51"/>
        <v>2.2906129866435032</v>
      </c>
      <c r="J50" s="17">
        <f t="shared" si="51"/>
        <v>1.8328861175776145</v>
      </c>
      <c r="L50" t="str">
        <f>$A$12</f>
        <v>Skilled trades occupations</v>
      </c>
      <c r="M50" s="17">
        <f t="shared" si="43"/>
        <v>-0.82368409679444143</v>
      </c>
      <c r="N50" s="17">
        <f t="shared" si="44"/>
        <v>-9.7288961163681353</v>
      </c>
      <c r="O50" s="17">
        <f t="shared" si="45"/>
        <v>-0.76678781303770593</v>
      </c>
      <c r="P50" s="17">
        <f t="shared" si="46"/>
        <v>-0.9118214181178419</v>
      </c>
      <c r="Q50" s="17">
        <f t="shared" si="55"/>
        <v>-0.86350045094197858</v>
      </c>
      <c r="S50" s="17">
        <f t="shared" ref="S50:U50" si="61">IF($F$6-$D$6 &lt;&gt; 0,(EXP(LN(1+(S30/100))/($F$6-$D$6))-1)*100,0)</f>
        <v>-0.86350045094197858</v>
      </c>
      <c r="T50" s="17">
        <f t="shared" si="61"/>
        <v>2.1136892807456009</v>
      </c>
      <c r="U50" s="17">
        <f t="shared" si="61"/>
        <v>1.4801249353471269</v>
      </c>
      <c r="W50" t="str">
        <f>$A$12</f>
        <v>Skilled trades occupations</v>
      </c>
      <c r="X50" s="17">
        <f t="shared" si="47"/>
        <v>3.1614190185992319</v>
      </c>
      <c r="Y50" s="17">
        <f t="shared" si="48"/>
        <v>-4.7491680750633254</v>
      </c>
      <c r="Z50" s="17">
        <f t="shared" si="49"/>
        <v>1.2636105439943313</v>
      </c>
      <c r="AA50" s="17">
        <f t="shared" si="50"/>
        <v>0.39156698148588021</v>
      </c>
      <c r="AB50" s="17">
        <f t="shared" si="57"/>
        <v>0.68141054742500984</v>
      </c>
      <c r="AD50" s="17">
        <f t="shared" ref="AD50:AF50" si="62">IF($F$6-$D$6 &lt;&gt; 0,(EXP(LN(1+(AD30/100))/($F$6-$D$6))-1)*100,0)</f>
        <v>0.68141054742500984</v>
      </c>
      <c r="AE50" s="17">
        <f t="shared" si="62"/>
        <v>3.3454155409355035</v>
      </c>
      <c r="AF50" s="17">
        <f t="shared" si="62"/>
        <v>3.7831805490707415</v>
      </c>
    </row>
    <row r="51" spans="1:32" x14ac:dyDescent="0.2">
      <c r="A51" t="str">
        <f>$A$13</f>
        <v>Caring, leisure and other service occupations</v>
      </c>
      <c r="B51" s="17">
        <f t="shared" si="42"/>
        <v>1.6755704139437499</v>
      </c>
      <c r="C51" s="17">
        <f t="shared" si="42"/>
        <v>-3.4985784546964993</v>
      </c>
      <c r="D51" s="17">
        <f t="shared" si="42"/>
        <v>1.2013222136895818</v>
      </c>
      <c r="E51" s="17">
        <f t="shared" si="42"/>
        <v>0.69399416531410463</v>
      </c>
      <c r="F51" s="17">
        <f t="shared" si="54"/>
        <v>0.86282029835396123</v>
      </c>
      <c r="H51" s="17">
        <f t="shared" si="51"/>
        <v>0.86282029835396123</v>
      </c>
      <c r="I51" s="17">
        <f t="shared" si="51"/>
        <v>3.1281479969301751</v>
      </c>
      <c r="J51" s="17">
        <f t="shared" si="51"/>
        <v>3.7010625690578891</v>
      </c>
      <c r="L51" t="str">
        <f>$A$13</f>
        <v>Caring, leisure and other service occupations</v>
      </c>
      <c r="M51" s="17">
        <f t="shared" si="43"/>
        <v>1.3481659880417718</v>
      </c>
      <c r="N51" s="17">
        <f t="shared" si="44"/>
        <v>0.89984701013583468</v>
      </c>
      <c r="O51" s="17">
        <f t="shared" si="45"/>
        <v>2.467684272753945</v>
      </c>
      <c r="P51" s="17">
        <f t="shared" si="46"/>
        <v>1.3470404541509495</v>
      </c>
      <c r="Q51" s="17">
        <f t="shared" si="55"/>
        <v>1.7192199556789411</v>
      </c>
      <c r="S51" s="17">
        <f t="shared" ref="S51:U51" si="63">IF($F$6-$D$6 &lt;&gt; 0,(EXP(LN(1+(S31/100))/($F$6-$D$6))-1)*100,0)</f>
        <v>1.7192199556789411</v>
      </c>
      <c r="T51" s="17">
        <f t="shared" si="63"/>
        <v>2.763810704977554</v>
      </c>
      <c r="U51" s="17">
        <f t="shared" si="63"/>
        <v>3.9831995812651844</v>
      </c>
      <c r="W51" t="str">
        <f>$A$13</f>
        <v>Caring, leisure and other service occupations</v>
      </c>
      <c r="X51" s="17">
        <f t="shared" si="47"/>
        <v>1.7495449066687652</v>
      </c>
      <c r="Y51" s="17">
        <f t="shared" si="48"/>
        <v>-4.482590813633724</v>
      </c>
      <c r="Z51" s="17">
        <f t="shared" si="49"/>
        <v>0.89258596630497067</v>
      </c>
      <c r="AA51" s="17">
        <f t="shared" si="50"/>
        <v>0.52094944304854618</v>
      </c>
      <c r="AB51" s="17">
        <f t="shared" si="57"/>
        <v>0.64467593255932432</v>
      </c>
      <c r="AD51" s="17">
        <f t="shared" ref="AD51:AF51" si="64">IF($F$6-$D$6 &lt;&gt; 0,(EXP(LN(1+(AD31/100))/($F$6-$D$6))-1)*100,0)</f>
        <v>0.64467593255932432</v>
      </c>
      <c r="AE51" s="17">
        <f t="shared" si="64"/>
        <v>3.2116780119077148</v>
      </c>
      <c r="AF51" s="17">
        <f t="shared" si="64"/>
        <v>3.6327876033955375</v>
      </c>
    </row>
    <row r="52" spans="1:32" x14ac:dyDescent="0.2">
      <c r="A52" t="str">
        <f>$A$14</f>
        <v>Sales and customer service occupations</v>
      </c>
      <c r="B52" s="17">
        <f t="shared" si="42"/>
        <v>-0.8254198536059576</v>
      </c>
      <c r="C52" s="17">
        <f t="shared" si="42"/>
        <v>-2.2500416344465535</v>
      </c>
      <c r="D52" s="17">
        <f t="shared" si="42"/>
        <v>7.4679557053869416E-3</v>
      </c>
      <c r="E52" s="17">
        <f t="shared" si="42"/>
        <v>-6.1965126418794814E-2</v>
      </c>
      <c r="F52" s="17">
        <f t="shared" si="54"/>
        <v>-3.8826123578483696E-2</v>
      </c>
      <c r="H52" s="17">
        <f t="shared" si="51"/>
        <v>-3.8826123578483696E-2</v>
      </c>
      <c r="I52" s="17">
        <f t="shared" si="51"/>
        <v>2.5944125723873501</v>
      </c>
      <c r="J52" s="17">
        <f t="shared" si="51"/>
        <v>2.5673097150563873</v>
      </c>
      <c r="L52" t="str">
        <f>$A$14</f>
        <v>Sales and customer service occupations</v>
      </c>
      <c r="M52" s="17">
        <f t="shared" si="43"/>
        <v>-0.83231413717013147</v>
      </c>
      <c r="N52" s="17">
        <f t="shared" si="44"/>
        <v>1.9341893705299817</v>
      </c>
      <c r="O52" s="17">
        <f t="shared" si="45"/>
        <v>0.22935549310307835</v>
      </c>
      <c r="P52" s="17">
        <f t="shared" si="46"/>
        <v>9.2586149871864976E-2</v>
      </c>
      <c r="Q52" s="17">
        <f t="shared" si="55"/>
        <v>0.13815518164208562</v>
      </c>
      <c r="S52" s="17">
        <f t="shared" ref="S52:U52" si="65">IF($F$6-$D$6 &lt;&gt; 0,(EXP(LN(1+(S32/100))/($F$6-$D$6))-1)*100,0)</f>
        <v>0.13815518164208562</v>
      </c>
      <c r="T52" s="17">
        <f t="shared" si="65"/>
        <v>1.944830771066397</v>
      </c>
      <c r="U52" s="17">
        <f t="shared" si="65"/>
        <v>2.050586197145865</v>
      </c>
      <c r="W52" t="str">
        <f>$A$14</f>
        <v>Sales and customer service occupations</v>
      </c>
      <c r="X52" s="17">
        <f t="shared" si="47"/>
        <v>-0.82158324227306068</v>
      </c>
      <c r="Y52" s="17">
        <f t="shared" si="48"/>
        <v>-4.5779015110692161</v>
      </c>
      <c r="Z52" s="17">
        <f t="shared" si="49"/>
        <v>-0.12534046738986726</v>
      </c>
      <c r="AA52" s="17">
        <f t="shared" si="50"/>
        <v>-0.15651376316810905</v>
      </c>
      <c r="AB52" s="17">
        <f t="shared" si="57"/>
        <v>-0.14612374582971821</v>
      </c>
      <c r="AD52" s="17">
        <f t="shared" ref="AD52:AF52" si="66">IF($F$6-$D$6 &lt;&gt; 0,(EXP(LN(1+(AD32/100))/($F$6-$D$6))-1)*100,0)</f>
        <v>-0.14612374582971821</v>
      </c>
      <c r="AE52" s="17">
        <f t="shared" si="66"/>
        <v>2.9548164043861735</v>
      </c>
      <c r="AF52" s="17">
        <f t="shared" si="66"/>
        <v>2.8579689783744922</v>
      </c>
    </row>
    <row r="53" spans="1:32" x14ac:dyDescent="0.2">
      <c r="A53" t="str">
        <f>$A$15</f>
        <v>Process, plant and machine operatives</v>
      </c>
      <c r="B53" s="17">
        <f t="shared" si="42"/>
        <v>1.3958935891872581</v>
      </c>
      <c r="C53" s="17">
        <f t="shared" si="42"/>
        <v>-5.9636741154485033</v>
      </c>
      <c r="D53" s="17">
        <f t="shared" si="42"/>
        <v>2.1954218838182715</v>
      </c>
      <c r="E53" s="17">
        <f t="shared" si="42"/>
        <v>-0.16996783951183092</v>
      </c>
      <c r="F53" s="17">
        <f t="shared" si="54"/>
        <v>0.61234877452847059</v>
      </c>
      <c r="H53" s="17">
        <f t="shared" si="51"/>
        <v>0.61234877452847059</v>
      </c>
      <c r="I53" s="17">
        <f t="shared" si="51"/>
        <v>2.7887842044426181</v>
      </c>
      <c r="J53" s="17">
        <f t="shared" si="51"/>
        <v>3.2113821937850506</v>
      </c>
      <c r="L53" t="str">
        <f>$A$15</f>
        <v>Process, plant and machine operatives</v>
      </c>
      <c r="M53" s="17">
        <f t="shared" si="43"/>
        <v>1.240705031322098</v>
      </c>
      <c r="N53" s="17">
        <f t="shared" si="44"/>
        <v>-4.1095456071598369</v>
      </c>
      <c r="O53" s="17">
        <f t="shared" si="45"/>
        <v>1.6359098181284892</v>
      </c>
      <c r="P53" s="17">
        <f t="shared" si="46"/>
        <v>-0.35815750065844032</v>
      </c>
      <c r="Q53" s="17">
        <f t="shared" si="55"/>
        <v>0.30214625768680836</v>
      </c>
      <c r="S53" s="17">
        <f t="shared" ref="S53:U53" si="67">IF($F$6-$D$6 &lt;&gt; 0,(EXP(LN(1+(S33/100))/($F$6-$D$6))-1)*100,0)</f>
        <v>0.30214625768680836</v>
      </c>
      <c r="T53" s="17">
        <f t="shared" si="67"/>
        <v>2.6762142585460502</v>
      </c>
      <c r="U53" s="17">
        <f t="shared" si="67"/>
        <v>2.8864051334099416</v>
      </c>
      <c r="W53" t="str">
        <f>$A$15</f>
        <v>Process, plant and machine operatives</v>
      </c>
      <c r="X53" s="17">
        <f t="shared" si="47"/>
        <v>2.270619332697299</v>
      </c>
      <c r="Y53" s="17">
        <f t="shared" si="48"/>
        <v>-16.153860332252613</v>
      </c>
      <c r="Z53" s="17">
        <f t="shared" si="49"/>
        <v>5.4587253527388135</v>
      </c>
      <c r="AA53" s="17">
        <f t="shared" si="50"/>
        <v>0.7647973913569972</v>
      </c>
      <c r="AB53" s="17">
        <f t="shared" si="57"/>
        <v>2.3057546539911211</v>
      </c>
      <c r="AD53" s="17">
        <f t="shared" ref="AD53:AF53" si="68">IF($F$6-$D$6 &lt;&gt; 0,(EXP(LN(1+(AD33/100))/($F$6-$D$6))-1)*100,0)</f>
        <v>2.3057546539911211</v>
      </c>
      <c r="AE53" s="17">
        <f t="shared" si="68"/>
        <v>3.4594235894285008</v>
      </c>
      <c r="AF53" s="17">
        <f t="shared" si="68"/>
        <v>4.9806674508124926</v>
      </c>
    </row>
    <row r="54" spans="1:32" x14ac:dyDescent="0.2">
      <c r="A54" t="str">
        <f>$A$16</f>
        <v>Elementary occupations</v>
      </c>
      <c r="B54" s="17">
        <f t="shared" si="42"/>
        <v>-1.1828344000250457</v>
      </c>
      <c r="C54" s="17">
        <f t="shared" si="42"/>
        <v>-7.0404636886150946</v>
      </c>
      <c r="D54" s="17">
        <f t="shared" si="42"/>
        <v>-0.5772059094781512</v>
      </c>
      <c r="E54" s="17">
        <f t="shared" si="42"/>
        <v>-0.67564233261694362</v>
      </c>
      <c r="F54" s="17">
        <f t="shared" si="54"/>
        <v>-0.64284102520940634</v>
      </c>
      <c r="H54" s="17">
        <f t="shared" si="51"/>
        <v>-0.64284102520940634</v>
      </c>
      <c r="I54" s="17">
        <f t="shared" si="51"/>
        <v>2.4499252213895817</v>
      </c>
      <c r="J54" s="17">
        <f t="shared" si="51"/>
        <v>1.9982174354238991</v>
      </c>
      <c r="L54" t="str">
        <f>$A$16</f>
        <v>Elementary occupations</v>
      </c>
      <c r="M54" s="17">
        <f t="shared" si="43"/>
        <v>-2.6659114879460599</v>
      </c>
      <c r="N54" s="17">
        <f t="shared" si="44"/>
        <v>-3.3101161044755467</v>
      </c>
      <c r="O54" s="17">
        <f t="shared" si="45"/>
        <v>-0.10646654164796487</v>
      </c>
      <c r="P54" s="17">
        <f t="shared" si="46"/>
        <v>-0.75566439790768491</v>
      </c>
      <c r="Q54" s="17">
        <f t="shared" si="55"/>
        <v>-0.53973525729031913</v>
      </c>
      <c r="S54" s="17">
        <f t="shared" ref="S54:U54" si="69">IF($F$6-$D$6 &lt;&gt; 0,(EXP(LN(1+(S34/100))/($F$6-$D$6))-1)*100,0)</f>
        <v>-0.53973525729031913</v>
      </c>
      <c r="T54" s="17">
        <f t="shared" si="69"/>
        <v>2.1184946230810464</v>
      </c>
      <c r="U54" s="17">
        <f t="shared" si="69"/>
        <v>1.7202007835771083</v>
      </c>
      <c r="W54" t="str">
        <f>$A$16</f>
        <v>Elementary occupations</v>
      </c>
      <c r="X54" s="17">
        <f t="shared" si="47"/>
        <v>0.62917341089019363</v>
      </c>
      <c r="Y54" s="17">
        <f t="shared" si="48"/>
        <v>-11.234438732928687</v>
      </c>
      <c r="Z54" s="17">
        <f t="shared" si="49"/>
        <v>-1.1661187285411323</v>
      </c>
      <c r="AA54" s="17">
        <f t="shared" si="50"/>
        <v>-0.57312708152481573</v>
      </c>
      <c r="AB54" s="17">
        <f t="shared" si="57"/>
        <v>-0.77118523337684763</v>
      </c>
      <c r="AD54" s="17">
        <f t="shared" ref="AD54:AF54" si="70">IF($F$6-$D$6 &lt;&gt; 0,(EXP(LN(1+(AD34/100))/($F$6-$D$6))-1)*100,0)</f>
        <v>-0.77118523337684763</v>
      </c>
      <c r="AE54" s="17">
        <f t="shared" si="70"/>
        <v>2.8363760663151494</v>
      </c>
      <c r="AF54" s="17">
        <f t="shared" si="70"/>
        <v>2.3248469196530452</v>
      </c>
    </row>
    <row r="55" spans="1:32" x14ac:dyDescent="0.2">
      <c r="B55" s="17"/>
      <c r="C55" s="17"/>
      <c r="D55" s="17"/>
      <c r="E55" s="17"/>
      <c r="F55" s="17"/>
      <c r="H55" s="17"/>
      <c r="I55" s="17"/>
      <c r="J55" s="17"/>
      <c r="M55" s="17"/>
      <c r="N55" s="17"/>
      <c r="O55" s="17"/>
      <c r="P55" s="17"/>
      <c r="Q55" s="17"/>
      <c r="S55" s="17"/>
      <c r="T55" s="17"/>
      <c r="U55" s="17"/>
      <c r="X55" s="17"/>
      <c r="Y55" s="17"/>
      <c r="Z55" s="17"/>
      <c r="AA55" s="17"/>
      <c r="AB55" s="17"/>
      <c r="AD55" s="17"/>
      <c r="AE55" s="17"/>
      <c r="AF55" s="17"/>
    </row>
    <row r="56" spans="1:32" x14ac:dyDescent="0.2">
      <c r="A56" s="23" t="str">
        <f>$A$18</f>
        <v>All occupations</v>
      </c>
      <c r="B56" s="25">
        <f>IF(C$6-B$6 &lt;&gt; 0,(EXP(LN(C18/B18)/(C$6-B$6))-1)*100,0)</f>
        <v>1.4086611058431231</v>
      </c>
      <c r="C56" s="25">
        <f>IF(D$6-C$6 &lt;&gt; 0,(EXP(LN(D18/C18)/(D$6-C$6))-1)*100,0)</f>
        <v>-4.764312061895648E-2</v>
      </c>
      <c r="D56" s="25">
        <f>IF(E$6-D$6 &lt;&gt; 0,(EXP(LN(E18/D18)/(E$6-D$6))-1)*100,0)</f>
        <v>0.31874509394069772</v>
      </c>
      <c r="E56" s="25">
        <f>IF(F$6-E$6 &lt;&gt; 0,(EXP(LN(F18/E18)/(F$6-E$6))-1)*100,0)</f>
        <v>0.27451898098460603</v>
      </c>
      <c r="F56" s="25">
        <f t="shared" si="54"/>
        <v>0.28925885184052369</v>
      </c>
      <c r="H56" s="25">
        <f t="shared" si="51"/>
        <v>0.28925885184052369</v>
      </c>
      <c r="I56" s="25">
        <f t="shared" ref="I56" si="71">IF($F$6-$D$6 &lt;&gt; 0,(EXP(LN(1+(I36/100))/($F$6-$D$6))-1)*100,0)</f>
        <v>2.6822108207177786</v>
      </c>
      <c r="J56" s="25">
        <f t="shared" ref="J56" si="72">IF($F$6-$D$6 &lt;&gt; 0,(EXP(LN(1+(J36/100))/($F$6-$D$6))-1)*100,0)</f>
        <v>2.8832162205888912</v>
      </c>
      <c r="L56" s="23" t="str">
        <f>$A$18</f>
        <v>All occupations</v>
      </c>
      <c r="M56" s="25">
        <f>IF(N$6-M$6 &lt;&gt; 0,(EXP(LN(N18/M18)/(N$6-M$6))-1)*100,0)</f>
        <v>0.75215414003089176</v>
      </c>
      <c r="N56" s="25">
        <f>IF(O$6-N$6 &lt;&gt; 0,(EXP(LN(O18/N18)/(O$6-N$6))-1)*100,0)</f>
        <v>0.97189866911802092</v>
      </c>
      <c r="O56" s="25">
        <f>IF(P$6-O$6 &lt;&gt; 0,(EXP(LN(P18/O18)/(P$6-O$6))-1)*100,0)</f>
        <v>0.22499650393701387</v>
      </c>
      <c r="P56" s="25">
        <f>IF(Q$6-P$6 &lt;&gt; 0,(EXP(LN(Q18/P18)/(Q$6-P$6))-1)*100,0)</f>
        <v>0.18285436859277748</v>
      </c>
      <c r="Q56" s="25">
        <f t="shared" ref="Q56" si="73">IF(Q$6-O$6 &lt;&gt; 0,(EXP(LN(Q18/O18)/(Q$6-O$6))-1)*100,0)</f>
        <v>0.19689977781427448</v>
      </c>
      <c r="S56" s="25">
        <f t="shared" ref="S56:U56" si="74">IF($F$6-$D$6 &lt;&gt; 0,(EXP(LN(1+(S36/100))/($F$6-$D$6))-1)*100,0)</f>
        <v>0.19689977781427448</v>
      </c>
      <c r="T56" s="25">
        <f t="shared" si="74"/>
        <v>2.3061473619349737</v>
      </c>
      <c r="U56" s="25">
        <f t="shared" si="74"/>
        <v>2.4498096286612592</v>
      </c>
      <c r="W56" s="23" t="str">
        <f>$A$18</f>
        <v>All occupations</v>
      </c>
      <c r="X56" s="25">
        <f>IF(Y$6-X$6 &lt;&gt; 0,(EXP(LN(Y18/X18)/(Y$6-X$6))-1)*100,0)</f>
        <v>2.1442527808891665</v>
      </c>
      <c r="Y56" s="25">
        <f>IF(Z$6-Y$6 &lt;&gt; 0,(EXP(LN(Z18/Y18)/(Z$6-Y$6))-1)*100,0)</f>
        <v>-1.1514834039381028</v>
      </c>
      <c r="Z56" s="25">
        <f>IF(AA$6-Z$6 &lt;&gt; 0,(EXP(LN(AA18/Z18)/(AA$6-Z$6))-1)*100,0)</f>
        <v>0.42201896134748118</v>
      </c>
      <c r="AA56" s="25">
        <f>IF(AB$6-AA$6 &lt;&gt; 0,(EXP(LN(AB18/AA18)/(AB$6-AA$6))-1)*100,0)</f>
        <v>0.37404631791215781</v>
      </c>
      <c r="AB56" s="25">
        <f t="shared" ref="AB56" si="75">IF(AB$6-Z$6 &lt;&gt; 0,(EXP(LN(AB18/Z18)/(AB$6-Z$6))-1)*100,0)</f>
        <v>0.3900346521797049</v>
      </c>
      <c r="AD56" s="25">
        <f t="shared" ref="AD56:AF56" si="76">IF($F$6-$D$6 &lt;&gt; 0,(EXP(LN(1+(AD36/100))/($F$6-$D$6))-1)*100,0)</f>
        <v>0.3900346521797049</v>
      </c>
      <c r="AE56" s="25">
        <f t="shared" si="76"/>
        <v>3.0768248578912694</v>
      </c>
      <c r="AF56" s="25">
        <f t="shared" si="76"/>
        <v>3.3345329050968653</v>
      </c>
    </row>
    <row r="57" spans="1:32" x14ac:dyDescent="0.2">
      <c r="B57" s="17"/>
      <c r="C57" s="17"/>
      <c r="D57" s="17"/>
      <c r="E57" s="17"/>
      <c r="F57" s="17"/>
      <c r="M57" s="17"/>
      <c r="N57" s="17"/>
      <c r="O57" s="17"/>
      <c r="P57" s="17"/>
      <c r="Q57" s="17"/>
      <c r="X57" s="17"/>
      <c r="Y57" s="17"/>
      <c r="Z57" s="17"/>
      <c r="AA57" s="17"/>
      <c r="AB57" s="17"/>
    </row>
    <row r="58" spans="1:32" x14ac:dyDescent="0.2">
      <c r="B58" s="17"/>
      <c r="C58" s="17"/>
      <c r="D58" s="17"/>
      <c r="E58" s="17"/>
      <c r="F58" s="17"/>
      <c r="M58" s="17"/>
      <c r="N58" s="17"/>
      <c r="O58" s="17"/>
      <c r="P58" s="17"/>
      <c r="Q58" s="17"/>
      <c r="X58" s="17"/>
      <c r="Y58" s="17"/>
      <c r="Z58" s="17"/>
      <c r="AA58" s="17"/>
      <c r="AB58" s="17"/>
    </row>
    <row r="59" spans="1:32" x14ac:dyDescent="0.2">
      <c r="B59" s="17"/>
      <c r="C59" s="17"/>
      <c r="D59" s="17"/>
      <c r="E59" s="17"/>
      <c r="F59" s="15" t="s">
        <v>35</v>
      </c>
      <c r="M59" s="17"/>
      <c r="N59" s="17"/>
      <c r="O59" s="17"/>
      <c r="P59" s="17"/>
      <c r="Q59" s="15" t="s">
        <v>35</v>
      </c>
      <c r="X59" s="17"/>
      <c r="Y59" s="17"/>
      <c r="Z59" s="17"/>
      <c r="AA59" s="17"/>
      <c r="AB59" s="15" t="s">
        <v>35</v>
      </c>
    </row>
    <row r="60" spans="1:32" x14ac:dyDescent="0.2">
      <c r="A60" s="35"/>
      <c r="B60" s="65"/>
      <c r="C60" s="65"/>
      <c r="D60" s="65"/>
      <c r="E60" s="65"/>
      <c r="F60" s="65"/>
      <c r="L60" s="35"/>
      <c r="M60" s="65"/>
      <c r="N60" s="65"/>
      <c r="O60" s="65"/>
      <c r="P60" s="65"/>
      <c r="Q60" s="65"/>
      <c r="W60" s="35"/>
      <c r="X60" s="65"/>
      <c r="Y60" s="65"/>
      <c r="Z60" s="65"/>
      <c r="AA60" s="65"/>
      <c r="AB60" s="65"/>
    </row>
    <row r="62" spans="1:32" x14ac:dyDescent="0.2">
      <c r="A62" s="40" t="s">
        <v>15</v>
      </c>
      <c r="B62" s="63" t="str">
        <f>CONCATENATE(B$6,"-",C$6)</f>
        <v>2015-2019</v>
      </c>
      <c r="C62" s="63" t="str">
        <f>CONCATENATE(C$6,"-",D$6)</f>
        <v>2019-2020</v>
      </c>
      <c r="D62" s="63" t="str">
        <f>CONCATENATE(D$6,"-",E$6)</f>
        <v>2020-2025</v>
      </c>
      <c r="E62" s="63" t="str">
        <f>CONCATENATE(E$6,"-",F$6)</f>
        <v>2025-2035</v>
      </c>
      <c r="F62" s="63" t="str">
        <f>CONCATENATE(D$6,"-",F$6)</f>
        <v>2020-2035</v>
      </c>
      <c r="L62" s="40" t="s">
        <v>15</v>
      </c>
      <c r="M62" s="63" t="str">
        <f>CONCATENATE(M$6,"-",N$6)</f>
        <v>2015-2019</v>
      </c>
      <c r="N62" s="63" t="str">
        <f>CONCATENATE(N$6,"-",O$6)</f>
        <v>2019-2020</v>
      </c>
      <c r="O62" s="63" t="str">
        <f>CONCATENATE(O$6,"-",P$6)</f>
        <v>2020-2025</v>
      </c>
      <c r="P62" s="63" t="str">
        <f>CONCATENATE(P$6,"-",Q$6)</f>
        <v>2025-2035</v>
      </c>
      <c r="Q62" s="63" t="str">
        <f>CONCATENATE(O$6,"-",Q$6)</f>
        <v>2020-2035</v>
      </c>
      <c r="W62" s="40" t="s">
        <v>15</v>
      </c>
      <c r="X62" s="63" t="str">
        <f>CONCATENATE(X$6,"-",Y$6)</f>
        <v>2015-2019</v>
      </c>
      <c r="Y62" s="63" t="str">
        <f>CONCATENATE(Y$6,"-",Z$6)</f>
        <v>2019-2020</v>
      </c>
      <c r="Z62" s="63" t="str">
        <f>CONCATENATE(Z$6,"-",AA$6)</f>
        <v>2020-2025</v>
      </c>
      <c r="AA62" s="63" t="str">
        <f>CONCATENATE(AA$6,"-",AB$6)</f>
        <v>2025-2035</v>
      </c>
      <c r="AB62" s="63" t="str">
        <f>CONCATENATE(Z$6,"-",AB$6)</f>
        <v>2020-2035</v>
      </c>
    </row>
    <row r="63" spans="1:32" x14ac:dyDescent="0.2">
      <c r="A63" s="1"/>
      <c r="B63" s="19"/>
      <c r="C63" s="19"/>
      <c r="D63" s="19"/>
      <c r="E63" s="19"/>
      <c r="F63" s="19"/>
      <c r="L63" s="1"/>
      <c r="M63" s="19"/>
      <c r="N63" s="19"/>
      <c r="O63" s="19"/>
      <c r="P63" s="19"/>
      <c r="Q63" s="19"/>
      <c r="W63" s="1"/>
      <c r="X63" s="19"/>
      <c r="Y63" s="19"/>
      <c r="Z63" s="19"/>
      <c r="AA63" s="19"/>
      <c r="AB63" s="19"/>
    </row>
    <row r="64" spans="1:32" x14ac:dyDescent="0.2">
      <c r="A64" t="str">
        <f>$A$8</f>
        <v>Managers, directors and senior officials</v>
      </c>
      <c r="B64" s="26">
        <f t="shared" ref="B64:E72" si="77">C8-B8</f>
        <v>38.43692975019502</v>
      </c>
      <c r="C64" s="26">
        <f t="shared" si="77"/>
        <v>10.19506163987279</v>
      </c>
      <c r="D64" s="26">
        <f t="shared" si="77"/>
        <v>5.0341459111584186</v>
      </c>
      <c r="E64" s="26">
        <f t="shared" si="77"/>
        <v>29.71350654916705</v>
      </c>
      <c r="F64" s="26">
        <f>F8-D8</f>
        <v>34.747652460325469</v>
      </c>
      <c r="L64" t="str">
        <f>$A$8</f>
        <v>Managers, directors and senior officials</v>
      </c>
      <c r="M64" s="26">
        <f t="shared" ref="M64:M72" si="78">N8-M8</f>
        <v>19.802468535813659</v>
      </c>
      <c r="N64" s="26">
        <f t="shared" ref="N64:N72" si="79">O8-N8</f>
        <v>8.661919006001142</v>
      </c>
      <c r="O64" s="26">
        <f t="shared" ref="O64:O72" si="80">P8-O8</f>
        <v>1.2668006491612118</v>
      </c>
      <c r="P64" s="26">
        <f t="shared" ref="P64:P72" si="81">Q8-P8</f>
        <v>15.003491774313034</v>
      </c>
      <c r="Q64" s="26">
        <f>Q8-O8</f>
        <v>16.270292423474245</v>
      </c>
      <c r="W64" t="str">
        <f>$A$8</f>
        <v>Managers, directors and senior officials</v>
      </c>
      <c r="X64" s="26">
        <f t="shared" ref="X64:X72" si="82">Y8-X8</f>
        <v>18.634461214381105</v>
      </c>
      <c r="Y64" s="26">
        <f t="shared" ref="Y64:Y72" si="83">Z8-Y8</f>
        <v>1.533142633872302</v>
      </c>
      <c r="Z64" s="26">
        <f t="shared" ref="Z64:Z72" si="84">AA8-Z8</f>
        <v>3.7673452619976757</v>
      </c>
      <c r="AA64" s="26">
        <f t="shared" ref="AA64:AA72" si="85">AB8-AA8</f>
        <v>14.71001477485315</v>
      </c>
      <c r="AB64" s="26">
        <f>AB8-Z8</f>
        <v>18.477360036850826</v>
      </c>
    </row>
    <row r="65" spans="1:31" x14ac:dyDescent="0.2">
      <c r="A65" t="str">
        <f>$A$9</f>
        <v>Professional occupations</v>
      </c>
      <c r="B65" s="26">
        <f t="shared" si="77"/>
        <v>64.725318746901166</v>
      </c>
      <c r="C65" s="26">
        <f t="shared" si="77"/>
        <v>29.249326559305985</v>
      </c>
      <c r="D65" s="26">
        <f t="shared" si="77"/>
        <v>32.463397162301248</v>
      </c>
      <c r="E65" s="26">
        <f t="shared" si="77"/>
        <v>53.922708687978002</v>
      </c>
      <c r="F65" s="26">
        <f t="shared" ref="F65:F72" si="86">F9-D9</f>
        <v>86.38610585027925</v>
      </c>
      <c r="L65" t="str">
        <f>$A$9</f>
        <v>Professional occupations</v>
      </c>
      <c r="M65" s="26">
        <f t="shared" si="78"/>
        <v>27.218619453862203</v>
      </c>
      <c r="N65" s="26">
        <f t="shared" si="79"/>
        <v>13.966259501656424</v>
      </c>
      <c r="O65" s="26">
        <f t="shared" si="80"/>
        <v>14.689154571195388</v>
      </c>
      <c r="P65" s="26">
        <f t="shared" si="81"/>
        <v>23.241712041196081</v>
      </c>
      <c r="Q65" s="26">
        <f t="shared" ref="Q65:Q72" si="87">Q9-O9</f>
        <v>37.930866612391469</v>
      </c>
      <c r="W65" t="str">
        <f>$A$9</f>
        <v>Professional occupations</v>
      </c>
      <c r="X65" s="26">
        <f t="shared" si="82"/>
        <v>37.506699293038707</v>
      </c>
      <c r="Y65" s="26">
        <f t="shared" si="83"/>
        <v>15.283067057650101</v>
      </c>
      <c r="Z65" s="26">
        <f t="shared" si="84"/>
        <v>17.774242591105605</v>
      </c>
      <c r="AA65" s="26">
        <f t="shared" si="85"/>
        <v>30.680996646781665</v>
      </c>
      <c r="AB65" s="26">
        <f t="shared" ref="AB65:AB72" si="88">AB9-Z9</f>
        <v>48.45523923788727</v>
      </c>
    </row>
    <row r="66" spans="1:31" x14ac:dyDescent="0.2">
      <c r="A66" t="str">
        <f>$A$10</f>
        <v>Associate professional occupations</v>
      </c>
      <c r="B66" s="26">
        <f t="shared" si="77"/>
        <v>23.247119951229195</v>
      </c>
      <c r="C66" s="26">
        <f t="shared" si="77"/>
        <v>15.627519411587741</v>
      </c>
      <c r="D66" s="26">
        <f t="shared" si="77"/>
        <v>-8.9409061337801177</v>
      </c>
      <c r="E66" s="26">
        <f t="shared" si="77"/>
        <v>19.395351909756187</v>
      </c>
      <c r="F66" s="26">
        <f t="shared" si="86"/>
        <v>10.454445775976069</v>
      </c>
      <c r="L66" t="str">
        <f>$A$10</f>
        <v>Associate professional occupations</v>
      </c>
      <c r="M66" s="26">
        <f t="shared" si="78"/>
        <v>7.4933434464858806</v>
      </c>
      <c r="N66" s="26">
        <f t="shared" si="79"/>
        <v>8.9407638131441445</v>
      </c>
      <c r="O66" s="26">
        <f t="shared" si="80"/>
        <v>-11.820402059723278</v>
      </c>
      <c r="P66" s="26">
        <f t="shared" si="81"/>
        <v>3.7962781296293144</v>
      </c>
      <c r="Q66" s="26">
        <f t="shared" si="87"/>
        <v>-8.024123930093964</v>
      </c>
      <c r="W66" t="str">
        <f>$A$10</f>
        <v>Associate professional occupations</v>
      </c>
      <c r="X66" s="26">
        <f t="shared" si="82"/>
        <v>15.753776504742945</v>
      </c>
      <c r="Y66" s="26">
        <f t="shared" si="83"/>
        <v>6.6867555984436819</v>
      </c>
      <c r="Z66" s="26">
        <f t="shared" si="84"/>
        <v>2.8794959259438997</v>
      </c>
      <c r="AA66" s="26">
        <f t="shared" si="85"/>
        <v>15.599073780125423</v>
      </c>
      <c r="AB66" s="26">
        <f t="shared" si="88"/>
        <v>18.478569706069322</v>
      </c>
    </row>
    <row r="67" spans="1:31" x14ac:dyDescent="0.2">
      <c r="A67" t="str">
        <f>$A$11</f>
        <v>Administrative and secretarial occupations</v>
      </c>
      <c r="B67" s="26">
        <f t="shared" si="77"/>
        <v>-0.15558155397056339</v>
      </c>
      <c r="C67" s="26">
        <f t="shared" si="77"/>
        <v>9.4053931740020289</v>
      </c>
      <c r="D67" s="26">
        <f t="shared" si="77"/>
        <v>-15.28606755945421</v>
      </c>
      <c r="E67" s="26">
        <f t="shared" si="77"/>
        <v>-19.913256071693411</v>
      </c>
      <c r="F67" s="26">
        <f t="shared" si="86"/>
        <v>-35.199323631147621</v>
      </c>
      <c r="L67" t="str">
        <f>$A$11</f>
        <v>Administrative and secretarial occupations</v>
      </c>
      <c r="M67" s="26">
        <f t="shared" si="78"/>
        <v>-2.8223078992372947</v>
      </c>
      <c r="N67" s="26">
        <f t="shared" si="79"/>
        <v>9.9118667485549281</v>
      </c>
      <c r="O67" s="26">
        <f t="shared" si="80"/>
        <v>-3.235937766109771</v>
      </c>
      <c r="P67" s="26">
        <f t="shared" si="81"/>
        <v>4.3113900029654886</v>
      </c>
      <c r="Q67" s="26">
        <f t="shared" si="87"/>
        <v>1.0754522368557176</v>
      </c>
      <c r="W67" t="str">
        <f>$A$11</f>
        <v>Administrative and secretarial occupations</v>
      </c>
      <c r="X67" s="26">
        <f t="shared" si="82"/>
        <v>2.6667263452665679</v>
      </c>
      <c r="Y67" s="26">
        <f t="shared" si="83"/>
        <v>-0.50647357455261499</v>
      </c>
      <c r="Z67" s="26">
        <f t="shared" si="84"/>
        <v>-12.050129793344581</v>
      </c>
      <c r="AA67" s="26">
        <f t="shared" si="85"/>
        <v>-24.224646074658835</v>
      </c>
      <c r="AB67" s="26">
        <f t="shared" si="88"/>
        <v>-36.274775868003417</v>
      </c>
    </row>
    <row r="68" spans="1:31" x14ac:dyDescent="0.2">
      <c r="A68" t="str">
        <f>$A$12</f>
        <v>Skilled trades occupations</v>
      </c>
      <c r="B68" s="26">
        <f t="shared" si="77"/>
        <v>-3.3157127764540917</v>
      </c>
      <c r="C68" s="26">
        <f t="shared" si="77"/>
        <v>-20.889291630226552</v>
      </c>
      <c r="D68" s="26">
        <f t="shared" si="77"/>
        <v>-5.024691328859376</v>
      </c>
      <c r="E68" s="26">
        <f t="shared" si="77"/>
        <v>-14.055698519014982</v>
      </c>
      <c r="F68" s="26">
        <f t="shared" si="86"/>
        <v>-19.080389847874358</v>
      </c>
      <c r="L68" t="str">
        <f>$A$12</f>
        <v>Skilled trades occupations</v>
      </c>
      <c r="M68" s="26">
        <f t="shared" si="78"/>
        <v>-6.7417927462740863</v>
      </c>
      <c r="N68" s="26">
        <f t="shared" si="79"/>
        <v>-19.499328324253327</v>
      </c>
      <c r="O68" s="26">
        <f t="shared" si="80"/>
        <v>-6.831087942723542</v>
      </c>
      <c r="P68" s="26">
        <f t="shared" si="81"/>
        <v>-15.238719877195933</v>
      </c>
      <c r="Q68" s="26">
        <f t="shared" si="87"/>
        <v>-22.069807819919475</v>
      </c>
      <c r="W68" t="str">
        <f>$A$12</f>
        <v>Skilled trades occupations</v>
      </c>
      <c r="X68" s="26">
        <f t="shared" si="82"/>
        <v>3.4260799698195363</v>
      </c>
      <c r="Y68" s="26">
        <f t="shared" si="83"/>
        <v>-1.3899633059729943</v>
      </c>
      <c r="Z68" s="26">
        <f t="shared" si="84"/>
        <v>1.8063966138644894</v>
      </c>
      <c r="AA68" s="26">
        <f t="shared" si="85"/>
        <v>1.1830213581806817</v>
      </c>
      <c r="AB68" s="26">
        <f t="shared" si="88"/>
        <v>2.989417972045171</v>
      </c>
    </row>
    <row r="69" spans="1:31" x14ac:dyDescent="0.2">
      <c r="A69" t="str">
        <f>$A$13</f>
        <v>Caring, leisure and other service occupations</v>
      </c>
      <c r="B69" s="26">
        <f t="shared" si="77"/>
        <v>17.10606639953869</v>
      </c>
      <c r="C69" s="26">
        <f t="shared" si="77"/>
        <v>-9.3064852721729494</v>
      </c>
      <c r="D69" s="26">
        <f t="shared" si="77"/>
        <v>15.793980702306612</v>
      </c>
      <c r="E69" s="26">
        <f t="shared" si="77"/>
        <v>19.512651159011284</v>
      </c>
      <c r="F69" s="26">
        <f t="shared" si="86"/>
        <v>35.306631861317896</v>
      </c>
      <c r="L69" t="str">
        <f>$A$13</f>
        <v>Caring, leisure and other service occupations</v>
      </c>
      <c r="M69" s="26">
        <f t="shared" si="78"/>
        <v>2.5364593550962411</v>
      </c>
      <c r="N69" s="26">
        <f t="shared" si="79"/>
        <v>0.4376070262982239</v>
      </c>
      <c r="O69" s="26">
        <f t="shared" si="80"/>
        <v>6.3605929551560294</v>
      </c>
      <c r="P69" s="26">
        <f t="shared" si="81"/>
        <v>7.9358211577168021</v>
      </c>
      <c r="Q69" s="26">
        <f t="shared" si="87"/>
        <v>14.296414112872831</v>
      </c>
      <c r="W69" t="str">
        <f>$A$13</f>
        <v>Caring, leisure and other service occupations</v>
      </c>
      <c r="X69" s="26">
        <f t="shared" si="82"/>
        <v>14.56960704444262</v>
      </c>
      <c r="Y69" s="26">
        <f t="shared" si="83"/>
        <v>-9.744092298471287</v>
      </c>
      <c r="Z69" s="26">
        <f t="shared" si="84"/>
        <v>9.4333877471508742</v>
      </c>
      <c r="AA69" s="26">
        <f t="shared" si="85"/>
        <v>11.576830001293729</v>
      </c>
      <c r="AB69" s="26">
        <f t="shared" si="88"/>
        <v>21.010217748444603</v>
      </c>
    </row>
    <row r="70" spans="1:31" x14ac:dyDescent="0.2">
      <c r="A70" t="str">
        <f>$A$14</f>
        <v>Sales and customer service occupations</v>
      </c>
      <c r="B70" s="26">
        <f t="shared" si="77"/>
        <v>-6.8344013596382638</v>
      </c>
      <c r="C70" s="26">
        <f t="shared" si="77"/>
        <v>-4.5618228013674411</v>
      </c>
      <c r="D70" s="26">
        <f t="shared" si="77"/>
        <v>7.4011812841320079E-2</v>
      </c>
      <c r="E70" s="26">
        <f t="shared" si="77"/>
        <v>-1.2250766150146433</v>
      </c>
      <c r="F70" s="26">
        <f t="shared" si="86"/>
        <v>-1.1510648021733232</v>
      </c>
      <c r="L70" t="str">
        <f>$A$14</f>
        <v>Sales and customer service occupations</v>
      </c>
      <c r="M70" s="26">
        <f t="shared" si="78"/>
        <v>-2.4639109968497479</v>
      </c>
      <c r="N70" s="26">
        <f t="shared" si="79"/>
        <v>1.4017908843980962</v>
      </c>
      <c r="O70" s="26">
        <f t="shared" si="80"/>
        <v>0.8510898631557211</v>
      </c>
      <c r="P70" s="26">
        <f t="shared" si="81"/>
        <v>0.69476024170121775</v>
      </c>
      <c r="Q70" s="26">
        <f t="shared" si="87"/>
        <v>1.5458501048569389</v>
      </c>
      <c r="W70" t="str">
        <f>$A$14</f>
        <v>Sales and customer service occupations</v>
      </c>
      <c r="X70" s="26">
        <f t="shared" si="82"/>
        <v>-4.3704903627874216</v>
      </c>
      <c r="Y70" s="26">
        <f t="shared" si="83"/>
        <v>-5.9636136857662052</v>
      </c>
      <c r="Z70" s="26">
        <f t="shared" si="84"/>
        <v>-0.77707805031405996</v>
      </c>
      <c r="AA70" s="26">
        <f t="shared" si="85"/>
        <v>-1.91983685671579</v>
      </c>
      <c r="AB70" s="26">
        <f t="shared" si="88"/>
        <v>-2.6969149070298499</v>
      </c>
    </row>
    <row r="71" spans="1:31" x14ac:dyDescent="0.2">
      <c r="A71" t="str">
        <f>$A$15</f>
        <v>Process, plant and machine operatives</v>
      </c>
      <c r="B71" s="26">
        <f t="shared" si="77"/>
        <v>10.792369602588792</v>
      </c>
      <c r="C71" s="26">
        <f t="shared" si="77"/>
        <v>-11.932107785015489</v>
      </c>
      <c r="D71" s="26">
        <f t="shared" si="77"/>
        <v>21.580156528824034</v>
      </c>
      <c r="E71" s="26">
        <f t="shared" si="77"/>
        <v>-3.5375575092250813</v>
      </c>
      <c r="F71" s="26">
        <f t="shared" si="86"/>
        <v>18.042599019598953</v>
      </c>
      <c r="L71" t="str">
        <f>$A$15</f>
        <v>Process, plant and machine operatives</v>
      </c>
      <c r="M71" s="26">
        <f t="shared" si="78"/>
        <v>8.1467650506622533</v>
      </c>
      <c r="N71" s="26">
        <f t="shared" si="79"/>
        <v>-6.9566009856374649</v>
      </c>
      <c r="O71" s="26">
        <f t="shared" si="80"/>
        <v>13.718819239015971</v>
      </c>
      <c r="P71" s="26">
        <f t="shared" si="81"/>
        <v>-6.2043965625456678</v>
      </c>
      <c r="Q71" s="26">
        <f t="shared" si="87"/>
        <v>7.5144226764703035</v>
      </c>
      <c r="W71" t="str">
        <f>$A$15</f>
        <v>Process, plant and machine operatives</v>
      </c>
      <c r="X71" s="26">
        <f t="shared" si="82"/>
        <v>2.6456045519265814</v>
      </c>
      <c r="Y71" s="26">
        <f t="shared" si="83"/>
        <v>-4.9755067993778539</v>
      </c>
      <c r="Z71" s="26">
        <f t="shared" si="84"/>
        <v>7.8613372898074161</v>
      </c>
      <c r="AA71" s="26">
        <f t="shared" si="85"/>
        <v>2.6668390533208068</v>
      </c>
      <c r="AB71" s="26">
        <f t="shared" si="88"/>
        <v>10.528176343128223</v>
      </c>
    </row>
    <row r="72" spans="1:31" x14ac:dyDescent="0.2">
      <c r="A72" t="str">
        <f>$A$16</f>
        <v>Elementary occupations</v>
      </c>
      <c r="B72" s="26">
        <f t="shared" si="77"/>
        <v>-13.109108760812433</v>
      </c>
      <c r="C72" s="26">
        <f t="shared" si="77"/>
        <v>-18.93359329645466</v>
      </c>
      <c r="D72" s="26">
        <f t="shared" si="77"/>
        <v>-7.1320270889756614</v>
      </c>
      <c r="E72" s="26">
        <f t="shared" si="77"/>
        <v>-15.918629596392492</v>
      </c>
      <c r="F72" s="26">
        <f t="shared" si="86"/>
        <v>-23.050656685368153</v>
      </c>
      <c r="L72" t="str">
        <f>$A$16</f>
        <v>Elementary occupations</v>
      </c>
      <c r="M72" s="26">
        <f t="shared" si="78"/>
        <v>-16.245644199426522</v>
      </c>
      <c r="N72" s="26">
        <f t="shared" si="79"/>
        <v>-4.7112776710295918</v>
      </c>
      <c r="O72" s="26">
        <f t="shared" si="80"/>
        <v>-0.7310295082523055</v>
      </c>
      <c r="P72" s="26">
        <f t="shared" si="81"/>
        <v>-9.9993369079160175</v>
      </c>
      <c r="Q72" s="26">
        <f t="shared" si="87"/>
        <v>-10.730366416168323</v>
      </c>
      <c r="W72" t="str">
        <f>$A$16</f>
        <v>Elementary occupations</v>
      </c>
      <c r="X72" s="26">
        <f t="shared" si="82"/>
        <v>3.1365354386137767</v>
      </c>
      <c r="Y72" s="26">
        <f t="shared" si="83"/>
        <v>-14.2223156254245</v>
      </c>
      <c r="Z72" s="26">
        <f t="shared" si="84"/>
        <v>-6.400997580724507</v>
      </c>
      <c r="AA72" s="26">
        <f t="shared" si="85"/>
        <v>-5.9192926884756503</v>
      </c>
      <c r="AB72" s="26">
        <f t="shared" si="88"/>
        <v>-12.320290269200157</v>
      </c>
    </row>
    <row r="73" spans="1:31" x14ac:dyDescent="0.2">
      <c r="B73" s="26"/>
      <c r="C73" s="26"/>
      <c r="D73" s="26"/>
      <c r="E73" s="26"/>
      <c r="F73" s="26"/>
      <c r="M73" s="26"/>
      <c r="N73" s="26"/>
      <c r="O73" s="26"/>
      <c r="P73" s="26"/>
      <c r="Q73" s="26"/>
      <c r="X73" s="26"/>
      <c r="Y73" s="26"/>
      <c r="Z73" s="26"/>
      <c r="AA73" s="26"/>
      <c r="AB73" s="26"/>
    </row>
    <row r="74" spans="1:31" x14ac:dyDescent="0.2">
      <c r="A74" s="23" t="str">
        <f>$A$18</f>
        <v>All occupations</v>
      </c>
      <c r="B74" s="28">
        <f>C18-B18</f>
        <v>130.89299999957757</v>
      </c>
      <c r="C74" s="28">
        <f t="shared" ref="C74" si="89">D18-C18</f>
        <v>-1.1460000004685753</v>
      </c>
      <c r="D74" s="28">
        <f>E18-D18</f>
        <v>38.562000006362268</v>
      </c>
      <c r="E74" s="28">
        <f>F18-E18</f>
        <v>67.893999994571914</v>
      </c>
      <c r="F74" s="28">
        <f>F18-D18</f>
        <v>106.45600000093418</v>
      </c>
      <c r="L74" s="23" t="str">
        <f>$A$18</f>
        <v>All occupations</v>
      </c>
      <c r="M74" s="28">
        <f>N18-M18</f>
        <v>36.92400000013231</v>
      </c>
      <c r="N74" s="28">
        <f t="shared" ref="N74" si="90">O18-N18</f>
        <v>12.152999999132589</v>
      </c>
      <c r="O74" s="28">
        <f>P18-O18</f>
        <v>14.268000000875645</v>
      </c>
      <c r="P74" s="28">
        <f>Q18-P18</f>
        <v>23.540999999864198</v>
      </c>
      <c r="Q74" s="28">
        <f>Q18-O18</f>
        <v>37.809000000739843</v>
      </c>
      <c r="W74" s="23" t="str">
        <f>$A$18</f>
        <v>All occupations</v>
      </c>
      <c r="X74" s="28">
        <f>Y18-X18</f>
        <v>93.968999999444577</v>
      </c>
      <c r="Y74" s="28">
        <f t="shared" ref="Y74" si="91">Z18-Y18</f>
        <v>-13.298999999599346</v>
      </c>
      <c r="Z74" s="28">
        <f>AA18-Z18</f>
        <v>24.294000005486851</v>
      </c>
      <c r="AA74" s="28">
        <f>AB18-AA18</f>
        <v>44.352999994704987</v>
      </c>
      <c r="AB74" s="28">
        <f>AB18-Z18</f>
        <v>68.647000000191838</v>
      </c>
    </row>
    <row r="78" spans="1:31" x14ac:dyDescent="0.2">
      <c r="D78" s="1" t="s">
        <v>13</v>
      </c>
      <c r="H78" s="40" t="s">
        <v>41</v>
      </c>
      <c r="O78" s="1" t="s">
        <v>13</v>
      </c>
      <c r="S78" s="40" t="s">
        <v>41</v>
      </c>
      <c r="Z78" s="1" t="s">
        <v>13</v>
      </c>
      <c r="AD78" s="40" t="s">
        <v>41</v>
      </c>
    </row>
    <row r="79" spans="1:31" x14ac:dyDescent="0.2">
      <c r="A79" s="21"/>
      <c r="B79" s="22">
        <f>B6</f>
        <v>2015</v>
      </c>
      <c r="C79" s="22">
        <f>C6</f>
        <v>2019</v>
      </c>
      <c r="D79" s="22">
        <f>D6</f>
        <v>2020</v>
      </c>
      <c r="E79" s="22">
        <f>E6</f>
        <v>2025</v>
      </c>
      <c r="F79" s="22">
        <f>F6</f>
        <v>2035</v>
      </c>
      <c r="H79" s="74" t="str">
        <f>CONCATENATE(B$6,"-",D$6)</f>
        <v>2015-2020</v>
      </c>
      <c r="I79" s="74" t="str">
        <f>F44</f>
        <v>2020-2035</v>
      </c>
      <c r="L79" s="21"/>
      <c r="M79" s="22">
        <f>M6</f>
        <v>2015</v>
      </c>
      <c r="N79" s="22">
        <f>N6</f>
        <v>2019</v>
      </c>
      <c r="O79" s="22">
        <f>O6</f>
        <v>2020</v>
      </c>
      <c r="P79" s="22">
        <f>P6</f>
        <v>2025</v>
      </c>
      <c r="Q79" s="22">
        <f>Q6</f>
        <v>2035</v>
      </c>
      <c r="S79" s="74" t="str">
        <f>CONCATENATE(M$6,"-",O$6)</f>
        <v>2015-2020</v>
      </c>
      <c r="T79" s="74" t="str">
        <f>Q44</f>
        <v>2020-2035</v>
      </c>
      <c r="W79" s="21"/>
      <c r="X79" s="22">
        <f>X6</f>
        <v>2015</v>
      </c>
      <c r="Y79" s="22">
        <f>Y6</f>
        <v>2019</v>
      </c>
      <c r="Z79" s="22">
        <f>Z6</f>
        <v>2020</v>
      </c>
      <c r="AA79" s="22">
        <f>AA6</f>
        <v>2025</v>
      </c>
      <c r="AB79" s="22">
        <f>AB6</f>
        <v>2035</v>
      </c>
      <c r="AD79" s="74" t="str">
        <f>CONCATENATE(X$6,"-",Z$6)</f>
        <v>2015-2020</v>
      </c>
      <c r="AE79" s="74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212.96694651679297</v>
      </c>
      <c r="C80" s="11">
        <f t="shared" si="92"/>
        <v>251.40387626698799</v>
      </c>
      <c r="D80" s="11">
        <f t="shared" si="92"/>
        <v>261.59893790686078</v>
      </c>
      <c r="E80" s="11">
        <f t="shared" si="92"/>
        <v>266.6330838180192</v>
      </c>
      <c r="F80" s="11">
        <f t="shared" si="92"/>
        <v>296.34659036718625</v>
      </c>
      <c r="H80" s="39">
        <f>IF(D$6-B$6 &lt;&gt; 0,(EXP(LN(D8/B8)/(D$6-B$6))-1)*100,0)</f>
        <v>4.1992887318633043</v>
      </c>
      <c r="I80" s="39">
        <f t="shared" ref="I80:I88" si="93">F46</f>
        <v>0.83491361200913605</v>
      </c>
      <c r="L80" t="str">
        <f t="shared" ref="L80:Q88" si="94">L8</f>
        <v>Managers, directors and senior officials</v>
      </c>
      <c r="M80" s="11">
        <f t="shared" si="94"/>
        <v>148.4997171744717</v>
      </c>
      <c r="N80" s="11">
        <f t="shared" si="94"/>
        <v>168.30218571028536</v>
      </c>
      <c r="O80" s="11">
        <f t="shared" si="94"/>
        <v>176.9641047162865</v>
      </c>
      <c r="P80" s="11">
        <f t="shared" si="94"/>
        <v>178.23090536544771</v>
      </c>
      <c r="Q80" s="11">
        <f t="shared" si="94"/>
        <v>193.23439713976074</v>
      </c>
      <c r="S80" s="39">
        <f t="shared" ref="S80:S88" si="95">IF(O$6-M$6 &lt;&gt; 0,(EXP(LN(O8/M8)/(O$6-M$6))-1)*100,0)</f>
        <v>3.5695075680567401</v>
      </c>
      <c r="T80" s="39">
        <f t="shared" ref="T80:T88" si="96">Q46</f>
        <v>0.58810278178944575</v>
      </c>
      <c r="W80" t="str">
        <f t="shared" ref="W80:AB88" si="97">W8</f>
        <v>Managers, directors and senior officials</v>
      </c>
      <c r="X80" s="11">
        <f t="shared" si="97"/>
        <v>64.467229342321318</v>
      </c>
      <c r="Y80" s="11">
        <f t="shared" si="97"/>
        <v>83.101690556702422</v>
      </c>
      <c r="Z80" s="11">
        <f t="shared" si="97"/>
        <v>84.634833190574724</v>
      </c>
      <c r="AA80" s="11">
        <f t="shared" si="97"/>
        <v>88.4021784525724</v>
      </c>
      <c r="AB80" s="11">
        <f t="shared" si="97"/>
        <v>103.11219322742555</v>
      </c>
      <c r="AD80" s="39">
        <f t="shared" ref="AD80:AD88" si="98">IF(Z$6-X$6 &lt;&gt; 0,(EXP(LN(Z8/X8)/(Z$6-X$6))-1)*100,0)</f>
        <v>5.594677319985486</v>
      </c>
      <c r="AE80" s="39">
        <f t="shared" ref="AE80:AE88" si="99">AB46</f>
        <v>1.3251819153620614</v>
      </c>
    </row>
    <row r="81" spans="1:31" x14ac:dyDescent="0.2">
      <c r="A81" t="str">
        <f t="shared" si="92"/>
        <v>Professional occupations</v>
      </c>
      <c r="B81" s="11">
        <f t="shared" si="92"/>
        <v>401.52149990473055</v>
      </c>
      <c r="C81" s="11">
        <f t="shared" si="92"/>
        <v>466.24681865163171</v>
      </c>
      <c r="D81" s="11">
        <f t="shared" si="92"/>
        <v>495.4961452109377</v>
      </c>
      <c r="E81" s="11">
        <f t="shared" si="92"/>
        <v>527.95954237323895</v>
      </c>
      <c r="F81" s="11">
        <f t="shared" si="92"/>
        <v>581.88225106121695</v>
      </c>
      <c r="H81" s="39">
        <f t="shared" ref="H81:H88" si="100">IF(D$6-B$6 &lt;&gt; 0,(EXP(LN(D9/B9)/(D$6-B$6))-1)*100,0)</f>
        <v>4.2956739999366444</v>
      </c>
      <c r="I81" s="39">
        <f t="shared" si="93"/>
        <v>1.0771501729611943</v>
      </c>
      <c r="L81" t="str">
        <f t="shared" si="94"/>
        <v>Professional occupations</v>
      </c>
      <c r="M81" s="11">
        <f t="shared" si="94"/>
        <v>223.18106552077779</v>
      </c>
      <c r="N81" s="11">
        <f t="shared" si="94"/>
        <v>250.39968497464</v>
      </c>
      <c r="O81" s="11">
        <f t="shared" si="94"/>
        <v>264.36594447629642</v>
      </c>
      <c r="P81" s="11">
        <f t="shared" si="94"/>
        <v>279.05509904749181</v>
      </c>
      <c r="Q81" s="11">
        <f t="shared" si="94"/>
        <v>302.29681108868789</v>
      </c>
      <c r="S81" s="39">
        <f t="shared" si="95"/>
        <v>3.4450306009251586</v>
      </c>
      <c r="T81" s="39">
        <f t="shared" si="96"/>
        <v>0.8978403304923388</v>
      </c>
      <c r="W81" t="str">
        <f t="shared" si="97"/>
        <v>Professional occupations</v>
      </c>
      <c r="X81" s="11">
        <f t="shared" si="97"/>
        <v>178.34043438395275</v>
      </c>
      <c r="Y81" s="11">
        <f t="shared" si="97"/>
        <v>215.84713367699146</v>
      </c>
      <c r="Z81" s="11">
        <f t="shared" si="97"/>
        <v>231.13020073464156</v>
      </c>
      <c r="AA81" s="11">
        <f t="shared" si="97"/>
        <v>248.90444332574717</v>
      </c>
      <c r="AB81" s="11">
        <f t="shared" si="97"/>
        <v>279.58543997252883</v>
      </c>
      <c r="AD81" s="39">
        <f t="shared" si="98"/>
        <v>5.3225523909829375</v>
      </c>
      <c r="AE81" s="39">
        <f t="shared" si="99"/>
        <v>1.2769289474109158</v>
      </c>
    </row>
    <row r="82" spans="1:31" x14ac:dyDescent="0.2">
      <c r="A82" t="str">
        <f t="shared" si="92"/>
        <v>Associate professional occupations</v>
      </c>
      <c r="B82" s="11">
        <f t="shared" si="92"/>
        <v>254.48663957131549</v>
      </c>
      <c r="C82" s="11">
        <f t="shared" si="92"/>
        <v>277.73375952254469</v>
      </c>
      <c r="D82" s="11">
        <f t="shared" si="92"/>
        <v>293.36127893413243</v>
      </c>
      <c r="E82" s="11">
        <f t="shared" si="92"/>
        <v>284.42037280035231</v>
      </c>
      <c r="F82" s="11">
        <f t="shared" si="92"/>
        <v>303.8157247101085</v>
      </c>
      <c r="H82" s="39">
        <f t="shared" si="100"/>
        <v>2.8839336511390146</v>
      </c>
      <c r="I82" s="39">
        <f t="shared" si="93"/>
        <v>0.23371579413067334</v>
      </c>
      <c r="L82" t="str">
        <f t="shared" si="94"/>
        <v>Associate professional occupations</v>
      </c>
      <c r="M82" s="11">
        <f t="shared" si="94"/>
        <v>144.2236910501486</v>
      </c>
      <c r="N82" s="11">
        <f t="shared" si="94"/>
        <v>151.71703449663448</v>
      </c>
      <c r="O82" s="11">
        <f t="shared" si="94"/>
        <v>160.65779830977863</v>
      </c>
      <c r="P82" s="11">
        <f t="shared" si="94"/>
        <v>148.83739625005535</v>
      </c>
      <c r="Q82" s="11">
        <f t="shared" si="94"/>
        <v>152.63367437968466</v>
      </c>
      <c r="S82" s="39">
        <f t="shared" si="95"/>
        <v>2.1816805210950641</v>
      </c>
      <c r="T82" s="39">
        <f t="shared" si="96"/>
        <v>-0.34098971313843984</v>
      </c>
      <c r="W82" t="str">
        <f t="shared" si="97"/>
        <v>Associate professional occupations</v>
      </c>
      <c r="X82" s="11">
        <f t="shared" si="97"/>
        <v>110.26294852116729</v>
      </c>
      <c r="Y82" s="11">
        <f t="shared" si="97"/>
        <v>126.01672502591023</v>
      </c>
      <c r="Z82" s="11">
        <f t="shared" si="97"/>
        <v>132.70348062435392</v>
      </c>
      <c r="AA82" s="11">
        <f t="shared" si="97"/>
        <v>135.58297655029781</v>
      </c>
      <c r="AB82" s="11">
        <f t="shared" si="97"/>
        <v>151.18205033042324</v>
      </c>
      <c r="AD82" s="39">
        <f t="shared" si="98"/>
        <v>3.7744744053680446</v>
      </c>
      <c r="AE82" s="39">
        <f t="shared" si="99"/>
        <v>0.87290493311942274</v>
      </c>
    </row>
    <row r="83" spans="1:31" x14ac:dyDescent="0.2">
      <c r="A83" t="str">
        <f t="shared" si="92"/>
        <v>Administrative and secretarial occupations</v>
      </c>
      <c r="B83" s="11">
        <f t="shared" si="92"/>
        <v>242.7039493064492</v>
      </c>
      <c r="C83" s="11">
        <f t="shared" si="92"/>
        <v>242.54836775247864</v>
      </c>
      <c r="D83" s="11">
        <f t="shared" si="92"/>
        <v>251.95376092648067</v>
      </c>
      <c r="E83" s="11">
        <f t="shared" si="92"/>
        <v>236.66769336702646</v>
      </c>
      <c r="F83" s="11">
        <f t="shared" si="92"/>
        <v>216.75443729533305</v>
      </c>
      <c r="H83" s="39">
        <f t="shared" si="100"/>
        <v>0.75086893452342984</v>
      </c>
      <c r="I83" s="39">
        <f t="shared" si="93"/>
        <v>-0.99818800017190679</v>
      </c>
      <c r="L83" t="str">
        <f t="shared" si="94"/>
        <v>Administrative and secretarial occupations</v>
      </c>
      <c r="M83" s="11">
        <f t="shared" si="94"/>
        <v>49.701102598667966</v>
      </c>
      <c r="N83" s="11">
        <f t="shared" si="94"/>
        <v>46.878794699430671</v>
      </c>
      <c r="O83" s="11">
        <f t="shared" si="94"/>
        <v>56.790661447985599</v>
      </c>
      <c r="P83" s="11">
        <f t="shared" si="94"/>
        <v>53.554723681875828</v>
      </c>
      <c r="Q83" s="11">
        <f t="shared" si="94"/>
        <v>57.866113684841316</v>
      </c>
      <c r="S83" s="39">
        <f t="shared" si="95"/>
        <v>2.702775575060179</v>
      </c>
      <c r="T83" s="39">
        <f t="shared" si="96"/>
        <v>0.12514528338523068</v>
      </c>
      <c r="W83" t="str">
        <f t="shared" si="97"/>
        <v>Administrative and secretarial occupations</v>
      </c>
      <c r="X83" s="11">
        <f t="shared" si="97"/>
        <v>193.00284670778143</v>
      </c>
      <c r="Y83" s="11">
        <f t="shared" si="97"/>
        <v>195.669573053048</v>
      </c>
      <c r="Z83" s="11">
        <f t="shared" si="97"/>
        <v>195.16309947849538</v>
      </c>
      <c r="AA83" s="11">
        <f t="shared" si="97"/>
        <v>183.1129696851508</v>
      </c>
      <c r="AB83" s="11">
        <f t="shared" si="97"/>
        <v>158.88832361049197</v>
      </c>
      <c r="AD83" s="39">
        <f t="shared" si="98"/>
        <v>0.2228615274439294</v>
      </c>
      <c r="AE83" s="39">
        <f t="shared" si="99"/>
        <v>-1.3615395700263377</v>
      </c>
    </row>
    <row r="84" spans="1:31" x14ac:dyDescent="0.2">
      <c r="A84" t="str">
        <f t="shared" si="92"/>
        <v>Skilled trades occupations</v>
      </c>
      <c r="B84" s="11">
        <f t="shared" si="92"/>
        <v>233.01015943539994</v>
      </c>
      <c r="C84" s="11">
        <f t="shared" si="92"/>
        <v>229.69444665894585</v>
      </c>
      <c r="D84" s="11">
        <f t="shared" si="92"/>
        <v>208.8051550287193</v>
      </c>
      <c r="E84" s="11">
        <f t="shared" si="92"/>
        <v>203.78046369985992</v>
      </c>
      <c r="F84" s="11">
        <f t="shared" si="92"/>
        <v>189.72476518084494</v>
      </c>
      <c r="H84" s="39">
        <f t="shared" si="100"/>
        <v>-2.1697255514382952</v>
      </c>
      <c r="I84" s="39">
        <f t="shared" si="93"/>
        <v>-0.6368112207248644</v>
      </c>
      <c r="L84" t="str">
        <f t="shared" si="94"/>
        <v>Skilled trades occupations</v>
      </c>
      <c r="M84" s="11">
        <f t="shared" si="94"/>
        <v>207.16872804314892</v>
      </c>
      <c r="N84" s="11">
        <f t="shared" si="94"/>
        <v>200.42693529687483</v>
      </c>
      <c r="O84" s="11">
        <f t="shared" si="94"/>
        <v>180.9276069726215</v>
      </c>
      <c r="P84" s="11">
        <f t="shared" si="94"/>
        <v>174.09651902989796</v>
      </c>
      <c r="Q84" s="11">
        <f t="shared" si="94"/>
        <v>158.85779915270203</v>
      </c>
      <c r="S84" s="39">
        <f t="shared" si="95"/>
        <v>-2.6723745316474368</v>
      </c>
      <c r="T84" s="39">
        <f t="shared" si="96"/>
        <v>-0.86350045094197858</v>
      </c>
      <c r="W84" t="str">
        <f t="shared" si="97"/>
        <v>Skilled trades occupations</v>
      </c>
      <c r="X84" s="11">
        <f t="shared" si="97"/>
        <v>25.841431392251177</v>
      </c>
      <c r="Y84" s="11">
        <f t="shared" si="97"/>
        <v>29.267511362070714</v>
      </c>
      <c r="Z84" s="11">
        <f t="shared" si="97"/>
        <v>27.877548056097719</v>
      </c>
      <c r="AA84" s="11">
        <f t="shared" si="97"/>
        <v>29.683944669962209</v>
      </c>
      <c r="AB84" s="11">
        <f t="shared" si="97"/>
        <v>30.86696602814289</v>
      </c>
      <c r="AD84" s="39">
        <f t="shared" si="98"/>
        <v>1.5284138547768222</v>
      </c>
      <c r="AE84" s="39">
        <f t="shared" si="99"/>
        <v>0.68141054742500984</v>
      </c>
    </row>
    <row r="85" spans="1:31" x14ac:dyDescent="0.2">
      <c r="A85" t="str">
        <f t="shared" si="92"/>
        <v>Caring, leisure and other service occupations</v>
      </c>
      <c r="B85" s="11">
        <f t="shared" si="92"/>
        <v>248.90155334327181</v>
      </c>
      <c r="C85" s="11">
        <f t="shared" si="92"/>
        <v>266.0076197428105</v>
      </c>
      <c r="D85" s="11">
        <f t="shared" si="92"/>
        <v>256.70113447063756</v>
      </c>
      <c r="E85" s="11">
        <f t="shared" si="92"/>
        <v>272.49511517294417</v>
      </c>
      <c r="F85" s="11">
        <f t="shared" si="92"/>
        <v>292.00776633195545</v>
      </c>
      <c r="H85" s="39">
        <f t="shared" si="100"/>
        <v>0.61900913426777837</v>
      </c>
      <c r="I85" s="39">
        <f t="shared" si="93"/>
        <v>0.86282029835396123</v>
      </c>
      <c r="L85" t="str">
        <f t="shared" si="94"/>
        <v>Caring, leisure and other service occupations</v>
      </c>
      <c r="M85" s="11">
        <f t="shared" si="94"/>
        <v>46.094810335088596</v>
      </c>
      <c r="N85" s="11">
        <f t="shared" si="94"/>
        <v>48.631269690184837</v>
      </c>
      <c r="O85" s="11">
        <f t="shared" si="94"/>
        <v>49.068876716483061</v>
      </c>
      <c r="P85" s="11">
        <f t="shared" si="94"/>
        <v>55.42946967163909</v>
      </c>
      <c r="Q85" s="11">
        <f t="shared" si="94"/>
        <v>63.365290829355892</v>
      </c>
      <c r="S85" s="39">
        <f t="shared" si="95"/>
        <v>1.2583431170475556</v>
      </c>
      <c r="T85" s="39">
        <f t="shared" si="96"/>
        <v>1.7192199556789411</v>
      </c>
      <c r="W85" t="str">
        <f t="shared" si="97"/>
        <v>Caring, leisure and other service occupations</v>
      </c>
      <c r="X85" s="11">
        <f t="shared" si="97"/>
        <v>202.80674300818313</v>
      </c>
      <c r="Y85" s="11">
        <f t="shared" si="97"/>
        <v>217.37635005262575</v>
      </c>
      <c r="Z85" s="11">
        <f t="shared" si="97"/>
        <v>207.63225775415447</v>
      </c>
      <c r="AA85" s="11">
        <f t="shared" si="97"/>
        <v>217.06564550130534</v>
      </c>
      <c r="AB85" s="11">
        <f t="shared" si="97"/>
        <v>228.64247550259907</v>
      </c>
      <c r="AD85" s="39">
        <f t="shared" si="98"/>
        <v>0.4714077000733452</v>
      </c>
      <c r="AE85" s="39">
        <f t="shared" si="99"/>
        <v>0.64467593255932432</v>
      </c>
    </row>
    <row r="86" spans="1:31" x14ac:dyDescent="0.2">
      <c r="A86" t="str">
        <f t="shared" si="92"/>
        <v>Sales and customer service occupations</v>
      </c>
      <c r="B86" s="11">
        <f t="shared" si="92"/>
        <v>209.5783298065233</v>
      </c>
      <c r="C86" s="11">
        <f t="shared" si="92"/>
        <v>202.74392844688504</v>
      </c>
      <c r="D86" s="11">
        <f t="shared" si="92"/>
        <v>198.18210564551759</v>
      </c>
      <c r="E86" s="11">
        <f t="shared" si="92"/>
        <v>198.25611745835891</v>
      </c>
      <c r="F86" s="11">
        <f t="shared" si="92"/>
        <v>197.03104084334427</v>
      </c>
      <c r="H86" s="39">
        <f t="shared" si="100"/>
        <v>-1.111995614768535</v>
      </c>
      <c r="I86" s="39">
        <f t="shared" si="93"/>
        <v>-3.8826123578483696E-2</v>
      </c>
      <c r="L86" t="str">
        <f t="shared" si="94"/>
        <v>Sales and customer service occupations</v>
      </c>
      <c r="M86" s="11">
        <f t="shared" si="94"/>
        <v>74.938246020932596</v>
      </c>
      <c r="N86" s="11">
        <f t="shared" si="94"/>
        <v>72.474335024082848</v>
      </c>
      <c r="O86" s="11">
        <f t="shared" si="94"/>
        <v>73.876125908480944</v>
      </c>
      <c r="P86" s="11">
        <f t="shared" si="94"/>
        <v>74.727215771636665</v>
      </c>
      <c r="Q86" s="11">
        <f t="shared" si="94"/>
        <v>75.421976013337883</v>
      </c>
      <c r="S86" s="39">
        <f t="shared" si="95"/>
        <v>-0.2850862879667404</v>
      </c>
      <c r="T86" s="39">
        <f t="shared" si="96"/>
        <v>0.13815518164208562</v>
      </c>
      <c r="W86" t="str">
        <f t="shared" si="97"/>
        <v>Sales and customer service occupations</v>
      </c>
      <c r="X86" s="11">
        <f t="shared" si="97"/>
        <v>134.64008378558992</v>
      </c>
      <c r="Y86" s="11">
        <f t="shared" si="97"/>
        <v>130.2695934228025</v>
      </c>
      <c r="Z86" s="11">
        <f t="shared" si="97"/>
        <v>124.3059797370363</v>
      </c>
      <c r="AA86" s="11">
        <f t="shared" si="97"/>
        <v>123.52890168672224</v>
      </c>
      <c r="AB86" s="11">
        <f t="shared" si="97"/>
        <v>121.60906483000645</v>
      </c>
      <c r="AD86" s="39">
        <f t="shared" si="98"/>
        <v>-1.5844940452830691</v>
      </c>
      <c r="AE86" s="39">
        <f t="shared" si="99"/>
        <v>-0.14612374582971821</v>
      </c>
    </row>
    <row r="87" spans="1:31" x14ac:dyDescent="0.2">
      <c r="A87" t="str">
        <f t="shared" si="92"/>
        <v>Process, plant and machine operatives</v>
      </c>
      <c r="B87" s="11">
        <f t="shared" si="92"/>
        <v>189.28743948869192</v>
      </c>
      <c r="C87" s="11">
        <f t="shared" si="92"/>
        <v>200.07980909128071</v>
      </c>
      <c r="D87" s="11">
        <f t="shared" si="92"/>
        <v>188.14770130626522</v>
      </c>
      <c r="E87" s="11">
        <f t="shared" si="92"/>
        <v>209.72785783508925</v>
      </c>
      <c r="F87" s="11">
        <f t="shared" si="92"/>
        <v>206.19030032586417</v>
      </c>
      <c r="H87" s="39">
        <f t="shared" si="100"/>
        <v>-0.12071516026116447</v>
      </c>
      <c r="I87" s="39">
        <f t="shared" si="93"/>
        <v>0.61234877452847059</v>
      </c>
      <c r="L87" t="str">
        <f t="shared" si="94"/>
        <v>Process, plant and machine operatives</v>
      </c>
      <c r="M87" s="11">
        <f t="shared" si="94"/>
        <v>161.13231469765259</v>
      </c>
      <c r="N87" s="11">
        <f t="shared" si="94"/>
        <v>169.27907974831484</v>
      </c>
      <c r="O87" s="11">
        <f t="shared" si="94"/>
        <v>162.32247876267738</v>
      </c>
      <c r="P87" s="11">
        <f t="shared" si="94"/>
        <v>176.04129800169335</v>
      </c>
      <c r="Q87" s="11">
        <f t="shared" si="94"/>
        <v>169.83690143914768</v>
      </c>
      <c r="S87" s="39">
        <f t="shared" si="95"/>
        <v>0.14729053318152108</v>
      </c>
      <c r="T87" s="39">
        <f t="shared" si="96"/>
        <v>0.30214625768680836</v>
      </c>
      <c r="W87" t="str">
        <f t="shared" si="97"/>
        <v>Process, plant and machine operatives</v>
      </c>
      <c r="X87" s="11">
        <f t="shared" si="97"/>
        <v>28.155124791039292</v>
      </c>
      <c r="Y87" s="11">
        <f t="shared" si="97"/>
        <v>30.800729342965873</v>
      </c>
      <c r="Z87" s="11">
        <f t="shared" si="97"/>
        <v>25.825222543588019</v>
      </c>
      <c r="AA87" s="11">
        <f t="shared" si="97"/>
        <v>33.686559833395435</v>
      </c>
      <c r="AB87" s="11">
        <f t="shared" si="97"/>
        <v>36.353398886716242</v>
      </c>
      <c r="AD87" s="39">
        <f t="shared" si="98"/>
        <v>-1.7127184986206023</v>
      </c>
      <c r="AE87" s="39">
        <f t="shared" si="99"/>
        <v>2.3057546539911211</v>
      </c>
    </row>
    <row r="88" spans="1:31" x14ac:dyDescent="0.2">
      <c r="A88" t="str">
        <f t="shared" si="92"/>
        <v>Elementary occupations</v>
      </c>
      <c r="B88" s="11">
        <f t="shared" si="92"/>
        <v>282.03448262605309</v>
      </c>
      <c r="C88" s="11">
        <f t="shared" si="92"/>
        <v>268.92537386524066</v>
      </c>
      <c r="D88" s="11">
        <f t="shared" si="92"/>
        <v>249.991780568786</v>
      </c>
      <c r="E88" s="11">
        <f t="shared" si="92"/>
        <v>242.85975347981034</v>
      </c>
      <c r="F88" s="11">
        <f t="shared" si="92"/>
        <v>226.94112388341784</v>
      </c>
      <c r="H88" s="39">
        <f t="shared" si="100"/>
        <v>-2.3831691825608403</v>
      </c>
      <c r="I88" s="39">
        <f t="shared" si="93"/>
        <v>-0.64284102520940634</v>
      </c>
      <c r="L88" t="str">
        <f t="shared" si="94"/>
        <v>Elementary occupations</v>
      </c>
      <c r="M88" s="11">
        <f t="shared" si="94"/>
        <v>158.57532455896319</v>
      </c>
      <c r="N88" s="11">
        <f t="shared" si="94"/>
        <v>142.32968035953667</v>
      </c>
      <c r="O88" s="11">
        <f t="shared" si="94"/>
        <v>137.61840268850708</v>
      </c>
      <c r="P88" s="11">
        <f t="shared" si="94"/>
        <v>136.88737318025477</v>
      </c>
      <c r="Q88" s="11">
        <f t="shared" si="94"/>
        <v>126.88803627233875</v>
      </c>
      <c r="S88" s="39">
        <f t="shared" si="95"/>
        <v>-2.7950948649762108</v>
      </c>
      <c r="T88" s="39">
        <f t="shared" si="96"/>
        <v>-0.53973525729031913</v>
      </c>
      <c r="W88" t="str">
        <f t="shared" si="97"/>
        <v>Elementary occupations</v>
      </c>
      <c r="X88" s="11">
        <f t="shared" si="97"/>
        <v>123.45915806709023</v>
      </c>
      <c r="Y88" s="11">
        <f t="shared" si="97"/>
        <v>126.59569350570401</v>
      </c>
      <c r="Z88" s="11">
        <f t="shared" si="97"/>
        <v>112.37337788027951</v>
      </c>
      <c r="AA88" s="11">
        <f t="shared" si="97"/>
        <v>105.972380299555</v>
      </c>
      <c r="AB88" s="11">
        <f t="shared" si="97"/>
        <v>100.05308761107935</v>
      </c>
      <c r="AD88" s="39">
        <f t="shared" si="98"/>
        <v>-1.8640739624874336</v>
      </c>
      <c r="AE88" s="39">
        <f t="shared" si="99"/>
        <v>-0.77118523337684763</v>
      </c>
    </row>
    <row r="89" spans="1:31" x14ac:dyDescent="0.2">
      <c r="B89" s="11"/>
      <c r="C89" s="11"/>
      <c r="D89" s="11"/>
      <c r="E89" s="11"/>
      <c r="F89" s="11"/>
      <c r="H89" s="39"/>
      <c r="I89" s="39"/>
      <c r="M89" s="11"/>
      <c r="N89" s="11"/>
      <c r="O89" s="11"/>
      <c r="P89" s="11"/>
      <c r="Q89" s="11"/>
      <c r="S89" s="39"/>
      <c r="T89" s="39"/>
      <c r="X89" s="11"/>
      <c r="Y89" s="11"/>
      <c r="Z89" s="11"/>
      <c r="AA89" s="11"/>
      <c r="AB89" s="11"/>
      <c r="AD89" s="39"/>
      <c r="AE89" s="39"/>
    </row>
    <row r="90" spans="1:31" x14ac:dyDescent="0.2">
      <c r="A90" s="23" t="str">
        <f t="shared" ref="A90:F90" si="101">A18</f>
        <v>All occupations</v>
      </c>
      <c r="B90" s="33">
        <f t="shared" si="101"/>
        <v>2274.4909999992283</v>
      </c>
      <c r="C90" s="33">
        <f t="shared" si="101"/>
        <v>2405.3839999988058</v>
      </c>
      <c r="D90" s="33">
        <f t="shared" si="101"/>
        <v>2404.2379999983373</v>
      </c>
      <c r="E90" s="33">
        <f t="shared" si="101"/>
        <v>2442.8000000046995</v>
      </c>
      <c r="F90" s="33">
        <f t="shared" si="101"/>
        <v>2510.6939999992715</v>
      </c>
      <c r="H90" s="42">
        <f>IF(D$6-B$6 &lt;&gt; 0,(EXP(LN(D18/B18)/(D$6-B$6))-1)*100,0)</f>
        <v>1.115712608503272</v>
      </c>
      <c r="I90" s="42">
        <f>F56</f>
        <v>0.28925885184052369</v>
      </c>
      <c r="L90" s="23" t="str">
        <f t="shared" ref="L90:Q90" si="102">L18</f>
        <v>All occupations</v>
      </c>
      <c r="M90" s="33">
        <f t="shared" si="102"/>
        <v>1213.5149999998521</v>
      </c>
      <c r="N90" s="33">
        <f t="shared" si="102"/>
        <v>1250.4389999999844</v>
      </c>
      <c r="O90" s="33">
        <f t="shared" si="102"/>
        <v>1262.591999999117</v>
      </c>
      <c r="P90" s="33">
        <f t="shared" si="102"/>
        <v>1276.8599999999926</v>
      </c>
      <c r="Q90" s="33">
        <f t="shared" si="102"/>
        <v>1300.4009999998568</v>
      </c>
      <c r="S90" s="42">
        <f>IF(O$6-M$6 &lt;&gt; 0,(EXP(LN(O18/M18)/(O$6-M$6))-1)*100,0)</f>
        <v>0.79606475420928025</v>
      </c>
      <c r="T90" s="42">
        <f>Q56</f>
        <v>0.19689977781427448</v>
      </c>
      <c r="W90" s="23" t="str">
        <f t="shared" ref="W90:AB90" si="103">W18</f>
        <v>All occupations</v>
      </c>
      <c r="X90" s="33">
        <f t="shared" si="103"/>
        <v>1060.9759999993764</v>
      </c>
      <c r="Y90" s="33">
        <f t="shared" si="103"/>
        <v>1154.944999998821</v>
      </c>
      <c r="Z90" s="33">
        <f t="shared" si="103"/>
        <v>1141.6459999992217</v>
      </c>
      <c r="AA90" s="33">
        <f t="shared" si="103"/>
        <v>1165.9400000047085</v>
      </c>
      <c r="AB90" s="33">
        <f t="shared" si="103"/>
        <v>1210.2929999994135</v>
      </c>
      <c r="AD90" s="42">
        <f>IF(Z$6-X$6 &lt;&gt; 0,(EXP(LN(Z18/X18)/(Z$6-X$6))-1)*100,0)</f>
        <v>1.4764299511596191</v>
      </c>
      <c r="AE90" s="42">
        <f>AB56</f>
        <v>0.3900346521797049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1" max="11" width="9.85546875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8" t="str">
        <f>CONCATENATE("Occupation Table 2  Employment Change by Occupation (SOC 2020) and Replacement Demand, ",B$6,"-",F$6,", ",Info!B5)</f>
        <v>Occupation Table 2  Employment Change by Occupation (SOC 2020) and Replacement Demand, 2015-2035, East Midlands</v>
      </c>
      <c r="L1" s="18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East Midlands</v>
      </c>
      <c r="W1" s="18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East Midlands</v>
      </c>
    </row>
    <row r="2" spans="1:32" ht="12.75" customHeight="1" x14ac:dyDescent="0.2">
      <c r="A2" s="181" t="s">
        <v>537</v>
      </c>
      <c r="D2" s="339"/>
      <c r="G2" s="85"/>
      <c r="J2" s="85"/>
      <c r="M2" s="85"/>
      <c r="P2" s="85"/>
      <c r="S2" s="85"/>
      <c r="V2" s="85"/>
    </row>
    <row r="3" spans="1:32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2">
      <c r="A4" s="35"/>
      <c r="B4" s="35"/>
      <c r="C4" s="35"/>
      <c r="D4" s="35"/>
      <c r="E4" s="35"/>
      <c r="F4" s="35"/>
      <c r="H4" s="98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98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98" t="str">
        <f>CONCATENATE(Z6,"-",AB6)</f>
        <v>2020-2035</v>
      </c>
      <c r="AE4" s="35"/>
      <c r="AF4" s="35"/>
    </row>
    <row r="5" spans="1:32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2">
      <c r="A6" s="40" t="s">
        <v>13</v>
      </c>
      <c r="B6" s="41">
        <v>2015</v>
      </c>
      <c r="C6" s="41">
        <v>2019</v>
      </c>
      <c r="D6" s="41">
        <v>2020</v>
      </c>
      <c r="E6" s="41">
        <v>2025</v>
      </c>
      <c r="F6" s="41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41">
        <f>B6</f>
        <v>2015</v>
      </c>
      <c r="N6" s="41">
        <f t="shared" ref="N6:Q6" si="0">C6</f>
        <v>2019</v>
      </c>
      <c r="O6" s="41">
        <f t="shared" si="0"/>
        <v>2020</v>
      </c>
      <c r="P6" s="41">
        <f t="shared" si="0"/>
        <v>2025</v>
      </c>
      <c r="Q6" s="41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41">
        <f>B6</f>
        <v>2015</v>
      </c>
      <c r="Y6" s="41">
        <f t="shared" ref="Y6:AB6" si="1">C6</f>
        <v>2019</v>
      </c>
      <c r="Z6" s="41">
        <f t="shared" si="1"/>
        <v>2020</v>
      </c>
      <c r="AA6" s="41">
        <f t="shared" si="1"/>
        <v>2025</v>
      </c>
      <c r="AB6" s="41">
        <f t="shared" si="1"/>
        <v>2035</v>
      </c>
      <c r="AD6" s="62" t="s">
        <v>18</v>
      </c>
      <c r="AE6" s="62" t="s">
        <v>31</v>
      </c>
      <c r="AF6" s="62" t="s">
        <v>33</v>
      </c>
    </row>
    <row r="8" spans="1:32" x14ac:dyDescent="0.2">
      <c r="A8" s="10" t="str">
        <f>name!D4</f>
        <v>11 Corporate managers and directors</v>
      </c>
      <c r="B8" s="11">
        <v>143.65805606021732</v>
      </c>
      <c r="C8" s="11">
        <v>174.21928226313696</v>
      </c>
      <c r="D8" s="11">
        <v>181.26829746514963</v>
      </c>
      <c r="E8" s="11">
        <v>167.75005991181814</v>
      </c>
      <c r="F8" s="11">
        <v>182.91832107250198</v>
      </c>
      <c r="G8" s="10"/>
      <c r="H8" s="11">
        <f>F8-D8</f>
        <v>1.6500236073523524</v>
      </c>
      <c r="I8" s="11">
        <f>'RD T1'!E7</f>
        <v>87.810821458584726</v>
      </c>
      <c r="J8" s="11">
        <f>SUM(H8:I8)</f>
        <v>89.460845065937079</v>
      </c>
      <c r="L8" s="10" t="str">
        <f>name!D4</f>
        <v>11 Corporate managers and directors</v>
      </c>
      <c r="M8" s="11">
        <v>103.9651809917853</v>
      </c>
      <c r="N8" s="11">
        <v>120.12771507370248</v>
      </c>
      <c r="O8" s="11">
        <v>125.63193477059873</v>
      </c>
      <c r="P8" s="11">
        <v>112.97757429301309</v>
      </c>
      <c r="Q8" s="11">
        <v>118.40158884880256</v>
      </c>
      <c r="R8" s="10"/>
      <c r="S8" s="11">
        <f>Q8-O8</f>
        <v>-7.2303459217961716</v>
      </c>
      <c r="T8" s="11">
        <f>'RD T1'!T7</f>
        <v>53.883965470887276</v>
      </c>
      <c r="U8" s="11">
        <f>SUM(S8:T8)</f>
        <v>46.653619549091104</v>
      </c>
      <c r="W8" s="10" t="str">
        <f>name!D4</f>
        <v>11 Corporate managers and directors</v>
      </c>
      <c r="X8" s="11">
        <v>39.692875068432016</v>
      </c>
      <c r="Y8" s="11">
        <v>54.091567189434166</v>
      </c>
      <c r="Z8" s="11">
        <v>55.636362694551103</v>
      </c>
      <c r="AA8" s="11">
        <v>54.772485618805803</v>
      </c>
      <c r="AB8" s="11">
        <v>64.516732223699307</v>
      </c>
      <c r="AC8" s="10"/>
      <c r="AD8" s="11">
        <f>AB8-Z8</f>
        <v>8.8803695291482043</v>
      </c>
      <c r="AE8" s="11">
        <f>'RD T1'!T36</f>
        <v>33.926855987697451</v>
      </c>
      <c r="AF8" s="11">
        <f>SUM(AD8:AE8)</f>
        <v>42.807225516845655</v>
      </c>
    </row>
    <row r="9" spans="1:32" x14ac:dyDescent="0.2">
      <c r="A9" s="10" t="str">
        <f>name!D5</f>
        <v>12 Other managers and proprietors</v>
      </c>
      <c r="B9" s="11">
        <v>69.308890456575654</v>
      </c>
      <c r="C9" s="11">
        <v>77.184594003851032</v>
      </c>
      <c r="D9" s="11">
        <v>80.330640441711182</v>
      </c>
      <c r="E9" s="11">
        <v>98.883023906201075</v>
      </c>
      <c r="F9" s="11">
        <v>113.42826929468428</v>
      </c>
      <c r="H9" s="11">
        <f t="shared" ref="H9:H32" si="2">F9-D9</f>
        <v>33.097628852973102</v>
      </c>
      <c r="I9" s="11">
        <f>'RD T1'!E8</f>
        <v>54.511261691768063</v>
      </c>
      <c r="J9" s="11">
        <f>SUM(H9:I9)</f>
        <v>87.608890544741172</v>
      </c>
      <c r="L9" s="10" t="str">
        <f>name!D5</f>
        <v>12 Other managers and proprietors</v>
      </c>
      <c r="M9" s="11">
        <v>44.534536182686395</v>
      </c>
      <c r="N9" s="11">
        <v>48.174470636582889</v>
      </c>
      <c r="O9" s="11">
        <v>51.332169945687767</v>
      </c>
      <c r="P9" s="11">
        <v>65.253331072434634</v>
      </c>
      <c r="Q9" s="11">
        <v>74.83280829095817</v>
      </c>
      <c r="S9" s="11">
        <f t="shared" ref="S9:S32" si="3">Q9-O9</f>
        <v>23.500638345270403</v>
      </c>
      <c r="T9" s="11">
        <f>'RD T1'!T8</f>
        <v>32.698219348124397</v>
      </c>
      <c r="U9" s="11">
        <f>SUM(S9:T9)</f>
        <v>56.1988576933948</v>
      </c>
      <c r="W9" s="10" t="str">
        <f>name!D5</f>
        <v>12 Other managers and proprietors</v>
      </c>
      <c r="X9" s="11">
        <v>24.774354273889305</v>
      </c>
      <c r="Y9" s="11">
        <v>29.010123367268257</v>
      </c>
      <c r="Z9" s="11">
        <v>28.998470496023625</v>
      </c>
      <c r="AA9" s="11">
        <v>33.629692833766597</v>
      </c>
      <c r="AB9" s="11">
        <v>38.595461003726243</v>
      </c>
      <c r="AD9" s="11">
        <f t="shared" ref="AD9:AD32" si="4">AB9-Z9</f>
        <v>9.5969905077026176</v>
      </c>
      <c r="AE9" s="11">
        <f>'RD T1'!T37</f>
        <v>21.813042343643676</v>
      </c>
      <c r="AF9" s="11">
        <f>SUM(AD9:AE9)</f>
        <v>31.410032851346294</v>
      </c>
    </row>
    <row r="10" spans="1:32" x14ac:dyDescent="0.2">
      <c r="A10" s="10" t="str">
        <f>name!D6</f>
        <v>21 Science, research, engineering and technology professionals</v>
      </c>
      <c r="B10" s="11">
        <v>118.17350877122848</v>
      </c>
      <c r="C10" s="11">
        <v>139.32948990430606</v>
      </c>
      <c r="D10" s="11">
        <v>146.15293795725444</v>
      </c>
      <c r="E10" s="11">
        <v>154.11944030831137</v>
      </c>
      <c r="F10" s="11">
        <v>171.82982594197708</v>
      </c>
      <c r="G10" s="11"/>
      <c r="H10" s="11">
        <f t="shared" si="2"/>
        <v>25.67688798472264</v>
      </c>
      <c r="I10" s="11">
        <f>'RD T1'!E9</f>
        <v>58.029669472534799</v>
      </c>
      <c r="J10" s="11">
        <f t="shared" ref="J10:J32" si="5">SUM(H10:I10)</f>
        <v>83.706557457257446</v>
      </c>
      <c r="L10" s="10" t="str">
        <f>name!D6</f>
        <v>21 Science, research, engineering and technology professionals</v>
      </c>
      <c r="M10" s="11">
        <v>98.872351763522474</v>
      </c>
      <c r="N10" s="11">
        <v>116.87364108583614</v>
      </c>
      <c r="O10" s="11">
        <v>118.2391616661123</v>
      </c>
      <c r="P10" s="11">
        <v>121.10674314200968</v>
      </c>
      <c r="Q10" s="11">
        <v>132.13511177317218</v>
      </c>
      <c r="R10" s="11"/>
      <c r="S10" s="11">
        <f t="shared" si="3"/>
        <v>13.895950107059889</v>
      </c>
      <c r="T10" s="11">
        <f>'RD T1'!T9</f>
        <v>40.55587119545028</v>
      </c>
      <c r="U10" s="11">
        <f t="shared" ref="U10:U32" si="6">SUM(S10:T10)</f>
        <v>54.451821302510169</v>
      </c>
      <c r="W10" s="10" t="str">
        <f>name!D6</f>
        <v>21 Science, research, engineering and technology professionals</v>
      </c>
      <c r="X10" s="11">
        <v>19.301157007705772</v>
      </c>
      <c r="Y10" s="11">
        <v>22.455848818470166</v>
      </c>
      <c r="Z10" s="11">
        <v>27.9137762911419</v>
      </c>
      <c r="AA10" s="11">
        <v>33.012697166301912</v>
      </c>
      <c r="AB10" s="11">
        <v>39.694714168804857</v>
      </c>
      <c r="AC10" s="11"/>
      <c r="AD10" s="11">
        <f t="shared" si="4"/>
        <v>11.780937877662957</v>
      </c>
      <c r="AE10" s="11">
        <f>'RD T1'!T38</f>
        <v>17.473798277084505</v>
      </c>
      <c r="AF10" s="11">
        <f t="shared" ref="AF10:AF32" si="7">SUM(AD10:AE10)</f>
        <v>29.254736154747462</v>
      </c>
    </row>
    <row r="11" spans="1:32" x14ac:dyDescent="0.2">
      <c r="A11" s="10" t="str">
        <f>name!D7</f>
        <v>22 Health professionals</v>
      </c>
      <c r="B11" s="11">
        <v>84.941490204701466</v>
      </c>
      <c r="C11" s="11">
        <v>97.766943133398073</v>
      </c>
      <c r="D11" s="11">
        <v>97.677408108303439</v>
      </c>
      <c r="E11" s="11">
        <v>105.14697949418867</v>
      </c>
      <c r="F11" s="11">
        <v>114.65304052783871</v>
      </c>
      <c r="G11" s="11"/>
      <c r="H11" s="11">
        <f t="shared" si="2"/>
        <v>16.975632419535273</v>
      </c>
      <c r="I11" s="11">
        <f>'RD T1'!E10</f>
        <v>56.267092288706181</v>
      </c>
      <c r="J11" s="11">
        <f t="shared" si="5"/>
        <v>73.242724708241454</v>
      </c>
      <c r="L11" s="10" t="str">
        <f>name!D7</f>
        <v>22 Health professionals</v>
      </c>
      <c r="M11" s="11">
        <v>22.341222872057834</v>
      </c>
      <c r="N11" s="11">
        <v>23.985963961359751</v>
      </c>
      <c r="O11" s="11">
        <v>26.544929563504692</v>
      </c>
      <c r="P11" s="11">
        <v>27.857304368309777</v>
      </c>
      <c r="Q11" s="11">
        <v>29.857195218193809</v>
      </c>
      <c r="R11" s="11"/>
      <c r="S11" s="11">
        <f t="shared" si="3"/>
        <v>3.3122656546891172</v>
      </c>
      <c r="T11" s="11">
        <f>'RD T1'!T10</f>
        <v>10.755600166579821</v>
      </c>
      <c r="U11" s="11">
        <f t="shared" si="6"/>
        <v>14.067865821268938</v>
      </c>
      <c r="W11" s="10" t="str">
        <f>name!D7</f>
        <v>22 Health professionals</v>
      </c>
      <c r="X11" s="11">
        <v>62.600267332643789</v>
      </c>
      <c r="Y11" s="11">
        <v>73.780979172038229</v>
      </c>
      <c r="Z11" s="11">
        <v>71.132478544799042</v>
      </c>
      <c r="AA11" s="11">
        <v>77.28967512587883</v>
      </c>
      <c r="AB11" s="11">
        <v>84.795845309644989</v>
      </c>
      <c r="AC11" s="11"/>
      <c r="AD11" s="11">
        <f t="shared" si="4"/>
        <v>13.663366764845946</v>
      </c>
      <c r="AE11" s="11">
        <f>'RD T1'!T39</f>
        <v>45.511492122126356</v>
      </c>
      <c r="AF11" s="11">
        <f t="shared" si="7"/>
        <v>59.174858886972302</v>
      </c>
    </row>
    <row r="12" spans="1:32" x14ac:dyDescent="0.2">
      <c r="A12" s="10" t="str">
        <f>name!D8</f>
        <v>23 Teaching and other educational professionals</v>
      </c>
      <c r="B12" s="11">
        <v>82.340741240666205</v>
      </c>
      <c r="C12" s="11">
        <v>89.482943742768015</v>
      </c>
      <c r="D12" s="11">
        <v>93.288876949246799</v>
      </c>
      <c r="E12" s="11">
        <v>92.704014323923289</v>
      </c>
      <c r="F12" s="11">
        <v>96.576406752618979</v>
      </c>
      <c r="G12" s="11"/>
      <c r="H12" s="11">
        <f t="shared" si="2"/>
        <v>3.2875298033721805</v>
      </c>
      <c r="I12" s="11">
        <f>'RD T1'!E11</f>
        <v>45.527798059967203</v>
      </c>
      <c r="J12" s="11">
        <f t="shared" si="5"/>
        <v>48.815327863339384</v>
      </c>
      <c r="L12" s="10" t="str">
        <f>name!D8</f>
        <v>23 Teaching and other educational professionals</v>
      </c>
      <c r="M12" s="11">
        <v>33.452334605941729</v>
      </c>
      <c r="N12" s="11">
        <v>33.35789213754186</v>
      </c>
      <c r="O12" s="11">
        <v>34.980558639345006</v>
      </c>
      <c r="P12" s="11">
        <v>35.918546546285654</v>
      </c>
      <c r="Q12" s="11">
        <v>37.205673679189239</v>
      </c>
      <c r="R12" s="11"/>
      <c r="S12" s="11">
        <f t="shared" si="3"/>
        <v>2.2251150398442334</v>
      </c>
      <c r="T12" s="11">
        <f>'RD T1'!T11</f>
        <v>15.190182461858164</v>
      </c>
      <c r="U12" s="11">
        <f t="shared" si="6"/>
        <v>17.415297501702398</v>
      </c>
      <c r="W12" s="10" t="str">
        <f>name!D8</f>
        <v>23 Teaching and other educational professionals</v>
      </c>
      <c r="X12" s="11">
        <v>48.888406634724433</v>
      </c>
      <c r="Y12" s="11">
        <v>56.125051605226098</v>
      </c>
      <c r="Z12" s="11">
        <v>58.308318309901694</v>
      </c>
      <c r="AA12" s="11">
        <v>56.78546777763767</v>
      </c>
      <c r="AB12" s="11">
        <v>59.370733073429577</v>
      </c>
      <c r="AC12" s="11"/>
      <c r="AD12" s="11">
        <f t="shared" si="4"/>
        <v>1.0624147635278831</v>
      </c>
      <c r="AE12" s="11">
        <f>'RD T1'!T40</f>
        <v>30.337615598109043</v>
      </c>
      <c r="AF12" s="11">
        <f t="shared" si="7"/>
        <v>31.400030361636926</v>
      </c>
    </row>
    <row r="13" spans="1:32" x14ac:dyDescent="0.2">
      <c r="A13" s="10" t="str">
        <f>name!D9</f>
        <v>24 Business, media and public service professionals</v>
      </c>
      <c r="B13" s="11">
        <v>116.06575968813439</v>
      </c>
      <c r="C13" s="11">
        <v>139.66744187115961</v>
      </c>
      <c r="D13" s="11">
        <v>158.37692219613299</v>
      </c>
      <c r="E13" s="11">
        <v>175.98910824681568</v>
      </c>
      <c r="F13" s="11">
        <v>198.82297783878221</v>
      </c>
      <c r="G13" s="11"/>
      <c r="H13" s="11">
        <f t="shared" si="2"/>
        <v>40.446055642649213</v>
      </c>
      <c r="I13" s="11">
        <f>'RD T1'!E12</f>
        <v>87.049016226875779</v>
      </c>
      <c r="J13" s="11">
        <f t="shared" si="5"/>
        <v>127.49507186952499</v>
      </c>
      <c r="L13" s="10" t="str">
        <f>name!D9</f>
        <v>24 Business, media and public service professionals</v>
      </c>
      <c r="M13" s="11">
        <v>68.515156279255748</v>
      </c>
      <c r="N13" s="11">
        <v>76.182187789902258</v>
      </c>
      <c r="O13" s="11">
        <v>84.60129460733441</v>
      </c>
      <c r="P13" s="11">
        <v>94.172504990886694</v>
      </c>
      <c r="Q13" s="11">
        <v>103.09883041813268</v>
      </c>
      <c r="R13" s="11"/>
      <c r="S13" s="11">
        <f t="shared" si="3"/>
        <v>18.497535810798269</v>
      </c>
      <c r="T13" s="11">
        <f>'RD T1'!T12</f>
        <v>40.350263275775077</v>
      </c>
      <c r="U13" s="11">
        <f t="shared" si="6"/>
        <v>58.847799086573346</v>
      </c>
      <c r="W13" s="10" t="str">
        <f>name!D9</f>
        <v>24 Business, media and public service professionals</v>
      </c>
      <c r="X13" s="11">
        <v>47.550603408878771</v>
      </c>
      <c r="Y13" s="11">
        <v>63.485254081256947</v>
      </c>
      <c r="Z13" s="11">
        <v>73.775627588798926</v>
      </c>
      <c r="AA13" s="11">
        <v>81.816603255928754</v>
      </c>
      <c r="AB13" s="11">
        <v>95.724147420649373</v>
      </c>
      <c r="AC13" s="11"/>
      <c r="AD13" s="11">
        <f t="shared" si="4"/>
        <v>21.948519831850447</v>
      </c>
      <c r="AE13" s="11">
        <f>'RD T1'!T41</f>
        <v>46.698752951100708</v>
      </c>
      <c r="AF13" s="11">
        <f t="shared" si="7"/>
        <v>68.647272782951148</v>
      </c>
    </row>
    <row r="14" spans="1:32" x14ac:dyDescent="0.2">
      <c r="A14" s="10" t="str">
        <f>name!D10</f>
        <v>31 Science, engineering and technology associate professionals</v>
      </c>
      <c r="B14" s="11">
        <v>36.888897619733804</v>
      </c>
      <c r="C14" s="11">
        <v>44.133048124382675</v>
      </c>
      <c r="D14" s="11">
        <v>48.896441347773603</v>
      </c>
      <c r="E14" s="11">
        <v>42.416594537763693</v>
      </c>
      <c r="F14" s="11">
        <v>45.136963956910328</v>
      </c>
      <c r="G14" s="11"/>
      <c r="H14" s="11">
        <f t="shared" si="2"/>
        <v>-3.7594773908632746</v>
      </c>
      <c r="I14" s="11">
        <f>'RD T1'!E13</f>
        <v>17.667630787870941</v>
      </c>
      <c r="J14" s="11">
        <f t="shared" si="5"/>
        <v>13.908153397007666</v>
      </c>
      <c r="L14" s="10" t="str">
        <f>name!D10</f>
        <v>31 Science, engineering and technology associate professionals</v>
      </c>
      <c r="M14" s="11">
        <v>27.714350743778795</v>
      </c>
      <c r="N14" s="11">
        <v>34.009944212666092</v>
      </c>
      <c r="O14" s="11">
        <v>36.295559497899667</v>
      </c>
      <c r="P14" s="11">
        <v>29.43134575272628</v>
      </c>
      <c r="Q14" s="11">
        <v>29.935624044277777</v>
      </c>
      <c r="R14" s="11"/>
      <c r="S14" s="11">
        <f t="shared" si="3"/>
        <v>-6.3599354536218904</v>
      </c>
      <c r="T14" s="11">
        <f>'RD T1'!T13</f>
        <v>10.877562288707981</v>
      </c>
      <c r="U14" s="11">
        <f t="shared" si="6"/>
        <v>4.5176268350860909</v>
      </c>
      <c r="W14" s="10" t="str">
        <f>name!D10</f>
        <v>31 Science, engineering and technology associate professionals</v>
      </c>
      <c r="X14" s="11">
        <v>9.1745468759550963</v>
      </c>
      <c r="Y14" s="11">
        <v>10.123103911716539</v>
      </c>
      <c r="Z14" s="11">
        <v>12.600881849873954</v>
      </c>
      <c r="AA14" s="11">
        <v>12.985248785037548</v>
      </c>
      <c r="AB14" s="11">
        <v>15.201339912632536</v>
      </c>
      <c r="AC14" s="11"/>
      <c r="AD14" s="11">
        <f t="shared" si="4"/>
        <v>2.600458062758582</v>
      </c>
      <c r="AE14" s="11">
        <f>'RD T1'!T42</f>
        <v>6.7900684991629578</v>
      </c>
      <c r="AF14" s="11">
        <f t="shared" si="7"/>
        <v>9.3905265619215399</v>
      </c>
    </row>
    <row r="15" spans="1:32" x14ac:dyDescent="0.2">
      <c r="A15" s="10" t="str">
        <f>name!D11</f>
        <v>32 Health and social care associate professionals</v>
      </c>
      <c r="B15" s="11">
        <v>37.756201665299528</v>
      </c>
      <c r="C15" s="11">
        <v>43.058878031001939</v>
      </c>
      <c r="D15" s="11">
        <v>43.808538911689013</v>
      </c>
      <c r="E15" s="11">
        <v>44.397697953395529</v>
      </c>
      <c r="F15" s="11">
        <v>48.614831201773598</v>
      </c>
      <c r="G15" s="11"/>
      <c r="H15" s="11">
        <f t="shared" si="2"/>
        <v>4.8062922900845848</v>
      </c>
      <c r="I15" s="11">
        <f>'RD T1'!E14</f>
        <v>26.020619670849925</v>
      </c>
      <c r="J15" s="11">
        <f t="shared" si="5"/>
        <v>30.82691196093451</v>
      </c>
      <c r="L15" s="10" t="str">
        <f>name!D11</f>
        <v>32 Health and social care associate professionals</v>
      </c>
      <c r="M15" s="11">
        <v>8.1142777503434544</v>
      </c>
      <c r="N15" s="11">
        <v>8.1900108390994024</v>
      </c>
      <c r="O15" s="11">
        <v>9.1755710419557968</v>
      </c>
      <c r="P15" s="11">
        <v>8.2267540397052272</v>
      </c>
      <c r="Q15" s="11">
        <v>8.7810621457504023</v>
      </c>
      <c r="R15" s="11"/>
      <c r="S15" s="11">
        <f t="shared" si="3"/>
        <v>-0.39450889620539442</v>
      </c>
      <c r="T15" s="11">
        <f>'RD T1'!T14</f>
        <v>3.9905924937348956</v>
      </c>
      <c r="U15" s="11">
        <f t="shared" si="6"/>
        <v>3.5960835975295011</v>
      </c>
      <c r="W15" s="10" t="str">
        <f>name!D11</f>
        <v>32 Health and social care associate professionals</v>
      </c>
      <c r="X15" s="11">
        <v>29.641923914956099</v>
      </c>
      <c r="Y15" s="11">
        <v>34.868867191902503</v>
      </c>
      <c r="Z15" s="11">
        <v>34.632967869733193</v>
      </c>
      <c r="AA15" s="11">
        <v>36.170943913690394</v>
      </c>
      <c r="AB15" s="11">
        <v>39.833769056023165</v>
      </c>
      <c r="AC15" s="11"/>
      <c r="AD15" s="11">
        <f t="shared" si="4"/>
        <v>5.2008011862899721</v>
      </c>
      <c r="AE15" s="11">
        <f>'RD T1'!T43</f>
        <v>22.030027177115031</v>
      </c>
      <c r="AF15" s="11">
        <f t="shared" si="7"/>
        <v>27.230828363405003</v>
      </c>
    </row>
    <row r="16" spans="1:32" x14ac:dyDescent="0.2">
      <c r="A16" s="10" t="str">
        <f>name!D12</f>
        <v>33 Protective service occupations</v>
      </c>
      <c r="B16" s="11">
        <v>24.674740515945114</v>
      </c>
      <c r="C16" s="11">
        <v>25.28536445042619</v>
      </c>
      <c r="D16" s="11">
        <v>26.423145140330963</v>
      </c>
      <c r="E16" s="11">
        <v>31.950231148342091</v>
      </c>
      <c r="F16" s="11">
        <v>36.657574622558613</v>
      </c>
      <c r="G16" s="11"/>
      <c r="H16" s="11">
        <f t="shared" si="2"/>
        <v>10.23442948222765</v>
      </c>
      <c r="I16" s="11">
        <f>'RD T1'!E15</f>
        <v>10.757800423523411</v>
      </c>
      <c r="J16" s="11">
        <f t="shared" si="5"/>
        <v>20.99222990575106</v>
      </c>
      <c r="L16" s="10" t="str">
        <f>name!D12</f>
        <v>33 Protective service occupations</v>
      </c>
      <c r="M16" s="11">
        <v>20.493123994800786</v>
      </c>
      <c r="N16" s="11">
        <v>20.576341907298108</v>
      </c>
      <c r="O16" s="11">
        <v>21.126362730140482</v>
      </c>
      <c r="P16" s="11">
        <v>24.704912589490643</v>
      </c>
      <c r="Q16" s="11">
        <v>26.961241231375908</v>
      </c>
      <c r="R16" s="11"/>
      <c r="S16" s="11">
        <f t="shared" si="3"/>
        <v>5.8348785012354263</v>
      </c>
      <c r="T16" s="11">
        <f>'RD T1'!T15</f>
        <v>6.9931905330560635</v>
      </c>
      <c r="U16" s="11">
        <f t="shared" si="6"/>
        <v>12.82806903429149</v>
      </c>
      <c r="W16" s="10" t="str">
        <f>name!D12</f>
        <v>33 Protective service occupations</v>
      </c>
      <c r="X16" s="11">
        <v>4.1816165211443845</v>
      </c>
      <c r="Y16" s="11">
        <v>4.7090225431280857</v>
      </c>
      <c r="Z16" s="11">
        <v>5.2967824101904828</v>
      </c>
      <c r="AA16" s="11">
        <v>7.2453185588515092</v>
      </c>
      <c r="AB16" s="11">
        <v>9.6963333911826126</v>
      </c>
      <c r="AC16" s="11"/>
      <c r="AD16" s="11">
        <f t="shared" si="4"/>
        <v>4.3995509809921298</v>
      </c>
      <c r="AE16" s="11">
        <f>'RD T1'!T44</f>
        <v>3.7646098904673453</v>
      </c>
      <c r="AF16" s="11">
        <f t="shared" si="7"/>
        <v>8.164160871459476</v>
      </c>
    </row>
    <row r="17" spans="1:32" x14ac:dyDescent="0.2">
      <c r="A17" s="10" t="str">
        <f>name!D13</f>
        <v>34 Culture, media and sports occupations</v>
      </c>
      <c r="B17" s="11">
        <v>32.171809576694734</v>
      </c>
      <c r="C17" s="11">
        <v>31.492602905030143</v>
      </c>
      <c r="D17" s="11">
        <v>32.531561760617201</v>
      </c>
      <c r="E17" s="11">
        <v>30.025971833268073</v>
      </c>
      <c r="F17" s="11">
        <v>32.44160234152902</v>
      </c>
      <c r="G17" s="11"/>
      <c r="H17" s="11">
        <f t="shared" si="2"/>
        <v>-8.9959419088181392E-2</v>
      </c>
      <c r="I17" s="11">
        <f>'RD T1'!E16</f>
        <v>14.044958436257886</v>
      </c>
      <c r="J17" s="11">
        <f t="shared" si="5"/>
        <v>13.954999017169705</v>
      </c>
      <c r="L17" s="10" t="str">
        <f>name!D13</f>
        <v>34 Culture, media and sports occupations</v>
      </c>
      <c r="M17" s="11">
        <v>19.07462939097546</v>
      </c>
      <c r="N17" s="11">
        <v>16.612430462101543</v>
      </c>
      <c r="O17" s="11">
        <v>16.435728972029647</v>
      </c>
      <c r="P17" s="11">
        <v>15.098170105602822</v>
      </c>
      <c r="Q17" s="11">
        <v>16.262260401930249</v>
      </c>
      <c r="R17" s="11"/>
      <c r="S17" s="11">
        <f t="shared" si="3"/>
        <v>-0.17346857009939853</v>
      </c>
      <c r="T17" s="11">
        <f>'RD T1'!T16</f>
        <v>6.1424054654681566</v>
      </c>
      <c r="U17" s="11">
        <f t="shared" si="6"/>
        <v>5.968936895368758</v>
      </c>
      <c r="W17" s="10" t="str">
        <f>name!D13</f>
        <v>34 Culture, media and sports occupations</v>
      </c>
      <c r="X17" s="11">
        <v>13.097180185719353</v>
      </c>
      <c r="Y17" s="11">
        <v>14.880172442928666</v>
      </c>
      <c r="Z17" s="11">
        <v>16.095832788587543</v>
      </c>
      <c r="AA17" s="11">
        <v>14.927801727665274</v>
      </c>
      <c r="AB17" s="11">
        <v>16.179341939598753</v>
      </c>
      <c r="AC17" s="11"/>
      <c r="AD17" s="11">
        <f t="shared" si="4"/>
        <v>8.3509151011210037E-2</v>
      </c>
      <c r="AE17" s="11">
        <f>'RD T1'!T45</f>
        <v>7.9025529707897277</v>
      </c>
      <c r="AF17" s="11">
        <f t="shared" si="7"/>
        <v>7.9860621218009378</v>
      </c>
    </row>
    <row r="18" spans="1:32" x14ac:dyDescent="0.2">
      <c r="A18" s="10" t="str">
        <f>name!D14</f>
        <v>35 Business and public service associate professionals</v>
      </c>
      <c r="B18" s="11">
        <v>122.99499019364232</v>
      </c>
      <c r="C18" s="11">
        <v>133.76386601170375</v>
      </c>
      <c r="D18" s="11">
        <v>141.70159177372162</v>
      </c>
      <c r="E18" s="11">
        <v>135.62987732758296</v>
      </c>
      <c r="F18" s="11">
        <v>140.96475258733693</v>
      </c>
      <c r="G18" s="11"/>
      <c r="H18" s="11">
        <f t="shared" si="2"/>
        <v>-0.73683918638468526</v>
      </c>
      <c r="I18" s="11">
        <f>'RD T1'!E17</f>
        <v>62.706701231859604</v>
      </c>
      <c r="J18" s="11">
        <f t="shared" si="5"/>
        <v>61.969862045474919</v>
      </c>
      <c r="L18" s="10" t="str">
        <f>name!D14</f>
        <v>35 Business and public service associate professionals</v>
      </c>
      <c r="M18" s="11">
        <v>68.827309170250118</v>
      </c>
      <c r="N18" s="11">
        <v>72.328307075469354</v>
      </c>
      <c r="O18" s="11">
        <v>77.624576067753011</v>
      </c>
      <c r="P18" s="11">
        <v>71.376213762530369</v>
      </c>
      <c r="Q18" s="11">
        <v>70.693486556350322</v>
      </c>
      <c r="R18" s="11"/>
      <c r="S18" s="11">
        <f t="shared" si="3"/>
        <v>-6.9310895114026891</v>
      </c>
      <c r="T18" s="11">
        <f>'RD T1'!T17</f>
        <v>27.365428233266812</v>
      </c>
      <c r="U18" s="11">
        <f t="shared" si="6"/>
        <v>20.434338721864123</v>
      </c>
      <c r="W18" s="10" t="str">
        <f>name!D14</f>
        <v>35 Business and public service associate professionals</v>
      </c>
      <c r="X18" s="11">
        <v>54.167681023392362</v>
      </c>
      <c r="Y18" s="11">
        <v>61.43555893623445</v>
      </c>
      <c r="Z18" s="11">
        <v>64.077015705968734</v>
      </c>
      <c r="AA18" s="11">
        <v>64.253663565053088</v>
      </c>
      <c r="AB18" s="11">
        <v>70.271266030986169</v>
      </c>
      <c r="AC18" s="11"/>
      <c r="AD18" s="11">
        <f t="shared" si="4"/>
        <v>6.1942503250174354</v>
      </c>
      <c r="AE18" s="11">
        <f>'RD T1'!T46</f>
        <v>35.341272998592764</v>
      </c>
      <c r="AF18" s="11">
        <f t="shared" si="7"/>
        <v>41.535523323610199</v>
      </c>
    </row>
    <row r="19" spans="1:32" x14ac:dyDescent="0.2">
      <c r="A19" s="10" t="str">
        <f>name!D15</f>
        <v>41 Administrative occupations</v>
      </c>
      <c r="B19" s="11">
        <v>195.32738677630536</v>
      </c>
      <c r="C19" s="11">
        <v>196.95581737867408</v>
      </c>
      <c r="D19" s="11">
        <v>206.87406474545989</v>
      </c>
      <c r="E19" s="11">
        <v>189.33593582652153</v>
      </c>
      <c r="F19" s="11">
        <v>179.25383588684116</v>
      </c>
      <c r="G19" s="11"/>
      <c r="H19" s="11">
        <f t="shared" si="2"/>
        <v>-27.620228858618731</v>
      </c>
      <c r="I19" s="11">
        <f>'RD T1'!E18</f>
        <v>94.84869629859179</v>
      </c>
      <c r="J19" s="11">
        <f t="shared" si="5"/>
        <v>67.228467439973059</v>
      </c>
      <c r="L19" s="10" t="str">
        <f>name!D15</f>
        <v>41 Administrative occupations</v>
      </c>
      <c r="M19" s="11">
        <v>45.743766206938886</v>
      </c>
      <c r="N19" s="11">
        <v>43.867477232710449</v>
      </c>
      <c r="O19" s="11">
        <v>53.745299190281344</v>
      </c>
      <c r="P19" s="11">
        <v>49.799293234433648</v>
      </c>
      <c r="Q19" s="11">
        <v>53.329325320412913</v>
      </c>
      <c r="R19" s="11"/>
      <c r="S19" s="11">
        <f t="shared" si="3"/>
        <v>-0.41597386986843077</v>
      </c>
      <c r="T19" s="11">
        <f>'RD T1'!T18</f>
        <v>18.771129522961214</v>
      </c>
      <c r="U19" s="11">
        <f t="shared" si="6"/>
        <v>18.355155653092783</v>
      </c>
      <c r="W19" s="10" t="str">
        <f>name!D15</f>
        <v>41 Administrative occupations</v>
      </c>
      <c r="X19" s="11">
        <v>149.5836205693667</v>
      </c>
      <c r="Y19" s="11">
        <v>153.08834014596368</v>
      </c>
      <c r="Z19" s="11">
        <v>153.12876555517886</v>
      </c>
      <c r="AA19" s="11">
        <v>139.5366425920881</v>
      </c>
      <c r="AB19" s="11">
        <v>125.92451056642848</v>
      </c>
      <c r="AC19" s="11"/>
      <c r="AD19" s="11">
        <f t="shared" si="4"/>
        <v>-27.204254988750378</v>
      </c>
      <c r="AE19" s="11">
        <f>'RD T1'!T47</f>
        <v>76.077566775630601</v>
      </c>
      <c r="AF19" s="11">
        <f t="shared" si="7"/>
        <v>48.873311786880222</v>
      </c>
    </row>
    <row r="20" spans="1:32" x14ac:dyDescent="0.2">
      <c r="A20" s="10" t="str">
        <f>name!D16</f>
        <v>42 Secretarial and related occupations</v>
      </c>
      <c r="B20" s="11">
        <v>47.376562530143858</v>
      </c>
      <c r="C20" s="11">
        <v>45.592550373804556</v>
      </c>
      <c r="D20" s="11">
        <v>45.079696181020772</v>
      </c>
      <c r="E20" s="11">
        <v>47.331757540504917</v>
      </c>
      <c r="F20" s="11">
        <v>37.500601408491903</v>
      </c>
      <c r="G20" s="11"/>
      <c r="H20" s="11">
        <f t="shared" si="2"/>
        <v>-7.5790947725288689</v>
      </c>
      <c r="I20" s="11">
        <f>'RD T1'!E19</f>
        <v>23.000187005019598</v>
      </c>
      <c r="J20" s="11">
        <f t="shared" si="5"/>
        <v>15.421092232490729</v>
      </c>
      <c r="L20" s="10" t="str">
        <f>name!D16</f>
        <v>42 Secretarial and related occupations</v>
      </c>
      <c r="M20" s="11">
        <v>3.9573363917290822</v>
      </c>
      <c r="N20" s="11">
        <v>3.0113174667202252</v>
      </c>
      <c r="O20" s="11">
        <v>3.0453622577042538</v>
      </c>
      <c r="P20" s="11">
        <v>3.7554304474421816</v>
      </c>
      <c r="Q20" s="11">
        <v>4.5367883644284062</v>
      </c>
      <c r="R20" s="11"/>
      <c r="S20" s="11">
        <f t="shared" si="3"/>
        <v>1.4914261067241523</v>
      </c>
      <c r="T20" s="11">
        <f>'RD T1'!T19</f>
        <v>1.2735757691778893</v>
      </c>
      <c r="U20" s="11">
        <f t="shared" si="6"/>
        <v>2.7650018759020414</v>
      </c>
      <c r="W20" s="10" t="str">
        <f>name!D16</f>
        <v>42 Secretarial and related occupations</v>
      </c>
      <c r="X20" s="11">
        <v>43.419226138414743</v>
      </c>
      <c r="Y20" s="11">
        <v>42.581232907084328</v>
      </c>
      <c r="Z20" s="11">
        <v>42.034333923316517</v>
      </c>
      <c r="AA20" s="11">
        <v>43.576327093062694</v>
      </c>
      <c r="AB20" s="11">
        <v>32.963813044063471</v>
      </c>
      <c r="AC20" s="11"/>
      <c r="AD20" s="11">
        <f t="shared" si="4"/>
        <v>-9.0705208792530456</v>
      </c>
      <c r="AE20" s="11">
        <f>'RD T1'!T48</f>
        <v>21.726611235841709</v>
      </c>
      <c r="AF20" s="11">
        <f t="shared" si="7"/>
        <v>12.656090356588663</v>
      </c>
    </row>
    <row r="21" spans="1:32" x14ac:dyDescent="0.2">
      <c r="A21" s="10" t="str">
        <f>name!D17</f>
        <v>51 Skilled agricultural and related trades</v>
      </c>
      <c r="B21" s="11">
        <v>27.425453405239896</v>
      </c>
      <c r="C21" s="11">
        <v>28.29610204825973</v>
      </c>
      <c r="D21" s="11">
        <v>34.109425717301711</v>
      </c>
      <c r="E21" s="11">
        <v>32.649710758365593</v>
      </c>
      <c r="F21" s="11">
        <v>33.27556971091218</v>
      </c>
      <c r="G21" s="11"/>
      <c r="H21" s="11">
        <f t="shared" si="2"/>
        <v>-0.8338560063895315</v>
      </c>
      <c r="I21" s="11">
        <f>'RD T1'!E20</f>
        <v>18.180032725110316</v>
      </c>
      <c r="J21" s="11">
        <f t="shared" si="5"/>
        <v>17.346176718720784</v>
      </c>
      <c r="L21" s="10" t="str">
        <f>name!D17</f>
        <v>51 Skilled agricultural and related trades</v>
      </c>
      <c r="M21" s="11">
        <v>22.079172416995558</v>
      </c>
      <c r="N21" s="11">
        <v>19.878263412844557</v>
      </c>
      <c r="O21" s="11">
        <v>26.314048065727686</v>
      </c>
      <c r="P21" s="11">
        <v>24.333013901267147</v>
      </c>
      <c r="Q21" s="11">
        <v>24.068183302777985</v>
      </c>
      <c r="R21" s="11"/>
      <c r="S21" s="11">
        <f t="shared" si="3"/>
        <v>-2.2458647629497008</v>
      </c>
      <c r="T21" s="11">
        <f>'RD T1'!T20</f>
        <v>12.20902685560573</v>
      </c>
      <c r="U21" s="11">
        <f t="shared" si="6"/>
        <v>9.9631620926560291</v>
      </c>
      <c r="W21" s="10" t="str">
        <f>name!D17</f>
        <v>51 Skilled agricultural and related trades</v>
      </c>
      <c r="X21" s="11">
        <v>5.346280988244354</v>
      </c>
      <c r="Y21" s="11">
        <v>8.4178386354151442</v>
      </c>
      <c r="Z21" s="11">
        <v>7.7953776515740589</v>
      </c>
      <c r="AA21" s="11">
        <v>8.3166968570984778</v>
      </c>
      <c r="AB21" s="11">
        <v>9.2073864081341732</v>
      </c>
      <c r="AC21" s="11"/>
      <c r="AD21" s="11">
        <f t="shared" si="4"/>
        <v>1.4120087565601143</v>
      </c>
      <c r="AE21" s="11">
        <f>'RD T1'!T49</f>
        <v>5.9710058695045856</v>
      </c>
      <c r="AF21" s="11">
        <f t="shared" si="7"/>
        <v>7.3830146260646998</v>
      </c>
    </row>
    <row r="22" spans="1:32" x14ac:dyDescent="0.2">
      <c r="A22" s="10" t="str">
        <f>name!D18</f>
        <v>52 Skilled metal, electrical and electronic trades</v>
      </c>
      <c r="B22" s="11">
        <v>97.618362867403548</v>
      </c>
      <c r="C22" s="11">
        <v>99.211343361153794</v>
      </c>
      <c r="D22" s="11">
        <v>86.576735172954471</v>
      </c>
      <c r="E22" s="11">
        <v>84.192599870846522</v>
      </c>
      <c r="F22" s="11">
        <v>78.437017532423042</v>
      </c>
      <c r="G22" s="11"/>
      <c r="H22" s="11">
        <f t="shared" si="2"/>
        <v>-8.1397176405314298</v>
      </c>
      <c r="I22" s="11">
        <f>'RD T1'!E21</f>
        <v>31.246997252450168</v>
      </c>
      <c r="J22" s="11">
        <f t="shared" si="5"/>
        <v>23.107279611918738</v>
      </c>
      <c r="L22" s="10" t="str">
        <f>name!D18</f>
        <v>52 Skilled metal, electrical and electronic trades</v>
      </c>
      <c r="M22" s="11">
        <v>96.143335751112318</v>
      </c>
      <c r="N22" s="11">
        <v>96.868979341378903</v>
      </c>
      <c r="O22" s="11">
        <v>84.798483412384755</v>
      </c>
      <c r="P22" s="11">
        <v>80.205115121378682</v>
      </c>
      <c r="Q22" s="11">
        <v>73.345550104969078</v>
      </c>
      <c r="R22" s="11"/>
      <c r="S22" s="11">
        <f t="shared" si="3"/>
        <v>-11.452933307415677</v>
      </c>
      <c r="T22" s="11">
        <f>'RD T1'!T21</f>
        <v>28.967894132034807</v>
      </c>
      <c r="U22" s="11">
        <f t="shared" si="6"/>
        <v>17.514960824619131</v>
      </c>
      <c r="W22" s="10" t="str">
        <f>name!D18</f>
        <v>52 Skilled metal, electrical and electronic trades</v>
      </c>
      <c r="X22" s="11">
        <v>1.4750271162915494</v>
      </c>
      <c r="Y22" s="11">
        <v>2.3423640197746392</v>
      </c>
      <c r="Z22" s="11">
        <v>1.7782517605696671</v>
      </c>
      <c r="AA22" s="11">
        <v>3.9874847494680772</v>
      </c>
      <c r="AB22" s="11">
        <v>5.0914674274539999</v>
      </c>
      <c r="AC22" s="11"/>
      <c r="AD22" s="11">
        <f t="shared" si="4"/>
        <v>3.3132156668843331</v>
      </c>
      <c r="AE22" s="11">
        <f>'RD T1'!T50</f>
        <v>2.2791031204153538</v>
      </c>
      <c r="AF22" s="11">
        <f t="shared" si="7"/>
        <v>5.5923187872996873</v>
      </c>
    </row>
    <row r="23" spans="1:32" x14ac:dyDescent="0.2">
      <c r="A23" s="10" t="str">
        <f>name!D19</f>
        <v>53 Skilled construction and building trades</v>
      </c>
      <c r="B23" s="11">
        <v>62.851513007293811</v>
      </c>
      <c r="C23" s="11">
        <v>62.508631996104207</v>
      </c>
      <c r="D23" s="11">
        <v>49.830413162678838</v>
      </c>
      <c r="E23" s="11">
        <v>50.552266960065431</v>
      </c>
      <c r="F23" s="11">
        <v>44.458264470819856</v>
      </c>
      <c r="G23" s="11"/>
      <c r="H23" s="11">
        <f t="shared" si="2"/>
        <v>-5.3721486918589818</v>
      </c>
      <c r="I23" s="11">
        <f>'RD T1'!E22</f>
        <v>19.905132700143348</v>
      </c>
      <c r="J23" s="11">
        <f t="shared" si="5"/>
        <v>14.532984008284366</v>
      </c>
      <c r="L23" s="10" t="str">
        <f>name!D19</f>
        <v>53 Skilled construction and building trades</v>
      </c>
      <c r="M23" s="11">
        <v>62.297823600829879</v>
      </c>
      <c r="N23" s="11">
        <v>61.785389400902638</v>
      </c>
      <c r="O23" s="11">
        <v>49.141726168841778</v>
      </c>
      <c r="P23" s="11">
        <v>49.82267319960394</v>
      </c>
      <c r="Q23" s="11">
        <v>43.681252199402415</v>
      </c>
      <c r="R23" s="11"/>
      <c r="S23" s="11">
        <f t="shared" si="3"/>
        <v>-5.4604739694393629</v>
      </c>
      <c r="T23" s="11">
        <f>'RD T1'!T22</f>
        <v>19.529727499607208</v>
      </c>
      <c r="U23" s="11">
        <f t="shared" si="6"/>
        <v>14.069253530167845</v>
      </c>
      <c r="W23" s="10" t="str">
        <f>name!D19</f>
        <v>53 Skilled construction and building trades</v>
      </c>
      <c r="X23" s="11">
        <v>0.55368940646389053</v>
      </c>
      <c r="Y23" s="11">
        <v>0.72324259520152123</v>
      </c>
      <c r="Z23" s="11">
        <v>0.68868699383700882</v>
      </c>
      <c r="AA23" s="11">
        <v>0.72959376046146784</v>
      </c>
      <c r="AB23" s="11">
        <v>0.77701227141737772</v>
      </c>
      <c r="AC23" s="11"/>
      <c r="AD23" s="11">
        <f t="shared" si="4"/>
        <v>8.8325277580368899E-2</v>
      </c>
      <c r="AE23" s="11">
        <f>'RD T1'!T51</f>
        <v>0.37540520053613308</v>
      </c>
      <c r="AF23" s="11">
        <f t="shared" si="7"/>
        <v>0.46373047811650198</v>
      </c>
    </row>
    <row r="24" spans="1:32" x14ac:dyDescent="0.2">
      <c r="A24" s="10" t="str">
        <f>name!D20</f>
        <v>54 Textiles, printing and other skilled trades</v>
      </c>
      <c r="B24" s="11">
        <v>45.114830155462691</v>
      </c>
      <c r="C24" s="11">
        <v>39.678369253428116</v>
      </c>
      <c r="D24" s="11">
        <v>38.288580975784285</v>
      </c>
      <c r="E24" s="11">
        <v>36.385886110582405</v>
      </c>
      <c r="F24" s="11">
        <v>33.55391346668987</v>
      </c>
      <c r="G24" s="11"/>
      <c r="H24" s="11">
        <f t="shared" si="2"/>
        <v>-4.7346675090944146</v>
      </c>
      <c r="I24" s="11">
        <f>'RD T1'!E23</f>
        <v>15.139634225914367</v>
      </c>
      <c r="J24" s="11">
        <f t="shared" si="5"/>
        <v>10.404966716819953</v>
      </c>
      <c r="L24" s="10" t="str">
        <f>name!D20</f>
        <v>54 Textiles, printing and other skilled trades</v>
      </c>
      <c r="M24" s="11">
        <v>26.648396274211162</v>
      </c>
      <c r="N24" s="11">
        <v>21.894303141748736</v>
      </c>
      <c r="O24" s="11">
        <v>20.673349325667296</v>
      </c>
      <c r="P24" s="11">
        <v>19.735716807648171</v>
      </c>
      <c r="Q24" s="11">
        <v>17.762813545552557</v>
      </c>
      <c r="R24" s="11"/>
      <c r="S24" s="11">
        <f t="shared" si="3"/>
        <v>-2.9105357801147385</v>
      </c>
      <c r="T24" s="11">
        <f>'RD T1'!T23</f>
        <v>5.9735588439446889</v>
      </c>
      <c r="U24" s="11">
        <f t="shared" si="6"/>
        <v>3.0630230638299505</v>
      </c>
      <c r="W24" s="10" t="str">
        <f>name!D20</f>
        <v>54 Textiles, printing and other skilled trades</v>
      </c>
      <c r="X24" s="11">
        <v>18.466433881251383</v>
      </c>
      <c r="Y24" s="11">
        <v>17.784066111679408</v>
      </c>
      <c r="Z24" s="11">
        <v>17.615231650116986</v>
      </c>
      <c r="AA24" s="11">
        <v>16.650169302934184</v>
      </c>
      <c r="AB24" s="11">
        <v>15.79109992113734</v>
      </c>
      <c r="AC24" s="11"/>
      <c r="AD24" s="11">
        <f t="shared" si="4"/>
        <v>-1.8241317289796459</v>
      </c>
      <c r="AE24" s="11">
        <f>'RD T1'!T52</f>
        <v>9.1660753819696765</v>
      </c>
      <c r="AF24" s="11">
        <f t="shared" si="7"/>
        <v>7.3419436529900306</v>
      </c>
    </row>
    <row r="25" spans="1:32" x14ac:dyDescent="0.2">
      <c r="A25" s="10" t="str">
        <f>name!D21</f>
        <v>61 Caring personal service occupations</v>
      </c>
      <c r="B25" s="11">
        <v>197.12063317402581</v>
      </c>
      <c r="C25" s="11">
        <v>202.10183802163635</v>
      </c>
      <c r="D25" s="11">
        <v>195.15909339215122</v>
      </c>
      <c r="E25" s="11">
        <v>211.46434592725529</v>
      </c>
      <c r="F25" s="11">
        <v>229.27082671852793</v>
      </c>
      <c r="G25" s="11"/>
      <c r="H25" s="11">
        <f t="shared" si="2"/>
        <v>34.111733326376708</v>
      </c>
      <c r="I25" s="11">
        <f>'RD T1'!E24</f>
        <v>119.79652790533851</v>
      </c>
      <c r="J25" s="11">
        <f t="shared" si="5"/>
        <v>153.90826123171522</v>
      </c>
      <c r="L25" s="10" t="str">
        <f>name!D21</f>
        <v>61 Caring personal service occupations</v>
      </c>
      <c r="M25" s="11">
        <v>28.600282717757249</v>
      </c>
      <c r="N25" s="11">
        <v>29.669118352793607</v>
      </c>
      <c r="O25" s="11">
        <v>29.926350343421149</v>
      </c>
      <c r="P25" s="11">
        <v>36.785921145987139</v>
      </c>
      <c r="Q25" s="11">
        <v>42.993213296587832</v>
      </c>
      <c r="R25" s="11"/>
      <c r="S25" s="11">
        <f t="shared" si="3"/>
        <v>13.066862953166684</v>
      </c>
      <c r="T25" s="11">
        <f>'RD T1'!T24</f>
        <v>16.619531604579457</v>
      </c>
      <c r="U25" s="11">
        <f t="shared" si="6"/>
        <v>29.686394557746141</v>
      </c>
      <c r="W25" s="10" t="str">
        <f>name!D21</f>
        <v>61 Caring personal service occupations</v>
      </c>
      <c r="X25" s="11">
        <v>168.52035045626852</v>
      </c>
      <c r="Y25" s="11">
        <v>172.43271966884268</v>
      </c>
      <c r="Z25" s="11">
        <v>165.23274304873001</v>
      </c>
      <c r="AA25" s="11">
        <v>174.67842478126829</v>
      </c>
      <c r="AB25" s="11">
        <v>186.27761342193961</v>
      </c>
      <c r="AC25" s="11"/>
      <c r="AD25" s="11">
        <f t="shared" si="4"/>
        <v>21.044870373209591</v>
      </c>
      <c r="AE25" s="11">
        <f>'RD T1'!T53</f>
        <v>103.17699630075907</v>
      </c>
      <c r="AF25" s="11">
        <f t="shared" si="7"/>
        <v>124.22186667396866</v>
      </c>
    </row>
    <row r="26" spans="1:32" x14ac:dyDescent="0.2">
      <c r="A26" s="10" t="str">
        <f>name!D22</f>
        <v>62 Leisure, travel and related personal service occupations</v>
      </c>
      <c r="B26" s="11">
        <v>49.385317241689229</v>
      </c>
      <c r="C26" s="11">
        <v>61.937701893020744</v>
      </c>
      <c r="D26" s="11">
        <v>58.98916926833904</v>
      </c>
      <c r="E26" s="11">
        <v>58.928533381600666</v>
      </c>
      <c r="F26" s="11">
        <v>60.404116039923224</v>
      </c>
      <c r="G26" s="11"/>
      <c r="H26" s="11">
        <f t="shared" si="2"/>
        <v>1.4149467715841837</v>
      </c>
      <c r="I26" s="11">
        <f>'RD T1'!E25</f>
        <v>29.965956927459271</v>
      </c>
      <c r="J26" s="11">
        <f t="shared" si="5"/>
        <v>31.380903699043454</v>
      </c>
      <c r="L26" s="10" t="str">
        <f>name!D22</f>
        <v>62 Leisure, travel and related personal service occupations</v>
      </c>
      <c r="M26" s="11">
        <v>15.536436987397694</v>
      </c>
      <c r="N26" s="11">
        <v>17.52904525217355</v>
      </c>
      <c r="O26" s="11">
        <v>17.06761776133704</v>
      </c>
      <c r="P26" s="11">
        <v>17.17411268330936</v>
      </c>
      <c r="Q26" s="11">
        <v>18.663295831357736</v>
      </c>
      <c r="R26" s="11"/>
      <c r="S26" s="11">
        <f t="shared" si="3"/>
        <v>1.5956780700206963</v>
      </c>
      <c r="T26" s="11">
        <f>'RD T1'!T25</f>
        <v>7.5365378771216349</v>
      </c>
      <c r="U26" s="11">
        <f t="shared" si="6"/>
        <v>9.1322159471423312</v>
      </c>
      <c r="W26" s="10" t="str">
        <f>name!D22</f>
        <v>62 Leisure, travel and related personal service occupations</v>
      </c>
      <c r="X26" s="11">
        <v>33.848880254291508</v>
      </c>
      <c r="Y26" s="11">
        <v>44.408656640847369</v>
      </c>
      <c r="Z26" s="11">
        <v>41.921551507002079</v>
      </c>
      <c r="AA26" s="11">
        <v>41.754420698291419</v>
      </c>
      <c r="AB26" s="11">
        <v>41.740820208565474</v>
      </c>
      <c r="AC26" s="11"/>
      <c r="AD26" s="11">
        <f t="shared" si="4"/>
        <v>-0.18073129843660496</v>
      </c>
      <c r="AE26" s="11">
        <f>'RD T1'!T54</f>
        <v>22.429419050337636</v>
      </c>
      <c r="AF26" s="11">
        <f t="shared" si="7"/>
        <v>22.248687751901031</v>
      </c>
    </row>
    <row r="27" spans="1:32" x14ac:dyDescent="0.2">
      <c r="A27" s="10" t="str">
        <f>name!D23</f>
        <v>63 Community and civil enforcement occupations</v>
      </c>
      <c r="B27" s="11">
        <v>2.3956029275567663</v>
      </c>
      <c r="C27" s="11">
        <v>1.9680798281533916</v>
      </c>
      <c r="D27" s="11">
        <v>2.5528718101472609</v>
      </c>
      <c r="E27" s="11">
        <v>2.1022358640882035</v>
      </c>
      <c r="F27" s="11">
        <v>2.3328235735043159</v>
      </c>
      <c r="G27" s="11"/>
      <c r="H27" s="11">
        <f t="shared" si="2"/>
        <v>-0.22004823664294504</v>
      </c>
      <c r="I27" s="11">
        <f>'RD T1'!E26</f>
        <v>0.997400338098971</v>
      </c>
      <c r="J27" s="11">
        <f t="shared" si="5"/>
        <v>0.77735210145602596</v>
      </c>
      <c r="L27" s="10" t="str">
        <f>name!D23</f>
        <v>63 Community and civil enforcement occupations</v>
      </c>
      <c r="M27" s="11">
        <v>1.9580906299336531</v>
      </c>
      <c r="N27" s="11">
        <v>1.4331060852176793</v>
      </c>
      <c r="O27" s="11">
        <v>2.074908611724871</v>
      </c>
      <c r="P27" s="11">
        <v>1.4694358423425893</v>
      </c>
      <c r="Q27" s="11">
        <v>1.7087817014103241</v>
      </c>
      <c r="R27" s="11"/>
      <c r="S27" s="11">
        <f t="shared" si="3"/>
        <v>-0.36612691031454681</v>
      </c>
      <c r="T27" s="11">
        <f>'RD T1'!T26</f>
        <v>0.6350231952491987</v>
      </c>
      <c r="U27" s="11">
        <f t="shared" si="6"/>
        <v>0.2688962849346519</v>
      </c>
      <c r="W27" s="10" t="str">
        <f>name!D23</f>
        <v>63 Community and civil enforcement occupations</v>
      </c>
      <c r="X27" s="11">
        <v>0.43751229762310562</v>
      </c>
      <c r="Y27" s="11">
        <v>0.53497374293571032</v>
      </c>
      <c r="Z27" s="11">
        <v>0.47796319842238649</v>
      </c>
      <c r="AA27" s="11">
        <v>0.63280002174561756</v>
      </c>
      <c r="AB27" s="11">
        <v>0.62404187209398865</v>
      </c>
      <c r="AC27" s="11"/>
      <c r="AD27" s="11">
        <f t="shared" si="4"/>
        <v>0.14607867367160215</v>
      </c>
      <c r="AE27" s="11">
        <f>'RD T1'!T55</f>
        <v>0.36237714284977229</v>
      </c>
      <c r="AF27" s="11">
        <f t="shared" si="7"/>
        <v>0.50845581652137439</v>
      </c>
    </row>
    <row r="28" spans="1:32" x14ac:dyDescent="0.2">
      <c r="A28" s="10" t="str">
        <f>name!D24</f>
        <v>71 Sales occupations</v>
      </c>
      <c r="B28" s="11">
        <v>173.30397212646142</v>
      </c>
      <c r="C28" s="11">
        <v>163.81103916015377</v>
      </c>
      <c r="D28" s="11">
        <v>158.17137533328778</v>
      </c>
      <c r="E28" s="11">
        <v>147.19149086294414</v>
      </c>
      <c r="F28" s="11">
        <v>139.15870740517505</v>
      </c>
      <c r="G28" s="11"/>
      <c r="H28" s="11">
        <f t="shared" si="2"/>
        <v>-19.012667928112734</v>
      </c>
      <c r="I28" s="11">
        <f>'RD T1'!E27</f>
        <v>68.259968488386491</v>
      </c>
      <c r="J28" s="11">
        <f t="shared" si="5"/>
        <v>49.247300560273757</v>
      </c>
      <c r="L28" s="10" t="str">
        <f>name!D24</f>
        <v>71 Sales occupations</v>
      </c>
      <c r="M28" s="11">
        <v>62.932369114855241</v>
      </c>
      <c r="N28" s="11">
        <v>61.451253169412503</v>
      </c>
      <c r="O28" s="11">
        <v>60.66728495009724</v>
      </c>
      <c r="P28" s="11">
        <v>56.684414328216477</v>
      </c>
      <c r="Q28" s="11">
        <v>54.753923860133646</v>
      </c>
      <c r="R28" s="11"/>
      <c r="S28" s="11">
        <f t="shared" si="3"/>
        <v>-5.913361089963594</v>
      </c>
      <c r="T28" s="11">
        <f>'RD T1'!T27</f>
        <v>18.586880248438348</v>
      </c>
      <c r="U28" s="11">
        <f t="shared" si="6"/>
        <v>12.673519158474754</v>
      </c>
      <c r="W28" s="10" t="str">
        <f>name!D24</f>
        <v>71 Sales occupations</v>
      </c>
      <c r="X28" s="11">
        <v>110.37160301160536</v>
      </c>
      <c r="Y28" s="11">
        <v>102.35978599074166</v>
      </c>
      <c r="Z28" s="11">
        <v>97.504090383190203</v>
      </c>
      <c r="AA28" s="11">
        <v>90.507076534727588</v>
      </c>
      <c r="AB28" s="11">
        <v>84.404783545041496</v>
      </c>
      <c r="AC28" s="11"/>
      <c r="AD28" s="11">
        <f t="shared" si="4"/>
        <v>-13.099306838148706</v>
      </c>
      <c r="AE28" s="11">
        <f>'RD T1'!T56</f>
        <v>49.673088239948157</v>
      </c>
      <c r="AF28" s="11">
        <f t="shared" si="7"/>
        <v>36.573781401799451</v>
      </c>
    </row>
    <row r="29" spans="1:32" x14ac:dyDescent="0.2">
      <c r="A29" s="10" t="str">
        <f>name!D25</f>
        <v>72 Customer service occupations</v>
      </c>
      <c r="B29" s="11">
        <v>36.274357680061875</v>
      </c>
      <c r="C29" s="11">
        <v>38.932889286731253</v>
      </c>
      <c r="D29" s="11">
        <v>40.010730312229803</v>
      </c>
      <c r="E29" s="11">
        <v>51.064626595414765</v>
      </c>
      <c r="F29" s="11">
        <v>57.872333438169207</v>
      </c>
      <c r="G29" s="11"/>
      <c r="H29" s="11">
        <f t="shared" si="2"/>
        <v>17.861603125939403</v>
      </c>
      <c r="I29" s="11">
        <f>'RD T1'!E28</f>
        <v>24.576076078873729</v>
      </c>
      <c r="J29" s="11">
        <f t="shared" si="5"/>
        <v>42.437679204813136</v>
      </c>
      <c r="L29" s="10" t="str">
        <f>name!D25</f>
        <v>72 Customer service occupations</v>
      </c>
      <c r="M29" s="11">
        <v>12.00587690607736</v>
      </c>
      <c r="N29" s="11">
        <v>11.023081854670346</v>
      </c>
      <c r="O29" s="11">
        <v>13.208840958383709</v>
      </c>
      <c r="P29" s="11">
        <v>18.042801443420192</v>
      </c>
      <c r="Q29" s="11">
        <v>20.668052153204229</v>
      </c>
      <c r="R29" s="11"/>
      <c r="S29" s="11">
        <f t="shared" si="3"/>
        <v>7.4592111948205204</v>
      </c>
      <c r="T29" s="11">
        <f>'RD T1'!T28</f>
        <v>6.160911915572747</v>
      </c>
      <c r="U29" s="11">
        <f t="shared" si="6"/>
        <v>13.620123110393267</v>
      </c>
      <c r="W29" s="10" t="str">
        <f>name!D25</f>
        <v>72 Customer service occupations</v>
      </c>
      <c r="X29" s="11">
        <v>24.268480773984553</v>
      </c>
      <c r="Y29" s="11">
        <v>27.909807432060852</v>
      </c>
      <c r="Z29" s="11">
        <v>26.801889353846089</v>
      </c>
      <c r="AA29" s="11">
        <v>33.021825151994648</v>
      </c>
      <c r="AB29" s="11">
        <v>37.204281284964942</v>
      </c>
      <c r="AC29" s="11"/>
      <c r="AD29" s="11">
        <f t="shared" si="4"/>
        <v>10.402391931118853</v>
      </c>
      <c r="AE29" s="11">
        <f>'RD T1'!T57</f>
        <v>18.415164163300989</v>
      </c>
      <c r="AF29" s="11">
        <f t="shared" si="7"/>
        <v>28.817556094419842</v>
      </c>
    </row>
    <row r="30" spans="1:32" x14ac:dyDescent="0.2">
      <c r="A30" s="10" t="str">
        <f>name!D26</f>
        <v>81 Process, plant and machine operatives</v>
      </c>
      <c r="B30" s="11">
        <v>96.336507305577143</v>
      </c>
      <c r="C30" s="11">
        <v>95.330232078847629</v>
      </c>
      <c r="D30" s="11">
        <v>82.980962009601029</v>
      </c>
      <c r="E30" s="11">
        <v>100.06163022108568</v>
      </c>
      <c r="F30" s="11">
        <v>98.631893755663725</v>
      </c>
      <c r="G30" s="11"/>
      <c r="H30" s="11">
        <f t="shared" si="2"/>
        <v>15.650931746062696</v>
      </c>
      <c r="I30" s="11">
        <f>'RD T1'!E29</f>
        <v>38.791753283273465</v>
      </c>
      <c r="J30" s="11">
        <f t="shared" si="5"/>
        <v>54.442685029336161</v>
      </c>
      <c r="L30" s="10" t="str">
        <f>name!D26</f>
        <v>81 Process, plant and machine operatives</v>
      </c>
      <c r="M30" s="11">
        <v>72.86538913578822</v>
      </c>
      <c r="N30" s="11">
        <v>69.951977529617679</v>
      </c>
      <c r="O30" s="11">
        <v>62.455900666135868</v>
      </c>
      <c r="P30" s="11">
        <v>73.882263636954107</v>
      </c>
      <c r="Q30" s="11">
        <v>70.60322088739909</v>
      </c>
      <c r="R30" s="11"/>
      <c r="S30" s="11">
        <f t="shared" si="3"/>
        <v>8.1473202212632216</v>
      </c>
      <c r="T30" s="11">
        <f>'RD T1'!T29</f>
        <v>26.249039531737338</v>
      </c>
      <c r="U30" s="11">
        <f t="shared" si="6"/>
        <v>34.39635975300056</v>
      </c>
      <c r="W30" s="10" t="str">
        <f>name!D26</f>
        <v>81 Process, plant and machine operatives</v>
      </c>
      <c r="X30" s="11">
        <v>23.471118169788657</v>
      </c>
      <c r="Y30" s="11">
        <v>25.378254549229929</v>
      </c>
      <c r="Z30" s="11">
        <v>20.525061343465303</v>
      </c>
      <c r="AA30" s="11">
        <v>26.1793665841316</v>
      </c>
      <c r="AB30" s="11">
        <v>28.028672868264309</v>
      </c>
      <c r="AC30" s="11"/>
      <c r="AD30" s="11">
        <f t="shared" si="4"/>
        <v>7.5036115247990054</v>
      </c>
      <c r="AE30" s="11">
        <f>'RD T1'!T58</f>
        <v>12.542713751536105</v>
      </c>
      <c r="AF30" s="11">
        <f t="shared" si="7"/>
        <v>20.046325276335111</v>
      </c>
    </row>
    <row r="31" spans="1:32" x14ac:dyDescent="0.2">
      <c r="A31" s="10" t="str">
        <f>name!D27</f>
        <v>82 Transport and mobile machine drivers and operatives</v>
      </c>
      <c r="B31" s="11">
        <v>92.950932183114759</v>
      </c>
      <c r="C31" s="11">
        <v>104.74957701243308</v>
      </c>
      <c r="D31" s="11">
        <v>105.1667392966642</v>
      </c>
      <c r="E31" s="11">
        <v>109.66622761400357</v>
      </c>
      <c r="F31" s="11">
        <v>107.55840657020045</v>
      </c>
      <c r="G31" s="11"/>
      <c r="H31" s="11">
        <f t="shared" si="2"/>
        <v>2.3916672735362425</v>
      </c>
      <c r="I31" s="11">
        <f>'RD T1'!E30</f>
        <v>57.300323155683941</v>
      </c>
      <c r="J31" s="11">
        <f t="shared" si="5"/>
        <v>59.691990429220184</v>
      </c>
      <c r="L31" s="10" t="str">
        <f>name!D27</f>
        <v>82 Transport and mobile machine drivers and operatives</v>
      </c>
      <c r="M31" s="11">
        <v>88.266925561864383</v>
      </c>
      <c r="N31" s="11">
        <v>99.327102218697163</v>
      </c>
      <c r="O31" s="11">
        <v>99.866578096541502</v>
      </c>
      <c r="P31" s="11">
        <v>102.15903436473926</v>
      </c>
      <c r="Q31" s="11">
        <v>99.233680551748591</v>
      </c>
      <c r="R31" s="11"/>
      <c r="S31" s="11">
        <f t="shared" si="3"/>
        <v>-0.63289754479291105</v>
      </c>
      <c r="T31" s="11">
        <f>'RD T1'!T30</f>
        <v>52.655739246539611</v>
      </c>
      <c r="U31" s="11">
        <f t="shared" si="6"/>
        <v>52.0228417017467</v>
      </c>
      <c r="W31" s="10" t="str">
        <f>name!D27</f>
        <v>82 Transport and mobile machine drivers and operatives</v>
      </c>
      <c r="X31" s="11">
        <v>4.6840066212506333</v>
      </c>
      <c r="Y31" s="11">
        <v>5.422474793735943</v>
      </c>
      <c r="Z31" s="11">
        <v>5.3001612001227141</v>
      </c>
      <c r="AA31" s="11">
        <v>7.5071932492638389</v>
      </c>
      <c r="AB31" s="11">
        <v>8.3247260184519316</v>
      </c>
      <c r="AC31" s="11"/>
      <c r="AD31" s="11">
        <f t="shared" si="4"/>
        <v>3.0245648183292175</v>
      </c>
      <c r="AE31" s="11">
        <f>'RD T1'!T59</f>
        <v>4.6445839091443233</v>
      </c>
      <c r="AF31" s="11">
        <f t="shared" si="7"/>
        <v>7.6691487274735408</v>
      </c>
    </row>
    <row r="32" spans="1:32" x14ac:dyDescent="0.2">
      <c r="A32" s="10" t="str">
        <f>name!D28</f>
        <v>91 Elementary trades and related occupations</v>
      </c>
      <c r="B32" s="11">
        <v>52.251811311873347</v>
      </c>
      <c r="C32" s="11">
        <v>48.014879756415723</v>
      </c>
      <c r="D32" s="11">
        <v>44.433630888629324</v>
      </c>
      <c r="E32" s="11">
        <v>37.359177856192218</v>
      </c>
      <c r="F32" s="11">
        <v>34.841715927373706</v>
      </c>
      <c r="G32" s="11"/>
      <c r="H32" s="11">
        <f t="shared" si="2"/>
        <v>-9.5919149612556183</v>
      </c>
      <c r="I32" s="11">
        <f>'RD T1'!E31</f>
        <v>15.137592653025754</v>
      </c>
      <c r="J32" s="11">
        <f t="shared" si="5"/>
        <v>5.5456776917701358</v>
      </c>
      <c r="L32" s="10" t="str">
        <f>name!D28</f>
        <v>91 Elementary trades and related occupations</v>
      </c>
      <c r="M32" s="11">
        <v>38.340440423440072</v>
      </c>
      <c r="N32" s="11">
        <v>34.596802071016675</v>
      </c>
      <c r="O32" s="11">
        <v>33.996751263540361</v>
      </c>
      <c r="P32" s="11">
        <v>28.25025747594211</v>
      </c>
      <c r="Q32" s="11">
        <v>26.060432656740023</v>
      </c>
      <c r="R32" s="11"/>
      <c r="S32" s="11">
        <f t="shared" si="3"/>
        <v>-7.936318606800338</v>
      </c>
      <c r="T32" s="11">
        <f>'RD T1'!T31</f>
        <v>9.3539142369588504</v>
      </c>
      <c r="U32" s="11">
        <f t="shared" si="6"/>
        <v>1.4175956301585124</v>
      </c>
      <c r="W32" s="10" t="str">
        <f>name!D28</f>
        <v>91 Elementary trades and related occupations</v>
      </c>
      <c r="X32" s="11">
        <v>13.911370888433424</v>
      </c>
      <c r="Y32" s="11">
        <v>13.418077685399052</v>
      </c>
      <c r="Z32" s="11">
        <v>10.436879625088894</v>
      </c>
      <c r="AA32" s="11">
        <v>9.1089203802501277</v>
      </c>
      <c r="AB32" s="11">
        <v>8.7812832706338337</v>
      </c>
      <c r="AC32" s="11"/>
      <c r="AD32" s="11">
        <f t="shared" si="4"/>
        <v>-1.65559635445506</v>
      </c>
      <c r="AE32" s="11">
        <f>'RD T1'!T60</f>
        <v>5.7836784160669001</v>
      </c>
      <c r="AF32" s="11">
        <f t="shared" si="7"/>
        <v>4.1280820616118401</v>
      </c>
    </row>
    <row r="33" spans="1:32" x14ac:dyDescent="0.2">
      <c r="A33" s="10" t="str">
        <f>name!D29</f>
        <v>92 Elementary administration and service occupations</v>
      </c>
      <c r="B33" s="11">
        <v>229.78267131417977</v>
      </c>
      <c r="C33" s="11">
        <v>220.91049410882496</v>
      </c>
      <c r="D33" s="11">
        <v>205.55814968015667</v>
      </c>
      <c r="E33" s="11">
        <v>205.50057562361812</v>
      </c>
      <c r="F33" s="11">
        <v>192.09940795604413</v>
      </c>
      <c r="G33" s="11"/>
      <c r="H33" s="11">
        <f t="shared" ref="H33" si="8">F33-D33</f>
        <v>-13.458741724112542</v>
      </c>
      <c r="I33" s="11">
        <f>'RD T1'!E32</f>
        <v>94.289117357264175</v>
      </c>
      <c r="J33" s="11">
        <f>SUM(H33:I33)</f>
        <v>80.830375633151633</v>
      </c>
      <c r="L33" s="10" t="str">
        <f>name!D29</f>
        <v>92 Elementary administration and service occupations</v>
      </c>
      <c r="M33" s="11">
        <v>120.2348841355231</v>
      </c>
      <c r="N33" s="11">
        <v>107.73287828852</v>
      </c>
      <c r="O33" s="11">
        <v>103.62165142496671</v>
      </c>
      <c r="P33" s="11">
        <v>108.63711570431265</v>
      </c>
      <c r="Q33" s="11">
        <v>100.82760361559873</v>
      </c>
      <c r="R33" s="11"/>
      <c r="S33" s="11">
        <f t="shared" ref="S33" si="9">Q33-O33</f>
        <v>-2.7940478093679815</v>
      </c>
      <c r="T33" s="11">
        <f>'RD T1'!T32</f>
        <v>41.497831838909384</v>
      </c>
      <c r="U33" s="11">
        <f>SUM(S33:T33)</f>
        <v>38.703784029541403</v>
      </c>
      <c r="W33" s="10" t="str">
        <f>name!D29</f>
        <v>92 Elementary administration and service occupations</v>
      </c>
      <c r="X33" s="11">
        <v>109.5477871786568</v>
      </c>
      <c r="Y33" s="11">
        <v>113.17761582030495</v>
      </c>
      <c r="Z33" s="11">
        <v>101.93649825519061</v>
      </c>
      <c r="AA33" s="11">
        <v>96.863459919304873</v>
      </c>
      <c r="AB33" s="11">
        <v>91.271804340445513</v>
      </c>
      <c r="AC33" s="11"/>
      <c r="AD33" s="11">
        <f t="shared" ref="AD33" si="10">AB33-Z33</f>
        <v>-10.664693914745101</v>
      </c>
      <c r="AE33" s="11">
        <f>'RD T1'!T61</f>
        <v>52.791285518354762</v>
      </c>
      <c r="AF33" s="11">
        <f>SUM(AD33:AE33)</f>
        <v>42.126591603609661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3">
        <f>SUM(B8:B33)</f>
        <v>2274.4909999992287</v>
      </c>
      <c r="C35" s="33">
        <f t="shared" ref="C35:F35" si="11">SUM(C8:C33)</f>
        <v>2405.3839999988058</v>
      </c>
      <c r="D35" s="33">
        <f t="shared" si="11"/>
        <v>2404.2379999983373</v>
      </c>
      <c r="E35" s="33">
        <f t="shared" si="11"/>
        <v>2442.8000000047</v>
      </c>
      <c r="F35" s="33">
        <f t="shared" si="11"/>
        <v>2510.6939999992719</v>
      </c>
      <c r="G35" s="11"/>
      <c r="H35" s="33">
        <f>F35-D35</f>
        <v>106.45600000093464</v>
      </c>
      <c r="I35" s="33">
        <f>SUM(I8:I33)</f>
        <v>1171.8287661434322</v>
      </c>
      <c r="J35" s="33">
        <f>SUM(J8:J33)</f>
        <v>1278.2847661443668</v>
      </c>
      <c r="L35" s="231" t="str">
        <f>name!D3</f>
        <v>All occupations</v>
      </c>
      <c r="M35" s="33">
        <f>SUM(M8:M33)</f>
        <v>1213.5149999998519</v>
      </c>
      <c r="N35" s="33">
        <f t="shared" ref="N35:P35" si="12">SUM(N8:N33)</f>
        <v>1250.4389999999846</v>
      </c>
      <c r="O35" s="33">
        <f t="shared" si="12"/>
        <v>1262.591999999117</v>
      </c>
      <c r="P35" s="33">
        <f t="shared" si="12"/>
        <v>1276.8599999999924</v>
      </c>
      <c r="Q35" s="33">
        <f>SUM(Q8:Q33)</f>
        <v>1300.4009999998568</v>
      </c>
      <c r="R35" s="11"/>
      <c r="S35" s="33">
        <f>Q35-O35</f>
        <v>37.809000000739843</v>
      </c>
      <c r="T35" s="33">
        <f>SUM(T8:T33)</f>
        <v>514.82360325134709</v>
      </c>
      <c r="U35" s="33">
        <f>SUM(U8:U33)</f>
        <v>552.63260325208694</v>
      </c>
      <c r="W35" s="231" t="str">
        <f>name!D3</f>
        <v>All occupations</v>
      </c>
      <c r="X35" s="33">
        <f>SUM(X8:X33)</f>
        <v>1060.9759999993769</v>
      </c>
      <c r="Y35" s="33">
        <f t="shared" ref="Y35:AB35" si="13">SUM(Y8:Y33)</f>
        <v>1154.944999998821</v>
      </c>
      <c r="Z35" s="33">
        <f t="shared" si="13"/>
        <v>1141.6459999992212</v>
      </c>
      <c r="AA35" s="33">
        <f t="shared" si="13"/>
        <v>1165.9400000047083</v>
      </c>
      <c r="AB35" s="33">
        <f t="shared" si="13"/>
        <v>1210.2929999994133</v>
      </c>
      <c r="AC35" s="11"/>
      <c r="AD35" s="33">
        <f>AB35-Z35</f>
        <v>68.647000000192065</v>
      </c>
      <c r="AE35" s="33">
        <f>SUM(AE8:AE33)</f>
        <v>657.00516289208554</v>
      </c>
      <c r="AF35" s="33">
        <f>SUM(AF8:AF33)</f>
        <v>725.65216289227737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8" t="str">
        <f>CONCATENATE(A$1," (Continued)")</f>
        <v>Occupation Table 2  Employment Change by Occupation (SOC 2020) and Replacement Demand, 2015-2035, East Midlands (Continued)</v>
      </c>
      <c r="L38" s="18" t="str">
        <f>CONCATENATE(L$1," (Continued)")</f>
        <v>Occupation Table 2.1  Males: Employment Change by Occupation (SOC 2020) and Replacement Demand, 2015-2035, East Midlands (Continued)</v>
      </c>
      <c r="W38" s="18" t="str">
        <f>CONCATENATE(W$1," (Continued)")</f>
        <v>Occupation Table 2.2  Females: Employment Change by Occupation (SOC 2020) and Replacement Demand, 2015-2035, East Midlands (Continued)</v>
      </c>
    </row>
    <row r="40" spans="1:32" x14ac:dyDescent="0.2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</row>
    <row r="41" spans="1:32" x14ac:dyDescent="0.2">
      <c r="A41" s="35"/>
      <c r="B41" s="35"/>
      <c r="C41" s="35"/>
      <c r="D41" s="35"/>
      <c r="E41" s="35"/>
      <c r="F41" s="35"/>
      <c r="H41" s="98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98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98" t="str">
        <f>$H$4</f>
        <v>2020-2035</v>
      </c>
      <c r="AE41" s="35"/>
      <c r="AF41" s="35"/>
    </row>
    <row r="42" spans="1:32" x14ac:dyDescent="0.2">
      <c r="H42" s="15" t="str">
        <f t="shared" ref="H42:J43" si="14">H5</f>
        <v>Net</v>
      </c>
      <c r="I42" s="15" t="str">
        <f t="shared" si="14"/>
        <v>Replacement</v>
      </c>
      <c r="J42" s="15" t="str">
        <f t="shared" si="14"/>
        <v>Total</v>
      </c>
      <c r="S42" s="15" t="str">
        <f t="shared" ref="S42:U42" si="15">S5</f>
        <v>Net</v>
      </c>
      <c r="T42" s="15" t="str">
        <f t="shared" si="15"/>
        <v>Replacement</v>
      </c>
      <c r="U42" s="15" t="str">
        <f t="shared" si="15"/>
        <v>Total</v>
      </c>
      <c r="AD42" s="15" t="str">
        <f t="shared" ref="AD42:AF42" si="16">AD5</f>
        <v>Net</v>
      </c>
      <c r="AE42" s="15" t="str">
        <f t="shared" si="16"/>
        <v>Replacement</v>
      </c>
      <c r="AF42" s="15" t="str">
        <f t="shared" si="16"/>
        <v>Total</v>
      </c>
    </row>
    <row r="43" spans="1:32" x14ac:dyDescent="0.2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14"/>
        <v>Change</v>
      </c>
      <c r="I43" s="62" t="str">
        <f t="shared" si="14"/>
        <v>Demand</v>
      </c>
      <c r="J43" s="62" t="str">
        <f t="shared" si="14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ref="S43:U43" si="17">S6</f>
        <v>Change</v>
      </c>
      <c r="T43" s="62" t="str">
        <f t="shared" si="17"/>
        <v>Demand</v>
      </c>
      <c r="U43" s="62" t="str">
        <f t="shared" si="1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ref="AD43:AF43" si="18">AD6</f>
        <v>Change</v>
      </c>
      <c r="AE43" s="62" t="str">
        <f t="shared" si="18"/>
        <v>Demand</v>
      </c>
      <c r="AF43" s="62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2">
        <f t="shared" ref="B45:F54" si="20">B8/B$35*100</f>
        <v>6.316052956915021</v>
      </c>
      <c r="C45" s="172">
        <f t="shared" si="20"/>
        <v>7.2428885476590628</v>
      </c>
      <c r="D45" s="172">
        <f t="shared" si="20"/>
        <v>7.5395321704953915</v>
      </c>
      <c r="E45" s="172">
        <f t="shared" si="20"/>
        <v>6.8671221512811274</v>
      </c>
      <c r="F45" s="172">
        <f t="shared" si="20"/>
        <v>7.2855680968112821</v>
      </c>
      <c r="H45" s="67">
        <f t="shared" ref="H45:H70" si="21">IF(D8&gt;0,(H8/D8)*100,0)</f>
        <v>0.91026595958931189</v>
      </c>
      <c r="I45" s="68">
        <f t="shared" ref="I45:I70" si="22">IF(D8&gt;0,I8/D8*100,0)</f>
        <v>48.44245942976714</v>
      </c>
      <c r="J45" s="68">
        <f t="shared" ref="J45:J70" si="23">IF(D8&gt;0,(J8/D8)*100,0)</f>
        <v>49.352725389356451</v>
      </c>
      <c r="L45" t="str">
        <f t="shared" ref="L45:L70" si="24">L8</f>
        <v>11 Corporate managers and directors</v>
      </c>
      <c r="M45" s="172">
        <f t="shared" ref="M45:Q45" si="25">M8/M$35*100</f>
        <v>8.5672761351773978</v>
      </c>
      <c r="N45" s="172">
        <f t="shared" si="25"/>
        <v>9.6068432825354897</v>
      </c>
      <c r="O45" s="172">
        <f t="shared" si="25"/>
        <v>9.9503192457014293</v>
      </c>
      <c r="P45" s="172">
        <f t="shared" si="25"/>
        <v>8.8480784340502296</v>
      </c>
      <c r="Q45" s="172">
        <f t="shared" si="25"/>
        <v>9.1050059826788505</v>
      </c>
      <c r="S45" s="67">
        <f t="shared" ref="S45:S70" si="26">IF(O8&gt;0,(S8/O8)*100,0)</f>
        <v>-5.7551815428128457</v>
      </c>
      <c r="T45" s="68">
        <f t="shared" ref="T45:T70" si="27">IF(O8&gt;0,T8/O8*100,0)</f>
        <v>42.89034119332657</v>
      </c>
      <c r="U45" s="68">
        <f t="shared" ref="U45:U70" si="28">IF(O8&gt;0,(U8/O8)*100,0)</f>
        <v>37.135159650513728</v>
      </c>
      <c r="W45" t="str">
        <f t="shared" ref="W45:W70" si="29">W8</f>
        <v>11 Corporate managers and directors</v>
      </c>
      <c r="X45" s="172">
        <f t="shared" ref="X45:AB45" si="30">X8/X$35*100</f>
        <v>3.7411661591266276</v>
      </c>
      <c r="Y45" s="172">
        <f t="shared" si="30"/>
        <v>4.6834755931658547</v>
      </c>
      <c r="Z45" s="172">
        <f t="shared" si="30"/>
        <v>4.8733462644803254</v>
      </c>
      <c r="AA45" s="172">
        <f t="shared" si="30"/>
        <v>4.6977104841230783</v>
      </c>
      <c r="AB45" s="172">
        <f t="shared" si="30"/>
        <v>5.3306705255446891</v>
      </c>
      <c r="AD45" s="67">
        <f t="shared" ref="AD45:AD70" si="31">IF(Z8&gt;0,(AD8/Z8)*100,0)</f>
        <v>15.961448770298436</v>
      </c>
      <c r="AE45" s="68">
        <f t="shared" ref="AE45:AE70" si="32">IF(Z8&gt;0,AE8/Z8*100,0)</f>
        <v>60.979644147406077</v>
      </c>
      <c r="AF45" s="68">
        <f t="shared" ref="AF45:AF70" si="33">IF(Z8&gt;0,(AF8/Z8)*100,0)</f>
        <v>76.941092917704509</v>
      </c>
    </row>
    <row r="46" spans="1:32" x14ac:dyDescent="0.2">
      <c r="A46" t="str">
        <f t="shared" si="19"/>
        <v>12 Other managers and proprietors</v>
      </c>
      <c r="B46" s="172">
        <f t="shared" si="20"/>
        <v>3.0472264105067532</v>
      </c>
      <c r="C46" s="172">
        <f t="shared" si="20"/>
        <v>3.2088262832000773</v>
      </c>
      <c r="D46" s="172">
        <f t="shared" si="20"/>
        <v>3.3412099984180745</v>
      </c>
      <c r="E46" s="172">
        <f t="shared" si="20"/>
        <v>4.0479377724746533</v>
      </c>
      <c r="F46" s="172">
        <f t="shared" si="20"/>
        <v>4.5178054073780869</v>
      </c>
      <c r="H46" s="67">
        <f t="shared" si="21"/>
        <v>41.201749010066855</v>
      </c>
      <c r="I46" s="68">
        <f t="shared" si="22"/>
        <v>67.85861707566248</v>
      </c>
      <c r="J46" s="68">
        <f t="shared" si="23"/>
        <v>109.06036608572936</v>
      </c>
      <c r="L46" t="str">
        <f t="shared" si="24"/>
        <v>12 Other managers and proprietors</v>
      </c>
      <c r="M46" s="172">
        <f t="shared" ref="M46:Q46" si="34">M9/M$35*100</f>
        <v>3.6698793325745318</v>
      </c>
      <c r="N46" s="172">
        <f t="shared" si="34"/>
        <v>3.8526046161854741</v>
      </c>
      <c r="O46" s="172">
        <f t="shared" si="34"/>
        <v>4.0656181843163646</v>
      </c>
      <c r="P46" s="172">
        <f t="shared" si="34"/>
        <v>5.1104530702218742</v>
      </c>
      <c r="Q46" s="172">
        <f t="shared" si="34"/>
        <v>5.7545947973714577</v>
      </c>
      <c r="S46" s="67">
        <f t="shared" si="26"/>
        <v>45.78150187326068</v>
      </c>
      <c r="T46" s="68">
        <f t="shared" si="27"/>
        <v>63.699273540785228</v>
      </c>
      <c r="U46" s="68">
        <f t="shared" si="28"/>
        <v>109.48077541404592</v>
      </c>
      <c r="W46" t="str">
        <f t="shared" si="29"/>
        <v>12 Other managers and proprietors</v>
      </c>
      <c r="X46" s="172">
        <f t="shared" ref="X46:AB46" si="35">X9/X$35*100</f>
        <v>2.3350532221184888</v>
      </c>
      <c r="Y46" s="172">
        <f t="shared" si="35"/>
        <v>2.511818603249321</v>
      </c>
      <c r="Z46" s="172">
        <f t="shared" si="35"/>
        <v>2.5400579948638549</v>
      </c>
      <c r="AA46" s="172">
        <f t="shared" si="35"/>
        <v>2.8843416328139351</v>
      </c>
      <c r="AB46" s="172">
        <f t="shared" si="35"/>
        <v>3.1889353242351195</v>
      </c>
      <c r="AD46" s="67">
        <f t="shared" si="31"/>
        <v>33.094816187007496</v>
      </c>
      <c r="AE46" s="68">
        <f t="shared" si="32"/>
        <v>75.221354680188256</v>
      </c>
      <c r="AF46" s="68">
        <f t="shared" si="33"/>
        <v>108.31617086719574</v>
      </c>
    </row>
    <row r="47" spans="1:32" x14ac:dyDescent="0.2">
      <c r="A47" t="str">
        <f t="shared" si="19"/>
        <v>21 Science, research, engineering and technology professionals</v>
      </c>
      <c r="B47" s="172">
        <f t="shared" si="20"/>
        <v>5.1956023906565711</v>
      </c>
      <c r="C47" s="172">
        <f t="shared" si="20"/>
        <v>5.7924011261559576</v>
      </c>
      <c r="D47" s="172">
        <f t="shared" si="20"/>
        <v>6.0789712980726325</v>
      </c>
      <c r="E47" s="172">
        <f t="shared" si="20"/>
        <v>6.3091305185858371</v>
      </c>
      <c r="F47" s="172">
        <f t="shared" si="20"/>
        <v>6.8439174961993334</v>
      </c>
      <c r="H47" s="67">
        <f t="shared" si="21"/>
        <v>17.568506212466559</v>
      </c>
      <c r="I47" s="68">
        <f t="shared" si="22"/>
        <v>39.704757416171013</v>
      </c>
      <c r="J47" s="68">
        <f t="shared" si="23"/>
        <v>57.273263628637572</v>
      </c>
      <c r="L47" t="str">
        <f t="shared" si="24"/>
        <v>21 Science, research, engineering and technology professionals</v>
      </c>
      <c r="M47" s="172">
        <f t="shared" ref="M47:Q47" si="36">M10/M$35*100</f>
        <v>8.147600298598249</v>
      </c>
      <c r="N47" s="172">
        <f t="shared" si="36"/>
        <v>9.3466087578712411</v>
      </c>
      <c r="O47" s="172">
        <f t="shared" si="36"/>
        <v>9.3647957270594926</v>
      </c>
      <c r="P47" s="172">
        <f t="shared" si="36"/>
        <v>9.4847315400286956</v>
      </c>
      <c r="Q47" s="172">
        <f t="shared" si="36"/>
        <v>10.161105057069838</v>
      </c>
      <c r="S47" s="67">
        <f t="shared" si="26"/>
        <v>11.752409194425564</v>
      </c>
      <c r="T47" s="68">
        <f t="shared" si="27"/>
        <v>34.299863618767276</v>
      </c>
      <c r="U47" s="68">
        <f t="shared" si="28"/>
        <v>46.052272813192843</v>
      </c>
      <c r="W47" t="str">
        <f t="shared" si="29"/>
        <v>21 Science, research, engineering and technology professionals</v>
      </c>
      <c r="X47" s="172">
        <f t="shared" ref="X47:AB47" si="37">X10/X$35*100</f>
        <v>1.8191888419452567</v>
      </c>
      <c r="Y47" s="172">
        <f t="shared" si="37"/>
        <v>1.9443219216926426</v>
      </c>
      <c r="Z47" s="172">
        <f t="shared" si="37"/>
        <v>2.445046563572328</v>
      </c>
      <c r="AA47" s="172">
        <f t="shared" si="37"/>
        <v>2.8314233293453008</v>
      </c>
      <c r="AB47" s="172">
        <f t="shared" si="37"/>
        <v>3.2797606999977775</v>
      </c>
      <c r="AD47" s="67">
        <f t="shared" si="31"/>
        <v>42.204744190779721</v>
      </c>
      <c r="AE47" s="68">
        <f t="shared" si="32"/>
        <v>62.59919150612955</v>
      </c>
      <c r="AF47" s="68">
        <f t="shared" si="33"/>
        <v>104.80393569690926</v>
      </c>
    </row>
    <row r="48" spans="1:32" x14ac:dyDescent="0.2">
      <c r="A48" t="str">
        <f t="shared" si="19"/>
        <v>22 Health professionals</v>
      </c>
      <c r="B48" s="172">
        <f t="shared" si="20"/>
        <v>3.7345274263441919</v>
      </c>
      <c r="C48" s="172">
        <f t="shared" si="20"/>
        <v>4.0645045919257221</v>
      </c>
      <c r="D48" s="172">
        <f t="shared" si="20"/>
        <v>4.0627179217852385</v>
      </c>
      <c r="E48" s="172">
        <f t="shared" si="20"/>
        <v>4.3043630053212034</v>
      </c>
      <c r="F48" s="172">
        <f t="shared" si="20"/>
        <v>4.5665875860567615</v>
      </c>
      <c r="H48" s="67">
        <f t="shared" si="21"/>
        <v>17.379282219193321</v>
      </c>
      <c r="I48" s="68">
        <f t="shared" si="22"/>
        <v>57.605021855532826</v>
      </c>
      <c r="J48" s="68">
        <f t="shared" si="23"/>
        <v>74.98430407472614</v>
      </c>
      <c r="L48" t="str">
        <f t="shared" si="24"/>
        <v>22 Health professionals</v>
      </c>
      <c r="M48" s="172">
        <f t="shared" ref="M48:Q48" si="38">M11/M$35*100</f>
        <v>1.8410339280569719</v>
      </c>
      <c r="N48" s="172">
        <f t="shared" si="38"/>
        <v>1.9182034438593205</v>
      </c>
      <c r="O48" s="172">
        <f t="shared" si="38"/>
        <v>2.1024154725773054</v>
      </c>
      <c r="P48" s="172">
        <f t="shared" si="38"/>
        <v>2.1817038961444437</v>
      </c>
      <c r="Q48" s="172">
        <f t="shared" si="38"/>
        <v>2.2959990970629134</v>
      </c>
      <c r="S48" s="67">
        <f t="shared" si="26"/>
        <v>12.477959855817387</v>
      </c>
      <c r="T48" s="68">
        <f t="shared" si="27"/>
        <v>40.518473182792555</v>
      </c>
      <c r="U48" s="68">
        <f t="shared" si="28"/>
        <v>52.99643303860995</v>
      </c>
      <c r="W48" t="str">
        <f t="shared" si="29"/>
        <v>22 Health professionals</v>
      </c>
      <c r="X48" s="172">
        <f t="shared" ref="X48:AB48" si="39">X11/X$35*100</f>
        <v>5.9002529117228431</v>
      </c>
      <c r="Y48" s="172">
        <f t="shared" si="39"/>
        <v>6.3882677679121995</v>
      </c>
      <c r="Z48" s="172">
        <f t="shared" si="39"/>
        <v>6.2306948515430856</v>
      </c>
      <c r="AA48" s="172">
        <f t="shared" si="39"/>
        <v>6.6289581904357613</v>
      </c>
      <c r="AB48" s="172">
        <f t="shared" si="39"/>
        <v>7.0062245513843422</v>
      </c>
      <c r="AD48" s="67">
        <f t="shared" si="31"/>
        <v>19.208337800630403</v>
      </c>
      <c r="AE48" s="68">
        <f t="shared" si="32"/>
        <v>63.981310722166583</v>
      </c>
      <c r="AF48" s="68">
        <f t="shared" si="33"/>
        <v>83.189648522796986</v>
      </c>
    </row>
    <row r="49" spans="1:32" x14ac:dyDescent="0.2">
      <c r="A49" t="str">
        <f t="shared" si="19"/>
        <v>23 Teaching and other educational professionals</v>
      </c>
      <c r="B49" s="172">
        <f t="shared" si="20"/>
        <v>3.6201832076141049</v>
      </c>
      <c r="C49" s="172">
        <f t="shared" si="20"/>
        <v>3.7201105413028621</v>
      </c>
      <c r="D49" s="172">
        <f t="shared" si="20"/>
        <v>3.8801847799307438</v>
      </c>
      <c r="E49" s="172">
        <f t="shared" si="20"/>
        <v>3.7949899428420224</v>
      </c>
      <c r="F49" s="172">
        <f t="shared" si="20"/>
        <v>3.8466020451973435</v>
      </c>
      <c r="H49" s="67">
        <f t="shared" si="21"/>
        <v>3.5240319220058138</v>
      </c>
      <c r="I49" s="68">
        <f t="shared" si="22"/>
        <v>48.803029416611267</v>
      </c>
      <c r="J49" s="68">
        <f t="shared" si="23"/>
        <v>52.327061338617085</v>
      </c>
      <c r="L49" t="str">
        <f t="shared" si="24"/>
        <v>23 Teaching and other educational professionals</v>
      </c>
      <c r="M49" s="172">
        <f t="shared" ref="M49:Q49" si="40">M12/M$35*100</f>
        <v>2.7566478045962195</v>
      </c>
      <c r="N49" s="172">
        <f t="shared" si="40"/>
        <v>2.6676944767031632</v>
      </c>
      <c r="O49" s="172">
        <f t="shared" si="40"/>
        <v>2.7705354254873678</v>
      </c>
      <c r="P49" s="172">
        <f t="shared" si="40"/>
        <v>2.8130371807626418</v>
      </c>
      <c r="Q49" s="172">
        <f t="shared" si="40"/>
        <v>2.8610923614479944</v>
      </c>
      <c r="S49" s="67">
        <f t="shared" si="26"/>
        <v>6.3610048735513773</v>
      </c>
      <c r="T49" s="68">
        <f t="shared" si="27"/>
        <v>43.42464229479954</v>
      </c>
      <c r="U49" s="68">
        <f t="shared" si="28"/>
        <v>49.785647168350913</v>
      </c>
      <c r="W49" t="str">
        <f t="shared" si="29"/>
        <v>23 Teaching and other educational professionals</v>
      </c>
      <c r="X49" s="172">
        <f t="shared" ref="X49:AB49" si="41">X12/X$35*100</f>
        <v>4.6078711144034497</v>
      </c>
      <c r="Y49" s="172">
        <f t="shared" si="41"/>
        <v>4.8595432341179361</v>
      </c>
      <c r="Z49" s="172">
        <f t="shared" si="41"/>
        <v>5.1073904091059292</v>
      </c>
      <c r="AA49" s="172">
        <f t="shared" si="41"/>
        <v>4.870359347600079</v>
      </c>
      <c r="AB49" s="172">
        <f t="shared" si="41"/>
        <v>4.9054842978897142</v>
      </c>
      <c r="AD49" s="67">
        <f t="shared" si="31"/>
        <v>1.8220638055127512</v>
      </c>
      <c r="AE49" s="68">
        <f t="shared" si="32"/>
        <v>52.029652847932041</v>
      </c>
      <c r="AF49" s="68">
        <f t="shared" si="33"/>
        <v>53.851716653444782</v>
      </c>
    </row>
    <row r="50" spans="1:32" x14ac:dyDescent="0.2">
      <c r="A50" t="str">
        <f t="shared" si="19"/>
        <v>24 Business, media and public service professionals</v>
      </c>
      <c r="B50" s="172">
        <f t="shared" si="20"/>
        <v>5.1029333458859041</v>
      </c>
      <c r="C50" s="172">
        <f t="shared" si="20"/>
        <v>5.8064509396931614</v>
      </c>
      <c r="D50" s="172">
        <f t="shared" si="20"/>
        <v>6.5874061634597956</v>
      </c>
      <c r="E50" s="172">
        <f t="shared" si="20"/>
        <v>7.2044010253183677</v>
      </c>
      <c r="F50" s="172">
        <f t="shared" si="20"/>
        <v>7.9190446083369723</v>
      </c>
      <c r="H50" s="67">
        <f t="shared" si="21"/>
        <v>25.537846727796033</v>
      </c>
      <c r="I50" s="68">
        <f t="shared" si="22"/>
        <v>54.963194775988143</v>
      </c>
      <c r="J50" s="68">
        <f t="shared" si="23"/>
        <v>80.50104150378418</v>
      </c>
      <c r="L50" t="str">
        <f t="shared" si="24"/>
        <v>24 Business, media and public service professionals</v>
      </c>
      <c r="M50" s="172">
        <f t="shared" ref="M50:Q50" si="42">M13/M$35*100</f>
        <v>5.6460081893725347</v>
      </c>
      <c r="N50" s="172">
        <f t="shared" si="42"/>
        <v>6.0924353598938605</v>
      </c>
      <c r="O50" s="172">
        <f t="shared" si="42"/>
        <v>6.7006043605054977</v>
      </c>
      <c r="P50" s="172">
        <f t="shared" si="42"/>
        <v>7.3753195331428074</v>
      </c>
      <c r="Q50" s="172">
        <f t="shared" si="42"/>
        <v>7.928233707767375</v>
      </c>
      <c r="S50" s="67">
        <f t="shared" si="26"/>
        <v>21.864364956413617</v>
      </c>
      <c r="T50" s="68">
        <f t="shared" si="27"/>
        <v>47.694616805872094</v>
      </c>
      <c r="U50" s="68">
        <f t="shared" si="28"/>
        <v>69.558981762285711</v>
      </c>
      <c r="W50" t="str">
        <f t="shared" si="29"/>
        <v>24 Business, media and public service professionals</v>
      </c>
      <c r="X50" s="172">
        <f t="shared" ref="X50:AB50" si="43">X13/X$35*100</f>
        <v>4.481779362483854</v>
      </c>
      <c r="Y50" s="172">
        <f t="shared" si="43"/>
        <v>5.4968205482790742</v>
      </c>
      <c r="Z50" s="172">
        <f t="shared" si="43"/>
        <v>6.4622157471623654</v>
      </c>
      <c r="AA50" s="172">
        <f t="shared" si="43"/>
        <v>7.017222434739212</v>
      </c>
      <c r="AB50" s="172">
        <f t="shared" si="43"/>
        <v>7.9091713676519477</v>
      </c>
      <c r="AD50" s="67">
        <f t="shared" si="31"/>
        <v>29.750366820576946</v>
      </c>
      <c r="AE50" s="68">
        <f t="shared" si="32"/>
        <v>63.298347269079422</v>
      </c>
      <c r="AF50" s="68">
        <f t="shared" si="33"/>
        <v>93.048714089656357</v>
      </c>
    </row>
    <row r="51" spans="1:32" x14ac:dyDescent="0.2">
      <c r="A51" t="str">
        <f t="shared" si="19"/>
        <v>31 Science, engineering and technology associate professionals</v>
      </c>
      <c r="B51" s="172">
        <f t="shared" si="20"/>
        <v>1.6218528725656118</v>
      </c>
      <c r="C51" s="172">
        <f t="shared" si="20"/>
        <v>1.8347610246182973</v>
      </c>
      <c r="D51" s="172">
        <f t="shared" si="20"/>
        <v>2.033760440846847</v>
      </c>
      <c r="E51" s="172">
        <f t="shared" si="20"/>
        <v>1.7363924405469986</v>
      </c>
      <c r="F51" s="172">
        <f t="shared" si="20"/>
        <v>1.7977883388785496</v>
      </c>
      <c r="H51" s="67">
        <f t="shared" si="21"/>
        <v>-7.6886523584081949</v>
      </c>
      <c r="I51" s="68">
        <f t="shared" si="22"/>
        <v>36.132753838281936</v>
      </c>
      <c r="J51" s="68">
        <f t="shared" si="23"/>
        <v>28.444101479873741</v>
      </c>
      <c r="L51" t="str">
        <f t="shared" si="24"/>
        <v>31 Science, engineering and technology associate professionals</v>
      </c>
      <c r="M51" s="172">
        <f t="shared" ref="M51:Q51" si="44">M14/M$35*100</f>
        <v>2.2838078428187685</v>
      </c>
      <c r="N51" s="172">
        <f t="shared" si="44"/>
        <v>2.7198403290897444</v>
      </c>
      <c r="O51" s="172">
        <f t="shared" si="44"/>
        <v>2.8746863197236361</v>
      </c>
      <c r="P51" s="172">
        <f t="shared" si="44"/>
        <v>2.3049782867915396</v>
      </c>
      <c r="Q51" s="172">
        <f t="shared" si="44"/>
        <v>2.3020302233142753</v>
      </c>
      <c r="S51" s="67">
        <f t="shared" si="26"/>
        <v>-17.522626849132671</v>
      </c>
      <c r="T51" s="68">
        <f t="shared" si="27"/>
        <v>29.969402426039025</v>
      </c>
      <c r="U51" s="68">
        <f t="shared" si="28"/>
        <v>12.446775576906356</v>
      </c>
      <c r="W51" t="str">
        <f t="shared" si="29"/>
        <v>31 Science, engineering and technology associate professionals</v>
      </c>
      <c r="X51" s="172">
        <f t="shared" ref="X51:AB51" si="45">X14/X$35*100</f>
        <v>0.86472708863918546</v>
      </c>
      <c r="Y51" s="172">
        <f t="shared" si="45"/>
        <v>0.87650095127706285</v>
      </c>
      <c r="Z51" s="172">
        <f t="shared" si="45"/>
        <v>1.1037468575970617</v>
      </c>
      <c r="AA51" s="172">
        <f t="shared" si="45"/>
        <v>1.1137150097762416</v>
      </c>
      <c r="AB51" s="172">
        <f t="shared" si="45"/>
        <v>1.2560049436491745</v>
      </c>
      <c r="AD51" s="67">
        <f t="shared" si="31"/>
        <v>20.637111701706772</v>
      </c>
      <c r="AE51" s="68">
        <f t="shared" si="32"/>
        <v>53.885661178791857</v>
      </c>
      <c r="AF51" s="68">
        <f t="shared" si="33"/>
        <v>74.522772880498621</v>
      </c>
    </row>
    <row r="52" spans="1:32" x14ac:dyDescent="0.2">
      <c r="A52" t="str">
        <f t="shared" si="19"/>
        <v>32 Health and social care associate professionals</v>
      </c>
      <c r="B52" s="172">
        <f t="shared" si="20"/>
        <v>1.6599846587791436</v>
      </c>
      <c r="C52" s="172">
        <f t="shared" si="20"/>
        <v>1.7901041177218819</v>
      </c>
      <c r="D52" s="172">
        <f t="shared" si="20"/>
        <v>1.8221381956245311</v>
      </c>
      <c r="E52" s="172">
        <f t="shared" si="20"/>
        <v>1.8174921382556946</v>
      </c>
      <c r="F52" s="172">
        <f t="shared" si="20"/>
        <v>1.9363104863351603</v>
      </c>
      <c r="H52" s="67">
        <f t="shared" si="21"/>
        <v>10.971131221183384</v>
      </c>
      <c r="I52" s="68">
        <f t="shared" si="22"/>
        <v>59.396228035140183</v>
      </c>
      <c r="J52" s="68">
        <f t="shared" si="23"/>
        <v>70.367359256323567</v>
      </c>
      <c r="L52" t="str">
        <f t="shared" si="24"/>
        <v>32 Health and social care associate professionals</v>
      </c>
      <c r="M52" s="172">
        <f t="shared" ref="M52:Q52" si="46">M15/M$35*100</f>
        <v>0.66865904008969357</v>
      </c>
      <c r="N52" s="172">
        <f t="shared" si="46"/>
        <v>0.65497084136847161</v>
      </c>
      <c r="O52" s="172">
        <f t="shared" si="46"/>
        <v>0.72672494693156731</v>
      </c>
      <c r="P52" s="172">
        <f t="shared" si="46"/>
        <v>0.64429569723425251</v>
      </c>
      <c r="Q52" s="172">
        <f t="shared" si="46"/>
        <v>0.6752580277738458</v>
      </c>
      <c r="S52" s="67">
        <f t="shared" si="26"/>
        <v>-4.2995568820892025</v>
      </c>
      <c r="T52" s="68">
        <f t="shared" si="27"/>
        <v>43.491489254322097</v>
      </c>
      <c r="U52" s="68">
        <f t="shared" si="28"/>
        <v>39.191932372232898</v>
      </c>
      <c r="W52" t="str">
        <f t="shared" si="29"/>
        <v>32 Health and social care associate professionals</v>
      </c>
      <c r="X52" s="172">
        <f t="shared" ref="X52:AB52" si="47">X15/X$35*100</f>
        <v>2.7938354793108902</v>
      </c>
      <c r="Y52" s="172">
        <f t="shared" si="47"/>
        <v>3.0190933067754826</v>
      </c>
      <c r="Z52" s="172">
        <f t="shared" si="47"/>
        <v>3.0335995457223008</v>
      </c>
      <c r="AA52" s="172">
        <f t="shared" si="47"/>
        <v>3.1022989101964362</v>
      </c>
      <c r="AB52" s="172">
        <f t="shared" si="47"/>
        <v>3.2912500573036838</v>
      </c>
      <c r="AD52" s="67">
        <f t="shared" si="31"/>
        <v>15.016908761189685</v>
      </c>
      <c r="AE52" s="68">
        <f t="shared" si="32"/>
        <v>63.609989360362448</v>
      </c>
      <c r="AF52" s="68">
        <f t="shared" si="33"/>
        <v>78.626898121552131</v>
      </c>
    </row>
    <row r="53" spans="1:32" x14ac:dyDescent="0.2">
      <c r="A53" t="str">
        <f t="shared" si="19"/>
        <v>33 Protective service occupations</v>
      </c>
      <c r="B53" s="172">
        <f t="shared" si="20"/>
        <v>1.0848466982702274</v>
      </c>
      <c r="C53" s="172">
        <f t="shared" si="20"/>
        <v>1.0511986631007249</v>
      </c>
      <c r="D53" s="172">
        <f t="shared" si="20"/>
        <v>1.0990236881851645</v>
      </c>
      <c r="E53" s="172">
        <f t="shared" si="20"/>
        <v>1.307934794018365</v>
      </c>
      <c r="F53" s="172">
        <f t="shared" si="20"/>
        <v>1.4600574431838067</v>
      </c>
      <c r="H53" s="67">
        <f t="shared" si="21"/>
        <v>38.732820895746926</v>
      </c>
      <c r="I53" s="68">
        <f t="shared" si="22"/>
        <v>40.713550057685012</v>
      </c>
      <c r="J53" s="68">
        <f t="shared" si="23"/>
        <v>79.446370953431938</v>
      </c>
      <c r="L53" t="str">
        <f t="shared" si="24"/>
        <v>33 Protective service occupations</v>
      </c>
      <c r="M53" s="172">
        <f t="shared" ref="M53:Q53" si="48">M16/M$35*100</f>
        <v>1.6887408886419442</v>
      </c>
      <c r="N53" s="172">
        <f t="shared" si="48"/>
        <v>1.6455294426436124</v>
      </c>
      <c r="O53" s="172">
        <f t="shared" si="48"/>
        <v>1.6732533336307576</v>
      </c>
      <c r="P53" s="172">
        <f t="shared" si="48"/>
        <v>1.9348176455908079</v>
      </c>
      <c r="Q53" s="172">
        <f t="shared" si="48"/>
        <v>2.0733020992277673</v>
      </c>
      <c r="S53" s="67">
        <f t="shared" si="26"/>
        <v>27.618944991941007</v>
      </c>
      <c r="T53" s="68">
        <f t="shared" si="27"/>
        <v>33.101725187549889</v>
      </c>
      <c r="U53" s="68">
        <f t="shared" si="28"/>
        <v>60.720670179490895</v>
      </c>
      <c r="W53" t="str">
        <f t="shared" si="29"/>
        <v>33 Protective service occupations</v>
      </c>
      <c r="X53" s="172">
        <f t="shared" ref="X53:AB53" si="49">X16/X$35*100</f>
        <v>0.39412922829044583</v>
      </c>
      <c r="Y53" s="172">
        <f t="shared" si="49"/>
        <v>0.4077269950632188</v>
      </c>
      <c r="Z53" s="172">
        <f t="shared" si="49"/>
        <v>0.4639601426531601</v>
      </c>
      <c r="AA53" s="172">
        <f t="shared" si="49"/>
        <v>0.62141435741309603</v>
      </c>
      <c r="AB53" s="172">
        <f t="shared" si="49"/>
        <v>0.80115586813997219</v>
      </c>
      <c r="AD53" s="67">
        <f t="shared" si="31"/>
        <v>83.060821462626649</v>
      </c>
      <c r="AE53" s="68">
        <f t="shared" si="32"/>
        <v>71.073523488988528</v>
      </c>
      <c r="AF53" s="68">
        <f t="shared" si="33"/>
        <v>154.13434495161519</v>
      </c>
    </row>
    <row r="54" spans="1:32" x14ac:dyDescent="0.2">
      <c r="A54" t="str">
        <f t="shared" si="19"/>
        <v>34 Culture, media and sports occupations</v>
      </c>
      <c r="B54" s="172">
        <f t="shared" si="20"/>
        <v>1.4144619423293232</v>
      </c>
      <c r="C54" s="172">
        <f t="shared" si="20"/>
        <v>1.3092546930155757</v>
      </c>
      <c r="D54" s="172">
        <f t="shared" si="20"/>
        <v>1.3530924043559622</v>
      </c>
      <c r="E54" s="172">
        <f t="shared" si="20"/>
        <v>1.2291621022273744</v>
      </c>
      <c r="F54" s="172">
        <f t="shared" si="20"/>
        <v>1.29213684907593</v>
      </c>
      <c r="H54" s="67">
        <f t="shared" si="21"/>
        <v>-0.27652966602140361</v>
      </c>
      <c r="I54" s="68">
        <f t="shared" si="22"/>
        <v>43.173329763899474</v>
      </c>
      <c r="J54" s="68">
        <f t="shared" si="23"/>
        <v>42.896800097878071</v>
      </c>
      <c r="L54" t="str">
        <f t="shared" si="24"/>
        <v>34 Culture, media and sports occupations</v>
      </c>
      <c r="M54" s="172">
        <f t="shared" ref="M54:Q54" si="50">M17/M$35*100</f>
        <v>1.5718494943183881</v>
      </c>
      <c r="N54" s="172">
        <f t="shared" si="50"/>
        <v>1.3285278579844157</v>
      </c>
      <c r="O54" s="172">
        <f t="shared" si="50"/>
        <v>1.3017450587395725</v>
      </c>
      <c r="P54" s="172">
        <f t="shared" si="50"/>
        <v>1.1824452254438944</v>
      </c>
      <c r="Q54" s="172">
        <f t="shared" si="50"/>
        <v>1.2505573589940364</v>
      </c>
      <c r="S54" s="67">
        <f t="shared" si="26"/>
        <v>-1.0554358154396903</v>
      </c>
      <c r="T54" s="68">
        <f t="shared" si="27"/>
        <v>37.372272784014108</v>
      </c>
      <c r="U54" s="68">
        <f t="shared" si="28"/>
        <v>36.316836968574414</v>
      </c>
      <c r="W54" t="str">
        <f t="shared" si="29"/>
        <v>34 Culture, media and sports occupations</v>
      </c>
      <c r="X54" s="172">
        <f t="shared" ref="X54:AB54" si="51">X17/X$35*100</f>
        <v>1.2344464140307645</v>
      </c>
      <c r="Y54" s="172">
        <f t="shared" si="51"/>
        <v>1.2883879702448042</v>
      </c>
      <c r="Z54" s="172">
        <f t="shared" si="51"/>
        <v>1.4098794887906168</v>
      </c>
      <c r="AA54" s="172">
        <f t="shared" si="51"/>
        <v>1.2803233208917262</v>
      </c>
      <c r="AB54" s="172">
        <f t="shared" si="51"/>
        <v>1.3368119901219455</v>
      </c>
      <c r="AD54" s="67">
        <f t="shared" si="31"/>
        <v>0.51882466790050574</v>
      </c>
      <c r="AE54" s="68">
        <f t="shared" si="32"/>
        <v>49.096887837906024</v>
      </c>
      <c r="AF54" s="68">
        <f t="shared" si="33"/>
        <v>49.615712505806528</v>
      </c>
    </row>
    <row r="55" spans="1:32" x14ac:dyDescent="0.2">
      <c r="A55" t="str">
        <f t="shared" si="19"/>
        <v>35 Business and public service associate professionals</v>
      </c>
      <c r="B55" s="172">
        <f t="shared" ref="B55:F64" si="52">B18/B$35*100</f>
        <v>5.4075830677581944</v>
      </c>
      <c r="C55" s="172">
        <f t="shared" si="52"/>
        <v>5.5610191974242014</v>
      </c>
      <c r="D55" s="172">
        <f t="shared" si="52"/>
        <v>5.8938254770875265</v>
      </c>
      <c r="E55" s="172">
        <f t="shared" si="52"/>
        <v>5.5522301181972331</v>
      </c>
      <c r="F55" s="172">
        <f t="shared" si="52"/>
        <v>5.6145732051527508</v>
      </c>
      <c r="H55" s="67">
        <f t="shared" si="21"/>
        <v>-0.519993584519021</v>
      </c>
      <c r="I55" s="68">
        <f t="shared" si="22"/>
        <v>44.252644198940096</v>
      </c>
      <c r="J55" s="68">
        <f t="shared" si="23"/>
        <v>43.732650614421082</v>
      </c>
      <c r="L55" t="str">
        <f t="shared" si="24"/>
        <v>35 Business and public service associate professionals</v>
      </c>
      <c r="M55" s="172">
        <f t="shared" ref="M55:Q55" si="53">M18/M$35*100</f>
        <v>5.6717312246044358</v>
      </c>
      <c r="N55" s="172">
        <f t="shared" si="53"/>
        <v>5.7842331433576719</v>
      </c>
      <c r="O55" s="172">
        <f t="shared" si="53"/>
        <v>6.1480332576008161</v>
      </c>
      <c r="P55" s="172">
        <f t="shared" si="53"/>
        <v>5.5899796189504558</v>
      </c>
      <c r="Q55" s="172">
        <f t="shared" si="53"/>
        <v>5.4362836199263231</v>
      </c>
      <c r="S55" s="67">
        <f t="shared" si="26"/>
        <v>-8.9289885529977386</v>
      </c>
      <c r="T55" s="68">
        <f t="shared" si="27"/>
        <v>35.253562234441652</v>
      </c>
      <c r="U55" s="68">
        <f t="shared" si="28"/>
        <v>26.324573681443919</v>
      </c>
      <c r="W55" t="str">
        <f t="shared" si="29"/>
        <v>35 Business and public service associate professionals</v>
      </c>
      <c r="X55" s="172">
        <f t="shared" ref="X55:AB55" si="54">X18/X$35*100</f>
        <v>5.1054577128440393</v>
      </c>
      <c r="Y55" s="172">
        <f t="shared" si="54"/>
        <v>5.3193493141489139</v>
      </c>
      <c r="Z55" s="172">
        <f t="shared" si="54"/>
        <v>5.6126869192387527</v>
      </c>
      <c r="AA55" s="172">
        <f t="shared" si="54"/>
        <v>5.5108893737922724</v>
      </c>
      <c r="AB55" s="172">
        <f t="shared" si="54"/>
        <v>5.806136698387931</v>
      </c>
      <c r="AD55" s="67">
        <f t="shared" si="31"/>
        <v>9.6668832915707181</v>
      </c>
      <c r="AE55" s="68">
        <f t="shared" si="32"/>
        <v>55.154367926190339</v>
      </c>
      <c r="AF55" s="68">
        <f t="shared" si="33"/>
        <v>64.821251217761059</v>
      </c>
    </row>
    <row r="56" spans="1:32" x14ac:dyDescent="0.2">
      <c r="A56" t="str">
        <f t="shared" si="19"/>
        <v>41 Administrative occupations</v>
      </c>
      <c r="B56" s="172">
        <f t="shared" si="52"/>
        <v>8.5877405879544746</v>
      </c>
      <c r="C56" s="172">
        <f t="shared" si="52"/>
        <v>8.1881236999486102</v>
      </c>
      <c r="D56" s="172">
        <f t="shared" si="52"/>
        <v>8.6045584815481231</v>
      </c>
      <c r="E56" s="172">
        <f t="shared" si="52"/>
        <v>7.7507751689109732</v>
      </c>
      <c r="F56" s="172">
        <f t="shared" si="52"/>
        <v>7.1396130267923184</v>
      </c>
      <c r="H56" s="67">
        <f t="shared" si="21"/>
        <v>-13.351228387474748</v>
      </c>
      <c r="I56" s="68">
        <f t="shared" si="22"/>
        <v>45.848519685294846</v>
      </c>
      <c r="J56" s="68">
        <f t="shared" si="23"/>
        <v>32.497291297820105</v>
      </c>
      <c r="L56" t="str">
        <f t="shared" si="24"/>
        <v>41 Administrative occupations</v>
      </c>
      <c r="M56" s="172">
        <f t="shared" ref="M56:Q56" si="55">M19/M$35*100</f>
        <v>3.7695262281013808</v>
      </c>
      <c r="N56" s="172">
        <f t="shared" si="55"/>
        <v>3.5081661106788085</v>
      </c>
      <c r="O56" s="172">
        <f t="shared" si="55"/>
        <v>4.2567432068569211</v>
      </c>
      <c r="P56" s="172">
        <f t="shared" si="55"/>
        <v>3.900137308274513</v>
      </c>
      <c r="Q56" s="172">
        <f t="shared" si="55"/>
        <v>4.100990795948233</v>
      </c>
      <c r="S56" s="67">
        <f t="shared" si="26"/>
        <v>-0.77397256343425569</v>
      </c>
      <c r="T56" s="68">
        <f t="shared" si="27"/>
        <v>34.926086198726679</v>
      </c>
      <c r="U56" s="68">
        <f t="shared" si="28"/>
        <v>34.152113635292423</v>
      </c>
      <c r="W56" t="str">
        <f t="shared" si="29"/>
        <v>41 Administrative occupations</v>
      </c>
      <c r="X56" s="172">
        <f t="shared" ref="X56:AB56" si="56">X19/X$35*100</f>
        <v>14.098680890939526</v>
      </c>
      <c r="Y56" s="172">
        <f t="shared" si="56"/>
        <v>13.255032936297395</v>
      </c>
      <c r="Z56" s="172">
        <f t="shared" si="56"/>
        <v>13.412981393118647</v>
      </c>
      <c r="AA56" s="172">
        <f t="shared" si="56"/>
        <v>11.967737841700655</v>
      </c>
      <c r="AB56" s="172">
        <f t="shared" si="56"/>
        <v>10.40446491605665</v>
      </c>
      <c r="AD56" s="67">
        <f t="shared" si="31"/>
        <v>-17.765607193475034</v>
      </c>
      <c r="AE56" s="68">
        <f t="shared" si="32"/>
        <v>49.682087163575147</v>
      </c>
      <c r="AF56" s="68">
        <f t="shared" si="33"/>
        <v>31.916479970100113</v>
      </c>
    </row>
    <row r="57" spans="1:32" x14ac:dyDescent="0.2">
      <c r="A57" t="str">
        <f t="shared" si="19"/>
        <v>42 Secretarial and related occupations</v>
      </c>
      <c r="B57" s="172">
        <f t="shared" si="52"/>
        <v>2.082952297026452</v>
      </c>
      <c r="C57" s="172">
        <f t="shared" si="52"/>
        <v>1.8954375007827102</v>
      </c>
      <c r="D57" s="172">
        <f t="shared" si="52"/>
        <v>1.8750097195473971</v>
      </c>
      <c r="E57" s="172">
        <f t="shared" si="52"/>
        <v>1.9376026502543739</v>
      </c>
      <c r="F57" s="172">
        <f t="shared" si="52"/>
        <v>1.4936348837613336</v>
      </c>
      <c r="H57" s="67">
        <f t="shared" si="21"/>
        <v>-16.812657170745933</v>
      </c>
      <c r="I57" s="68">
        <f t="shared" si="22"/>
        <v>51.02116685228021</v>
      </c>
      <c r="J57" s="68">
        <f t="shared" si="23"/>
        <v>34.208509681534274</v>
      </c>
      <c r="L57" t="str">
        <f t="shared" si="24"/>
        <v>42 Secretarial and related occupations</v>
      </c>
      <c r="M57" s="172">
        <f t="shared" ref="M57:Q57" si="57">M20/M$35*100</f>
        <v>0.32610527201802741</v>
      </c>
      <c r="N57" s="172">
        <f t="shared" si="57"/>
        <v>0.24082082106526284</v>
      </c>
      <c r="O57" s="172">
        <f t="shared" si="57"/>
        <v>0.24119923599281351</v>
      </c>
      <c r="P57" s="172">
        <f t="shared" si="57"/>
        <v>0.29411450334744638</v>
      </c>
      <c r="Q57" s="172">
        <f t="shared" si="57"/>
        <v>0.34887610548045611</v>
      </c>
      <c r="S57" s="67">
        <f t="shared" si="26"/>
        <v>48.973684590432399</v>
      </c>
      <c r="T57" s="68">
        <f t="shared" si="27"/>
        <v>41.820173148726624</v>
      </c>
      <c r="U57" s="68">
        <f t="shared" si="28"/>
        <v>90.793857739159009</v>
      </c>
      <c r="W57" t="str">
        <f t="shared" si="29"/>
        <v>42 Secretarial and related occupations</v>
      </c>
      <c r="X57" s="172">
        <f t="shared" ref="X57:AB57" si="58">X20/X$35*100</f>
        <v>4.0923853261940177</v>
      </c>
      <c r="Y57" s="172">
        <f t="shared" si="58"/>
        <v>3.6868623966619878</v>
      </c>
      <c r="Z57" s="172">
        <f t="shared" si="58"/>
        <v>3.681906118301574</v>
      </c>
      <c r="AA57" s="172">
        <f t="shared" si="58"/>
        <v>3.7374416430422426</v>
      </c>
      <c r="AB57" s="172">
        <f t="shared" si="58"/>
        <v>2.7236225479350415</v>
      </c>
      <c r="AD57" s="67">
        <f t="shared" si="31"/>
        <v>-21.578838136939318</v>
      </c>
      <c r="AE57" s="68">
        <f t="shared" si="32"/>
        <v>51.687773322345706</v>
      </c>
      <c r="AF57" s="68">
        <f t="shared" si="33"/>
        <v>30.108935185406395</v>
      </c>
    </row>
    <row r="58" spans="1:32" x14ac:dyDescent="0.2">
      <c r="A58" t="str">
        <f t="shared" si="19"/>
        <v>51 Skilled agricultural and related trades</v>
      </c>
      <c r="B58" s="172">
        <f t="shared" si="52"/>
        <v>1.2057842130502692</v>
      </c>
      <c r="C58" s="172">
        <f t="shared" si="52"/>
        <v>1.1763652725832456</v>
      </c>
      <c r="D58" s="172">
        <f t="shared" si="52"/>
        <v>1.4187208469929058</v>
      </c>
      <c r="E58" s="172">
        <f t="shared" si="52"/>
        <v>1.3365691320739632</v>
      </c>
      <c r="F58" s="172">
        <f t="shared" si="52"/>
        <v>1.3253534564913856</v>
      </c>
      <c r="H58" s="67">
        <f t="shared" si="21"/>
        <v>-2.4446497965123033</v>
      </c>
      <c r="I58" s="68">
        <f t="shared" si="22"/>
        <v>53.299146329187977</v>
      </c>
      <c r="J58" s="68">
        <f t="shared" si="23"/>
        <v>50.854496532675675</v>
      </c>
      <c r="L58" t="str">
        <f t="shared" si="24"/>
        <v>51 Skilled agricultural and related trades</v>
      </c>
      <c r="M58" s="172">
        <f t="shared" ref="M58:Q58" si="59">M21/M$35*100</f>
        <v>1.8194395962965644</v>
      </c>
      <c r="N58" s="172">
        <f t="shared" si="59"/>
        <v>1.5897027694149655</v>
      </c>
      <c r="O58" s="172">
        <f t="shared" si="59"/>
        <v>2.0841291617360231</v>
      </c>
      <c r="P58" s="172">
        <f t="shared" si="59"/>
        <v>1.9056916107691755</v>
      </c>
      <c r="Q58" s="172">
        <f t="shared" si="59"/>
        <v>1.8508278064059192</v>
      </c>
      <c r="S58" s="67">
        <f t="shared" si="26"/>
        <v>-8.5348508801836225</v>
      </c>
      <c r="T58" s="68">
        <f t="shared" si="27"/>
        <v>46.397372327928451</v>
      </c>
      <c r="U58" s="68">
        <f t="shared" si="28"/>
        <v>37.862521447744832</v>
      </c>
      <c r="W58" t="str">
        <f t="shared" si="29"/>
        <v>51 Skilled agricultural and related trades</v>
      </c>
      <c r="X58" s="172">
        <f t="shared" ref="X58:AB58" si="60">X21/X$35*100</f>
        <v>0.50390216067540583</v>
      </c>
      <c r="Y58" s="172">
        <f t="shared" si="60"/>
        <v>0.72885190510576148</v>
      </c>
      <c r="Z58" s="172">
        <f t="shared" si="60"/>
        <v>0.6828191621202524</v>
      </c>
      <c r="AA58" s="172">
        <f t="shared" si="60"/>
        <v>0.71330401710764646</v>
      </c>
      <c r="AB58" s="172">
        <f t="shared" si="60"/>
        <v>0.7607568091477549</v>
      </c>
      <c r="AD58" s="67">
        <f t="shared" si="31"/>
        <v>18.113410532137575</v>
      </c>
      <c r="AE58" s="68">
        <f t="shared" si="32"/>
        <v>76.596749206870143</v>
      </c>
      <c r="AF58" s="68">
        <f t="shared" si="33"/>
        <v>94.710159739007722</v>
      </c>
    </row>
    <row r="59" spans="1:32" x14ac:dyDescent="0.2">
      <c r="A59" t="str">
        <f t="shared" si="19"/>
        <v>52 Skilled metal, electrical and electronic trades</v>
      </c>
      <c r="B59" s="172">
        <f t="shared" si="52"/>
        <v>4.2918772977090986</v>
      </c>
      <c r="C59" s="172">
        <f t="shared" si="52"/>
        <v>4.1245532256472579</v>
      </c>
      <c r="D59" s="172">
        <f t="shared" si="52"/>
        <v>3.6010051905432965</v>
      </c>
      <c r="E59" s="172">
        <f t="shared" si="52"/>
        <v>3.4465613177781456</v>
      </c>
      <c r="F59" s="172">
        <f t="shared" si="52"/>
        <v>3.1241169785105551</v>
      </c>
      <c r="H59" s="67">
        <f t="shared" si="21"/>
        <v>-9.4017378043543722</v>
      </c>
      <c r="I59" s="68">
        <f t="shared" si="22"/>
        <v>36.091678890440946</v>
      </c>
      <c r="J59" s="68">
        <f t="shared" si="23"/>
        <v>26.68994108608657</v>
      </c>
      <c r="L59" t="str">
        <f t="shared" si="24"/>
        <v>52 Skilled metal, electrical and electronic trades</v>
      </c>
      <c r="M59" s="172">
        <f t="shared" ref="M59:Q59" si="61">M22/M$35*100</f>
        <v>7.9227150674795164</v>
      </c>
      <c r="N59" s="172">
        <f t="shared" si="61"/>
        <v>7.7467976719680127</v>
      </c>
      <c r="O59" s="172">
        <f t="shared" si="61"/>
        <v>6.7162221376694973</v>
      </c>
      <c r="P59" s="172">
        <f t="shared" si="61"/>
        <v>6.2814337610528295</v>
      </c>
      <c r="Q59" s="172">
        <f t="shared" si="61"/>
        <v>5.6402256000246966</v>
      </c>
      <c r="S59" s="67">
        <f t="shared" si="26"/>
        <v>-13.506059125749628</v>
      </c>
      <c r="T59" s="68">
        <f t="shared" si="27"/>
        <v>34.160863456909503</v>
      </c>
      <c r="U59" s="68">
        <f t="shared" si="28"/>
        <v>20.65480433115987</v>
      </c>
      <c r="W59" t="str">
        <f t="shared" si="29"/>
        <v>52 Skilled metal, electrical and electronic trades</v>
      </c>
      <c r="X59" s="172">
        <f t="shared" ref="X59:AB59" si="62">X22/X$35*100</f>
        <v>0.13902549315841412</v>
      </c>
      <c r="Y59" s="172">
        <f t="shared" si="62"/>
        <v>0.20281173733615282</v>
      </c>
      <c r="Z59" s="172">
        <f t="shared" si="62"/>
        <v>0.15576209793323675</v>
      </c>
      <c r="AA59" s="172">
        <f t="shared" si="62"/>
        <v>0.34199742263340954</v>
      </c>
      <c r="AB59" s="172">
        <f t="shared" si="62"/>
        <v>0.42068056474394777</v>
      </c>
      <c r="AD59" s="67">
        <f t="shared" si="31"/>
        <v>186.31870584078246</v>
      </c>
      <c r="AE59" s="68">
        <f t="shared" si="32"/>
        <v>128.16537966959402</v>
      </c>
      <c r="AF59" s="68">
        <f t="shared" si="33"/>
        <v>314.48408551037647</v>
      </c>
    </row>
    <row r="60" spans="1:32" x14ac:dyDescent="0.2">
      <c r="A60" t="str">
        <f t="shared" si="19"/>
        <v>53 Skilled construction and building trades</v>
      </c>
      <c r="B60" s="172">
        <f t="shared" si="52"/>
        <v>2.7633221238208954</v>
      </c>
      <c r="C60" s="172">
        <f t="shared" si="52"/>
        <v>2.5986965904876409</v>
      </c>
      <c r="D60" s="172">
        <f t="shared" si="52"/>
        <v>2.0726073359922479</v>
      </c>
      <c r="E60" s="172">
        <f t="shared" si="52"/>
        <v>2.0694394530853191</v>
      </c>
      <c r="F60" s="172">
        <f t="shared" si="52"/>
        <v>1.7707559929976631</v>
      </c>
      <c r="H60" s="67">
        <f t="shared" si="21"/>
        <v>-10.780863233705887</v>
      </c>
      <c r="I60" s="68">
        <f t="shared" si="22"/>
        <v>39.945750871380625</v>
      </c>
      <c r="J60" s="68">
        <f t="shared" si="23"/>
        <v>29.164887637674742</v>
      </c>
      <c r="L60" t="str">
        <f t="shared" si="24"/>
        <v>53 Skilled construction and building trades</v>
      </c>
      <c r="M60" s="172">
        <f t="shared" ref="M60:Q60" si="63">M23/M$35*100</f>
        <v>5.1336673713005183</v>
      </c>
      <c r="N60" s="172">
        <f t="shared" si="63"/>
        <v>4.9410958392135402</v>
      </c>
      <c r="O60" s="172">
        <f t="shared" si="63"/>
        <v>3.89213032942361</v>
      </c>
      <c r="P60" s="172">
        <f t="shared" si="63"/>
        <v>3.9019683598518426</v>
      </c>
      <c r="Q60" s="172">
        <f t="shared" si="63"/>
        <v>3.3590601821597508</v>
      </c>
      <c r="S60" s="67">
        <f t="shared" si="26"/>
        <v>-11.111685313369327</v>
      </c>
      <c r="T60" s="68">
        <f t="shared" si="27"/>
        <v>39.741639177481716</v>
      </c>
      <c r="U60" s="68">
        <f t="shared" si="28"/>
        <v>28.629953864112391</v>
      </c>
      <c r="W60" t="str">
        <f t="shared" si="29"/>
        <v>53 Skilled construction and building trades</v>
      </c>
      <c r="X60" s="172">
        <f t="shared" ref="X60:AB60" si="64">X23/X$35*100</f>
        <v>5.218679842562092E-2</v>
      </c>
      <c r="Y60" s="172">
        <f t="shared" si="64"/>
        <v>6.262138848189823E-2</v>
      </c>
      <c r="Z60" s="172">
        <f t="shared" si="64"/>
        <v>6.0324040362553601E-2</v>
      </c>
      <c r="AA60" s="172">
        <f t="shared" si="64"/>
        <v>6.2575583688570732E-2</v>
      </c>
      <c r="AB60" s="172">
        <f t="shared" si="64"/>
        <v>6.420034416606181E-2</v>
      </c>
      <c r="AD60" s="67">
        <f t="shared" si="31"/>
        <v>12.825169978638046</v>
      </c>
      <c r="AE60" s="68">
        <f t="shared" si="32"/>
        <v>54.510278819782677</v>
      </c>
      <c r="AF60" s="68">
        <f t="shared" si="33"/>
        <v>67.335448798420728</v>
      </c>
    </row>
    <row r="61" spans="1:32" x14ac:dyDescent="0.2">
      <c r="A61" t="str">
        <f t="shared" si="19"/>
        <v>54 Textiles, printing and other skilled trades</v>
      </c>
      <c r="B61" s="172">
        <f t="shared" si="52"/>
        <v>1.9835132412253111</v>
      </c>
      <c r="C61" s="172">
        <f t="shared" si="52"/>
        <v>1.6495648617205327</v>
      </c>
      <c r="D61" s="172">
        <f t="shared" si="52"/>
        <v>1.5925453709578989</v>
      </c>
      <c r="E61" s="172">
        <f t="shared" si="52"/>
        <v>1.489515560443442</v>
      </c>
      <c r="F61" s="172">
        <f t="shared" si="52"/>
        <v>1.3364397838485933</v>
      </c>
      <c r="H61" s="67">
        <f t="shared" si="21"/>
        <v>-12.365742966783928</v>
      </c>
      <c r="I61" s="68">
        <f t="shared" si="22"/>
        <v>39.540860068670263</v>
      </c>
      <c r="J61" s="68">
        <f t="shared" si="23"/>
        <v>27.175117101886336</v>
      </c>
      <c r="L61" t="str">
        <f t="shared" si="24"/>
        <v>54 Textiles, printing and other skilled trades</v>
      </c>
      <c r="M61" s="172">
        <f t="shared" ref="M61:Q61" si="65">M24/M$35*100</f>
        <v>2.1959676043736103</v>
      </c>
      <c r="N61" s="172">
        <f t="shared" si="65"/>
        <v>1.7509293249609943</v>
      </c>
      <c r="O61" s="172">
        <f t="shared" si="65"/>
        <v>1.6373736983666738</v>
      </c>
      <c r="P61" s="172">
        <f t="shared" si="65"/>
        <v>1.5456445348470693</v>
      </c>
      <c r="Q61" s="172">
        <f t="shared" si="65"/>
        <v>1.3659489300265468</v>
      </c>
      <c r="S61" s="67">
        <f t="shared" si="26"/>
        <v>-14.078685239943781</v>
      </c>
      <c r="T61" s="68">
        <f t="shared" si="27"/>
        <v>28.894973667997427</v>
      </c>
      <c r="U61" s="68">
        <f t="shared" si="28"/>
        <v>14.816288428053648</v>
      </c>
      <c r="W61" t="str">
        <f t="shared" si="29"/>
        <v>54 Textiles, printing and other skilled trades</v>
      </c>
      <c r="X61" s="172">
        <f t="shared" ref="X61:AB61" si="66">X24/X$35*100</f>
        <v>1.7405138175851507</v>
      </c>
      <c r="Y61" s="172">
        <f t="shared" si="66"/>
        <v>1.5398193084257314</v>
      </c>
      <c r="Z61" s="172">
        <f t="shared" si="66"/>
        <v>1.5429679296497341</v>
      </c>
      <c r="AA61" s="172">
        <f t="shared" si="66"/>
        <v>1.428046837990544</v>
      </c>
      <c r="AB61" s="172">
        <f t="shared" si="66"/>
        <v>1.3047336406262777</v>
      </c>
      <c r="AD61" s="67">
        <f t="shared" si="31"/>
        <v>-10.355422881807696</v>
      </c>
      <c r="AE61" s="68">
        <f t="shared" si="32"/>
        <v>52.034940919490005</v>
      </c>
      <c r="AF61" s="68">
        <f t="shared" si="33"/>
        <v>41.6795180376823</v>
      </c>
    </row>
    <row r="62" spans="1:32" x14ac:dyDescent="0.2">
      <c r="A62" t="str">
        <f t="shared" si="19"/>
        <v>61 Caring personal service occupations</v>
      </c>
      <c r="B62" s="172">
        <f t="shared" si="52"/>
        <v>8.6665822451745314</v>
      </c>
      <c r="C62" s="172">
        <f t="shared" si="52"/>
        <v>8.4020612934041594</v>
      </c>
      <c r="D62" s="172">
        <f t="shared" si="52"/>
        <v>8.1172951010792698</v>
      </c>
      <c r="E62" s="172">
        <f t="shared" si="52"/>
        <v>8.6566377078290664</v>
      </c>
      <c r="F62" s="172">
        <f t="shared" si="52"/>
        <v>9.1317710050923928</v>
      </c>
      <c r="H62" s="67">
        <f t="shared" si="21"/>
        <v>17.47893615073977</v>
      </c>
      <c r="I62" s="68">
        <f t="shared" si="22"/>
        <v>61.38403587713961</v>
      </c>
      <c r="J62" s="68">
        <f t="shared" si="23"/>
        <v>78.86297202787938</v>
      </c>
      <c r="L62" t="str">
        <f t="shared" si="24"/>
        <v>61 Caring personal service occupations</v>
      </c>
      <c r="M62" s="172">
        <f t="shared" ref="M62:Q62" si="67">M25/M$35*100</f>
        <v>2.3568132835408493</v>
      </c>
      <c r="N62" s="172">
        <f t="shared" si="67"/>
        <v>2.3726961773260409</v>
      </c>
      <c r="O62" s="172">
        <f t="shared" si="67"/>
        <v>2.3702312657962414</v>
      </c>
      <c r="P62" s="172">
        <f t="shared" si="67"/>
        <v>2.8809674628375355</v>
      </c>
      <c r="Q62" s="172">
        <f t="shared" si="67"/>
        <v>3.3061504333349916</v>
      </c>
      <c r="S62" s="67">
        <f t="shared" si="26"/>
        <v>43.663402998418867</v>
      </c>
      <c r="T62" s="68">
        <f t="shared" si="27"/>
        <v>55.534775921090585</v>
      </c>
      <c r="U62" s="68">
        <f t="shared" si="28"/>
        <v>99.198178919509445</v>
      </c>
      <c r="W62" t="str">
        <f t="shared" si="29"/>
        <v>61 Caring personal service occupations</v>
      </c>
      <c r="X62" s="172">
        <f t="shared" ref="X62:AB62" si="68">X25/X$35*100</f>
        <v>15.883521442178475</v>
      </c>
      <c r="Y62" s="172">
        <f t="shared" si="68"/>
        <v>14.929950748219067</v>
      </c>
      <c r="Z62" s="172">
        <f t="shared" si="68"/>
        <v>14.473202993646256</v>
      </c>
      <c r="AA62" s="172">
        <f t="shared" si="68"/>
        <v>14.981767910918478</v>
      </c>
      <c r="AB62" s="172">
        <f t="shared" si="68"/>
        <v>15.391117144528632</v>
      </c>
      <c r="AD62" s="67">
        <f t="shared" si="31"/>
        <v>12.736501243584083</v>
      </c>
      <c r="AE62" s="68">
        <f t="shared" si="32"/>
        <v>62.443432455957215</v>
      </c>
      <c r="AF62" s="68">
        <f t="shared" si="33"/>
        <v>75.179933699541294</v>
      </c>
    </row>
    <row r="63" spans="1:32" x14ac:dyDescent="0.2">
      <c r="A63" t="str">
        <f t="shared" si="19"/>
        <v>62 Leisure, travel and related personal service occupations</v>
      </c>
      <c r="B63" s="172">
        <f t="shared" si="52"/>
        <v>2.1712689670658611</v>
      </c>
      <c r="C63" s="172">
        <f t="shared" si="52"/>
        <v>2.5749610828479566</v>
      </c>
      <c r="D63" s="172">
        <f t="shared" si="52"/>
        <v>2.453549493368786</v>
      </c>
      <c r="E63" s="172">
        <f t="shared" si="52"/>
        <v>2.4123355731737059</v>
      </c>
      <c r="F63" s="172">
        <f t="shared" si="52"/>
        <v>2.4058732780633854</v>
      </c>
      <c r="H63" s="67">
        <f t="shared" si="21"/>
        <v>2.3986551923585417</v>
      </c>
      <c r="I63" s="68">
        <f t="shared" si="22"/>
        <v>50.799082779324287</v>
      </c>
      <c r="J63" s="68">
        <f t="shared" si="23"/>
        <v>53.197737971682827</v>
      </c>
      <c r="L63" t="str">
        <f t="shared" si="24"/>
        <v>62 Leisure, travel and related personal service occupations</v>
      </c>
      <c r="M63" s="172">
        <f t="shared" ref="M63:Q63" si="69">M26/M$35*100</f>
        <v>1.2802838850281695</v>
      </c>
      <c r="N63" s="172">
        <f t="shared" si="69"/>
        <v>1.401831297022387</v>
      </c>
      <c r="O63" s="172">
        <f t="shared" si="69"/>
        <v>1.3517920089267932</v>
      </c>
      <c r="P63" s="172">
        <f t="shared" si="69"/>
        <v>1.345027072921813</v>
      </c>
      <c r="Q63" s="172">
        <f t="shared" si="69"/>
        <v>1.4351954382809449</v>
      </c>
      <c r="S63" s="67">
        <f t="shared" si="26"/>
        <v>9.3491551799065729</v>
      </c>
      <c r="T63" s="68">
        <f t="shared" si="27"/>
        <v>44.156940836781658</v>
      </c>
      <c r="U63" s="68">
        <f t="shared" si="28"/>
        <v>53.506096016688232</v>
      </c>
      <c r="W63" t="str">
        <f t="shared" si="29"/>
        <v>62 Leisure, travel and related personal service occupations</v>
      </c>
      <c r="X63" s="172">
        <f t="shared" ref="X63:AB63" si="70">X26/X$35*100</f>
        <v>3.1903530574029371</v>
      </c>
      <c r="Y63" s="172">
        <f t="shared" si="70"/>
        <v>3.8450884363231754</v>
      </c>
      <c r="Z63" s="172">
        <f t="shared" si="70"/>
        <v>3.6720271876773252</v>
      </c>
      <c r="AA63" s="172">
        <f t="shared" si="70"/>
        <v>3.5811809096628302</v>
      </c>
      <c r="AB63" s="172">
        <f t="shared" si="70"/>
        <v>3.4488194353421617</v>
      </c>
      <c r="AD63" s="67">
        <f t="shared" si="31"/>
        <v>-0.43111786644255701</v>
      </c>
      <c r="AE63" s="68">
        <f t="shared" si="32"/>
        <v>53.503313317474166</v>
      </c>
      <c r="AF63" s="68">
        <f t="shared" si="33"/>
        <v>53.072195451031611</v>
      </c>
    </row>
    <row r="64" spans="1:32" x14ac:dyDescent="0.2">
      <c r="A64" t="str">
        <f t="shared" si="19"/>
        <v>63 Community and civil enforcement occupations</v>
      </c>
      <c r="B64" s="172">
        <f t="shared" si="52"/>
        <v>0.1053247925605148</v>
      </c>
      <c r="C64" s="172">
        <f t="shared" si="52"/>
        <v>8.1819777139715263E-2</v>
      </c>
      <c r="D64" s="172">
        <f t="shared" si="52"/>
        <v>0.10618215876086422</v>
      </c>
      <c r="E64" s="172">
        <f t="shared" si="52"/>
        <v>8.6058451943841444E-2</v>
      </c>
      <c r="F64" s="172">
        <f t="shared" si="52"/>
        <v>9.2915487650227085E-2</v>
      </c>
      <c r="H64" s="67">
        <f t="shared" si="21"/>
        <v>-8.6196351798115423</v>
      </c>
      <c r="I64" s="68">
        <f t="shared" si="22"/>
        <v>39.069738407328671</v>
      </c>
      <c r="J64" s="68">
        <f t="shared" si="23"/>
        <v>30.450103227517122</v>
      </c>
      <c r="L64" t="str">
        <f t="shared" si="24"/>
        <v>63 Community and civil enforcement occupations</v>
      </c>
      <c r="M64" s="172">
        <f t="shared" ref="M64:Q64" si="71">M27/M$35*100</f>
        <v>0.16135693666200188</v>
      </c>
      <c r="N64" s="172">
        <f t="shared" si="71"/>
        <v>0.11460823640479038</v>
      </c>
      <c r="O64" s="172">
        <f t="shared" si="71"/>
        <v>0.16433722150356744</v>
      </c>
      <c r="P64" s="172">
        <f t="shared" si="71"/>
        <v>0.11508198567913459</v>
      </c>
      <c r="Q64" s="172">
        <f t="shared" si="71"/>
        <v>0.13140421311660883</v>
      </c>
      <c r="S64" s="67">
        <f t="shared" si="26"/>
        <v>-17.645447526972553</v>
      </c>
      <c r="T64" s="68">
        <f t="shared" si="27"/>
        <v>30.6048753984063</v>
      </c>
      <c r="U64" s="68">
        <f t="shared" si="28"/>
        <v>12.959427871433743</v>
      </c>
      <c r="W64" t="str">
        <f t="shared" si="29"/>
        <v>63 Community and civil enforcement occupations</v>
      </c>
      <c r="X64" s="172">
        <f t="shared" ref="X64:AB64" si="72">X27/X$35*100</f>
        <v>4.1236776102698137E-2</v>
      </c>
      <c r="Y64" s="172">
        <f t="shared" si="72"/>
        <v>4.6320278709051636E-2</v>
      </c>
      <c r="Z64" s="172">
        <f t="shared" si="72"/>
        <v>4.1866147511812994E-2</v>
      </c>
      <c r="AA64" s="172">
        <f t="shared" si="72"/>
        <v>5.4273806691859119E-2</v>
      </c>
      <c r="AB64" s="172">
        <f t="shared" si="72"/>
        <v>5.1561222951325932E-2</v>
      </c>
      <c r="AD64" s="67">
        <f t="shared" si="31"/>
        <v>30.562745030111969</v>
      </c>
      <c r="AE64" s="68">
        <f t="shared" si="32"/>
        <v>75.81695495508248</v>
      </c>
      <c r="AF64" s="68">
        <f t="shared" si="33"/>
        <v>106.37969998519445</v>
      </c>
    </row>
    <row r="65" spans="1:32" x14ac:dyDescent="0.2">
      <c r="A65" t="str">
        <f t="shared" si="19"/>
        <v>71 Sales occupations</v>
      </c>
      <c r="B65" s="172">
        <f t="shared" ref="B65:F70" si="73">B28/B$35*100</f>
        <v>7.6194617664576469</v>
      </c>
      <c r="C65" s="172">
        <f t="shared" si="73"/>
        <v>6.8101824557008399</v>
      </c>
      <c r="D65" s="172">
        <f t="shared" si="73"/>
        <v>6.5788568075788323</v>
      </c>
      <c r="E65" s="172">
        <f t="shared" si="73"/>
        <v>6.025523614813368</v>
      </c>
      <c r="F65" s="172">
        <f t="shared" si="73"/>
        <v>5.54263910318085</v>
      </c>
      <c r="H65" s="67">
        <f t="shared" si="21"/>
        <v>-12.020296269189387</v>
      </c>
      <c r="I65" s="68">
        <f t="shared" si="22"/>
        <v>43.155702695607097</v>
      </c>
      <c r="J65" s="68">
        <f t="shared" si="23"/>
        <v>31.135406426417706</v>
      </c>
      <c r="L65" t="str">
        <f t="shared" si="24"/>
        <v>71 Sales occupations</v>
      </c>
      <c r="M65" s="172">
        <f t="shared" ref="M65:Q65" si="74">M28/M$35*100</f>
        <v>5.1859572493840558</v>
      </c>
      <c r="N65" s="172">
        <f t="shared" si="74"/>
        <v>4.9143743252900194</v>
      </c>
      <c r="O65" s="172">
        <f t="shared" si="74"/>
        <v>4.8049793559708656</v>
      </c>
      <c r="P65" s="172">
        <f t="shared" si="74"/>
        <v>4.4393601748207958</v>
      </c>
      <c r="Q65" s="172">
        <f t="shared" si="74"/>
        <v>4.21054150682287</v>
      </c>
      <c r="S65" s="67">
        <f t="shared" si="26"/>
        <v>-9.7471991615047795</v>
      </c>
      <c r="T65" s="68">
        <f t="shared" si="27"/>
        <v>30.637402454596835</v>
      </c>
      <c r="U65" s="68">
        <f t="shared" si="28"/>
        <v>20.890203293092053</v>
      </c>
      <c r="W65" t="str">
        <f t="shared" si="29"/>
        <v>71 Sales occupations</v>
      </c>
      <c r="X65" s="172">
        <f t="shared" ref="X65:AB65" si="75">X28/X$35*100</f>
        <v>10.402836917297865</v>
      </c>
      <c r="Y65" s="172">
        <f t="shared" si="75"/>
        <v>8.8627411687003406</v>
      </c>
      <c r="Z65" s="172">
        <f t="shared" si="75"/>
        <v>8.5406588717743261</v>
      </c>
      <c r="AA65" s="172">
        <f t="shared" si="75"/>
        <v>7.7625843983705938</v>
      </c>
      <c r="AB65" s="172">
        <f t="shared" si="75"/>
        <v>6.9739132214333557</v>
      </c>
      <c r="AD65" s="67">
        <f t="shared" si="31"/>
        <v>-13.434622882659125</v>
      </c>
      <c r="AE65" s="68">
        <f t="shared" si="32"/>
        <v>50.944619907465793</v>
      </c>
      <c r="AF65" s="68">
        <f t="shared" si="33"/>
        <v>37.509997024806665</v>
      </c>
    </row>
    <row r="66" spans="1:32" x14ac:dyDescent="0.2">
      <c r="A66" t="str">
        <f t="shared" si="19"/>
        <v>72 Customer service occupations</v>
      </c>
      <c r="B66" s="172">
        <f t="shared" si="73"/>
        <v>1.5948340828815843</v>
      </c>
      <c r="C66" s="172">
        <f t="shared" si="73"/>
        <v>1.6185727221412709</v>
      </c>
      <c r="D66" s="172">
        <f t="shared" si="73"/>
        <v>1.6641751071340471</v>
      </c>
      <c r="E66" s="172">
        <f t="shared" si="73"/>
        <v>2.0904137299540082</v>
      </c>
      <c r="F66" s="172">
        <f t="shared" si="73"/>
        <v>2.3050333269680015</v>
      </c>
      <c r="H66" s="67">
        <f t="shared" si="21"/>
        <v>44.642032241235476</v>
      </c>
      <c r="I66" s="68">
        <f t="shared" si="22"/>
        <v>61.423712806766062</v>
      </c>
      <c r="J66" s="68">
        <f t="shared" si="23"/>
        <v>106.06574504800155</v>
      </c>
      <c r="L66" t="str">
        <f t="shared" si="24"/>
        <v>72 Customer service occupations</v>
      </c>
      <c r="M66" s="172">
        <f t="shared" ref="M66:Q66" si="76">M29/M$35*100</f>
        <v>0.98934721911791978</v>
      </c>
      <c r="N66" s="172">
        <f t="shared" si="76"/>
        <v>0.88153695259588682</v>
      </c>
      <c r="O66" s="172">
        <f t="shared" si="76"/>
        <v>1.0461685927356539</v>
      </c>
      <c r="P66" s="172">
        <f t="shared" si="76"/>
        <v>1.4130602762574047</v>
      </c>
      <c r="Q66" s="172">
        <f t="shared" si="76"/>
        <v>1.5893599092285</v>
      </c>
      <c r="S66" s="67">
        <f t="shared" si="26"/>
        <v>56.471352924316399</v>
      </c>
      <c r="T66" s="68">
        <f t="shared" si="27"/>
        <v>46.642335500772226</v>
      </c>
      <c r="U66" s="68">
        <f t="shared" si="28"/>
        <v>103.11368842508861</v>
      </c>
      <c r="W66" t="str">
        <f t="shared" si="29"/>
        <v>72 Customer service occupations</v>
      </c>
      <c r="X66" s="172">
        <f t="shared" ref="X66:AB66" si="77">X29/X$35*100</f>
        <v>2.2873732086304317</v>
      </c>
      <c r="Y66" s="172">
        <f t="shared" si="77"/>
        <v>2.4165486176475364</v>
      </c>
      <c r="Z66" s="172">
        <f t="shared" si="77"/>
        <v>2.3476532439884497</v>
      </c>
      <c r="AA66" s="172">
        <f t="shared" si="77"/>
        <v>2.8322062157453467</v>
      </c>
      <c r="AB66" s="172">
        <f t="shared" si="77"/>
        <v>3.0739896277168404</v>
      </c>
      <c r="AD66" s="67">
        <f t="shared" si="31"/>
        <v>38.812159074994845</v>
      </c>
      <c r="AE66" s="68">
        <f t="shared" si="32"/>
        <v>68.708455289023874</v>
      </c>
      <c r="AF66" s="68">
        <f t="shared" si="33"/>
        <v>107.52061436401871</v>
      </c>
    </row>
    <row r="67" spans="1:32" x14ac:dyDescent="0.2">
      <c r="A67" t="str">
        <f t="shared" si="19"/>
        <v>81 Process, plant and machine operatives</v>
      </c>
      <c r="B67" s="172">
        <f t="shared" si="73"/>
        <v>4.2355193889802072</v>
      </c>
      <c r="C67" s="172">
        <f t="shared" si="73"/>
        <v>3.9632022196412278</v>
      </c>
      <c r="D67" s="172">
        <f t="shared" si="73"/>
        <v>3.4514454063889852</v>
      </c>
      <c r="E67" s="172">
        <f t="shared" si="73"/>
        <v>4.0961859432165202</v>
      </c>
      <c r="F67" s="172">
        <f t="shared" si="73"/>
        <v>3.9284713213036846</v>
      </c>
      <c r="H67" s="67">
        <f t="shared" si="21"/>
        <v>18.860870453938407</v>
      </c>
      <c r="I67" s="68">
        <f t="shared" si="22"/>
        <v>46.747774843566162</v>
      </c>
      <c r="J67" s="68">
        <f t="shared" si="23"/>
        <v>65.60864529750458</v>
      </c>
      <c r="L67" t="str">
        <f t="shared" si="24"/>
        <v>81 Process, plant and machine operatives</v>
      </c>
      <c r="M67" s="172">
        <f t="shared" ref="M67:Q67" si="78">M30/M$35*100</f>
        <v>6.0044901905454084</v>
      </c>
      <c r="N67" s="172">
        <f t="shared" si="78"/>
        <v>5.5941935216046961</v>
      </c>
      <c r="O67" s="172">
        <f t="shared" si="78"/>
        <v>4.9466415648269235</v>
      </c>
      <c r="P67" s="172">
        <f t="shared" si="78"/>
        <v>5.7862462319247649</v>
      </c>
      <c r="Q67" s="172">
        <f t="shared" si="78"/>
        <v>5.4293422480763143</v>
      </c>
      <c r="S67" s="67">
        <f t="shared" si="26"/>
        <v>13.044916708215482</v>
      </c>
      <c r="T67" s="68">
        <f t="shared" si="27"/>
        <v>42.028117842786621</v>
      </c>
      <c r="U67" s="68">
        <f t="shared" si="28"/>
        <v>55.07303455100211</v>
      </c>
      <c r="W67" t="str">
        <f t="shared" si="29"/>
        <v>81 Process, plant and machine operatives</v>
      </c>
      <c r="X67" s="172">
        <f t="shared" ref="X67:AB67" si="79">X30/X$35*100</f>
        <v>2.2122195195558092</v>
      </c>
      <c r="Y67" s="172">
        <f t="shared" si="79"/>
        <v>2.197356112131386</v>
      </c>
      <c r="Z67" s="172">
        <f t="shared" si="79"/>
        <v>1.7978481371177497</v>
      </c>
      <c r="AA67" s="172">
        <f t="shared" si="79"/>
        <v>2.2453442358977207</v>
      </c>
      <c r="AB67" s="172">
        <f t="shared" si="79"/>
        <v>2.3158584630562928</v>
      </c>
      <c r="AD67" s="67">
        <f t="shared" si="31"/>
        <v>36.558290371141709</v>
      </c>
      <c r="AE67" s="68">
        <f t="shared" si="32"/>
        <v>61.109263166852415</v>
      </c>
      <c r="AF67" s="68">
        <f t="shared" si="33"/>
        <v>97.667553537994124</v>
      </c>
    </row>
    <row r="68" spans="1:32" x14ac:dyDescent="0.2">
      <c r="A68" t="str">
        <f t="shared" si="19"/>
        <v>82 Transport and mobile machine drivers and operatives</v>
      </c>
      <c r="B68" s="172">
        <f t="shared" si="73"/>
        <v>4.0866695969843922</v>
      </c>
      <c r="C68" s="172">
        <f t="shared" si="73"/>
        <v>4.354796448820025</v>
      </c>
      <c r="D68" s="172">
        <f t="shared" si="73"/>
        <v>4.3742233213490893</v>
      </c>
      <c r="E68" s="172">
        <f t="shared" si="73"/>
        <v>4.4893657939165132</v>
      </c>
      <c r="F68" s="172">
        <f t="shared" si="73"/>
        <v>4.284010977452116</v>
      </c>
      <c r="H68" s="67">
        <f t="shared" si="21"/>
        <v>2.2741669937960167</v>
      </c>
      <c r="I68" s="68">
        <f t="shared" si="22"/>
        <v>54.485214183588802</v>
      </c>
      <c r="J68" s="68">
        <f t="shared" si="23"/>
        <v>56.759381177384817</v>
      </c>
      <c r="L68" t="str">
        <f t="shared" si="24"/>
        <v>82 Transport and mobile machine drivers and operatives</v>
      </c>
      <c r="M68" s="172">
        <f t="shared" ref="M68:Q68" si="80">M31/M$35*100</f>
        <v>7.2736575618657495</v>
      </c>
      <c r="N68" s="172">
        <f t="shared" si="80"/>
        <v>7.9433784629796724</v>
      </c>
      <c r="O68" s="172">
        <f t="shared" si="80"/>
        <v>7.9096476214494738</v>
      </c>
      <c r="P68" s="172">
        <f t="shared" si="80"/>
        <v>8.0008015259887433</v>
      </c>
      <c r="Q68" s="172">
        <f t="shared" si="80"/>
        <v>7.6310061705396652</v>
      </c>
      <c r="S68" s="67">
        <f t="shared" si="26"/>
        <v>-0.63374309689582631</v>
      </c>
      <c r="T68" s="68">
        <f t="shared" si="27"/>
        <v>52.726087395962494</v>
      </c>
      <c r="U68" s="68">
        <f t="shared" si="28"/>
        <v>52.092344299066674</v>
      </c>
      <c r="W68" t="str">
        <f t="shared" si="29"/>
        <v>82 Transport and mobile machine drivers and operatives</v>
      </c>
      <c r="X68" s="172">
        <f t="shared" ref="X68:AB68" si="81">X31/X$35*100</f>
        <v>0.44148092145848583</v>
      </c>
      <c r="Y68" s="172">
        <f t="shared" si="81"/>
        <v>0.46950069429639318</v>
      </c>
      <c r="Z68" s="172">
        <f t="shared" si="81"/>
        <v>0.46425610041346699</v>
      </c>
      <c r="AA68" s="172">
        <f t="shared" si="81"/>
        <v>0.64387474906371889</v>
      </c>
      <c r="AB68" s="172">
        <f t="shared" si="81"/>
        <v>0.68782732928769874</v>
      </c>
      <c r="AD68" s="67">
        <f t="shared" si="31"/>
        <v>57.06552506854301</v>
      </c>
      <c r="AE68" s="68">
        <f t="shared" si="32"/>
        <v>87.63099335614146</v>
      </c>
      <c r="AF68" s="68">
        <f t="shared" si="33"/>
        <v>144.69651842468448</v>
      </c>
    </row>
    <row r="69" spans="1:32" x14ac:dyDescent="0.2">
      <c r="A69" t="str">
        <f t="shared" si="19"/>
        <v>91 Elementary trades and related occupations</v>
      </c>
      <c r="B69" s="172">
        <f t="shared" si="73"/>
        <v>2.2972969034342658</v>
      </c>
      <c r="C69" s="172">
        <f t="shared" si="73"/>
        <v>1.9961419780143028</v>
      </c>
      <c r="D69" s="172">
        <f t="shared" si="73"/>
        <v>1.8481377837244091</v>
      </c>
      <c r="E69" s="172">
        <f t="shared" si="73"/>
        <v>1.5293588446094786</v>
      </c>
      <c r="F69" s="172">
        <f t="shared" si="73"/>
        <v>1.3877324726702582</v>
      </c>
      <c r="H69" s="67">
        <f t="shared" si="21"/>
        <v>-21.587060902804168</v>
      </c>
      <c r="I69" s="68">
        <f t="shared" si="22"/>
        <v>34.067872353189806</v>
      </c>
      <c r="J69" s="68">
        <f t="shared" si="23"/>
        <v>12.480811450385632</v>
      </c>
      <c r="L69" t="str">
        <f t="shared" si="24"/>
        <v>91 Elementary trades and related occupations</v>
      </c>
      <c r="M69" s="172">
        <f t="shared" ref="M69:Q70" si="82">M32/M$35*100</f>
        <v>3.1594533585035824</v>
      </c>
      <c r="N69" s="172">
        <f t="shared" si="82"/>
        <v>2.7667724751880818</v>
      </c>
      <c r="O69" s="172">
        <f t="shared" si="82"/>
        <v>2.69261576689573</v>
      </c>
      <c r="P69" s="172">
        <f t="shared" si="82"/>
        <v>2.2124788524930121</v>
      </c>
      <c r="Q69" s="172">
        <f t="shared" si="82"/>
        <v>2.0040304995722775</v>
      </c>
      <c r="S69" s="67">
        <f t="shared" si="26"/>
        <v>-23.344344126527179</v>
      </c>
      <c r="T69" s="68">
        <f t="shared" si="27"/>
        <v>27.514141467365462</v>
      </c>
      <c r="U69" s="68">
        <f t="shared" si="28"/>
        <v>4.1697973408382865</v>
      </c>
      <c r="W69" t="str">
        <f t="shared" si="29"/>
        <v>91 Elementary trades and related occupations</v>
      </c>
      <c r="X69" s="172">
        <f t="shared" ref="X69:AB70" si="83">X32/X$35*100</f>
        <v>1.3111861991639391</v>
      </c>
      <c r="Y69" s="172">
        <f t="shared" si="83"/>
        <v>1.1617936512485658</v>
      </c>
      <c r="Z69" s="172">
        <f t="shared" si="83"/>
        <v>0.91419578618030573</v>
      </c>
      <c r="AA69" s="172">
        <f t="shared" si="83"/>
        <v>0.78125121191599434</v>
      </c>
      <c r="AB69" s="172">
        <f t="shared" si="83"/>
        <v>0.72555019905412077</v>
      </c>
      <c r="AD69" s="67">
        <f t="shared" si="31"/>
        <v>-15.862943848420203</v>
      </c>
      <c r="AE69" s="68">
        <f t="shared" si="32"/>
        <v>55.415781572910873</v>
      </c>
      <c r="AF69" s="68">
        <f t="shared" si="33"/>
        <v>39.552837724490672</v>
      </c>
    </row>
    <row r="70" spans="1:32" x14ac:dyDescent="0.2">
      <c r="A70" t="str">
        <f t="shared" si="19"/>
        <v>92 Elementary administration and service occupations</v>
      </c>
      <c r="B70" s="172">
        <f t="shared" si="73"/>
        <v>10.10259751804943</v>
      </c>
      <c r="C70" s="172">
        <f t="shared" si="73"/>
        <v>9.1840011453029806</v>
      </c>
      <c r="D70" s="172">
        <f t="shared" si="73"/>
        <v>8.549825336771935</v>
      </c>
      <c r="E70" s="172">
        <f t="shared" si="73"/>
        <v>8.4125010489283909</v>
      </c>
      <c r="F70" s="172">
        <f t="shared" si="73"/>
        <v>7.6512473426112395</v>
      </c>
      <c r="H70" s="67">
        <f t="shared" si="21"/>
        <v>-6.5474133451064853</v>
      </c>
      <c r="I70" s="68">
        <f t="shared" si="22"/>
        <v>45.869802537129118</v>
      </c>
      <c r="J70" s="68">
        <f t="shared" si="23"/>
        <v>39.322389192022634</v>
      </c>
      <c r="L70" t="str">
        <f t="shared" si="24"/>
        <v>92 Elementary administration and service occupations</v>
      </c>
      <c r="M70" s="172">
        <f t="shared" si="82"/>
        <v>9.9079849969335179</v>
      </c>
      <c r="N70" s="172">
        <f t="shared" si="82"/>
        <v>8.6156044627943729</v>
      </c>
      <c r="O70" s="172">
        <f t="shared" si="82"/>
        <v>8.2070574995754129</v>
      </c>
      <c r="P70" s="172">
        <f t="shared" si="82"/>
        <v>8.5081462105722849</v>
      </c>
      <c r="Q70" s="172">
        <f t="shared" si="82"/>
        <v>7.7535778283475505</v>
      </c>
      <c r="S70" s="67">
        <f t="shared" si="26"/>
        <v>-2.6963938240177288</v>
      </c>
      <c r="T70" s="68">
        <f t="shared" si="27"/>
        <v>40.047452697623051</v>
      </c>
      <c r="U70" s="68">
        <f t="shared" si="28"/>
        <v>37.351058873605318</v>
      </c>
      <c r="W70" t="str">
        <f t="shared" si="29"/>
        <v>92 Elementary administration and service occupations</v>
      </c>
      <c r="X70" s="172">
        <f t="shared" si="83"/>
        <v>10.325189936315351</v>
      </c>
      <c r="Y70" s="172">
        <f t="shared" si="83"/>
        <v>9.7993944144890435</v>
      </c>
      <c r="Z70" s="172">
        <f t="shared" si="83"/>
        <v>8.9289060054745661</v>
      </c>
      <c r="AA70" s="172">
        <f t="shared" si="83"/>
        <v>8.307756824443258</v>
      </c>
      <c r="AB70" s="172">
        <f t="shared" si="83"/>
        <v>7.5412982096475609</v>
      </c>
      <c r="AD70" s="67">
        <f t="shared" si="31"/>
        <v>-10.462095615690874</v>
      </c>
      <c r="AE70" s="68">
        <f t="shared" si="32"/>
        <v>51.788403978912065</v>
      </c>
      <c r="AF70" s="68">
        <f t="shared" si="33"/>
        <v>41.326308363221194</v>
      </c>
    </row>
    <row r="71" spans="1:32" x14ac:dyDescent="0.2">
      <c r="H71" s="67"/>
      <c r="I71" s="68"/>
      <c r="J71" s="68"/>
      <c r="S71" s="67"/>
      <c r="T71" s="68"/>
      <c r="U71" s="68"/>
      <c r="AD71" s="67"/>
      <c r="AE71" s="68"/>
      <c r="AF71" s="68"/>
    </row>
    <row r="72" spans="1:32" x14ac:dyDescent="0.2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4.4278478254236173</v>
      </c>
      <c r="I72" s="66">
        <f>IF(D35&gt;0,I35/D35*100,0)</f>
        <v>48.740131640222081</v>
      </c>
      <c r="J72" s="66">
        <f>IF(D35&gt;0,(J35/D35)*100,0)</f>
        <v>53.167979465645701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84">IF(O35&gt;0,(S35/O35)*100,0)</f>
        <v>2.9945540602796692</v>
      </c>
      <c r="T72" s="66">
        <f t="shared" ref="T72" si="85">IF(O35&gt;0,T35/O35*100,0)</f>
        <v>40.775135851621677</v>
      </c>
      <c r="U72" s="66">
        <f t="shared" ref="U72" si="86">IF(O35&gt;0,(U35/O35)*100,0)</f>
        <v>43.769689911901345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87">IF(Z35&gt;0,(AD35/Z35)*100,0)</f>
        <v>6.0129847606209719</v>
      </c>
      <c r="AE72" s="66">
        <f t="shared" ref="AE72" si="88">IF(Z35&gt;0,AE35/Z35*100,0)</f>
        <v>57.54893924145783</v>
      </c>
      <c r="AF72" s="66">
        <f t="shared" ref="AF72" si="89">IF(Z35&gt;0,(AF35/Z35)*100,0)</f>
        <v>63.561924002078783</v>
      </c>
    </row>
    <row r="73" spans="1:32" x14ac:dyDescent="0.2">
      <c r="B73" s="17"/>
      <c r="C73" s="17"/>
      <c r="D73" s="17"/>
      <c r="E73" s="17"/>
      <c r="F73" s="17"/>
      <c r="M73" s="17"/>
      <c r="N73" s="17"/>
      <c r="O73" s="17"/>
      <c r="P73" s="17"/>
      <c r="Q73" s="17"/>
      <c r="X73" s="17"/>
      <c r="Y73" s="17"/>
      <c r="Z73" s="17"/>
      <c r="AA73" s="17"/>
      <c r="AB73" s="17"/>
    </row>
    <row r="74" spans="1:32" x14ac:dyDescent="0.2">
      <c r="B74" s="17"/>
      <c r="C74" s="17"/>
      <c r="D74" s="17"/>
      <c r="E74" s="17"/>
      <c r="F74" s="17"/>
      <c r="M74" s="17"/>
      <c r="N74" s="17"/>
      <c r="O74" s="17"/>
      <c r="P74" s="17"/>
      <c r="Q74" s="17"/>
      <c r="X74" s="17"/>
      <c r="Y74" s="17"/>
      <c r="Z74" s="17"/>
      <c r="AA74" s="17"/>
      <c r="AB74" s="17"/>
    </row>
    <row r="75" spans="1:32" ht="15.75" x14ac:dyDescent="0.25">
      <c r="A75" s="18" t="str">
        <f>CONCATENATE(A$1," (Continued)")</f>
        <v>Occupation Table 2  Employment Change by Occupation (SOC 2020) and Replacement Demand, 2015-2035, East Midlands (Continued)</v>
      </c>
      <c r="B75" s="17"/>
      <c r="C75" s="17"/>
      <c r="D75" s="17"/>
      <c r="E75" s="17"/>
      <c r="F75" s="17"/>
      <c r="L75" s="18" t="str">
        <f>CONCATENATE(L$1," (Continued)")</f>
        <v>Occupation Table 2.1  Males: Employment Change by Occupation (SOC 2020) and Replacement Demand, 2015-2035, East Midlands (Continued)</v>
      </c>
      <c r="M75" s="17"/>
      <c r="N75" s="17"/>
      <c r="O75" s="17"/>
      <c r="P75" s="17"/>
      <c r="Q75" s="17"/>
      <c r="W75" s="18" t="str">
        <f>CONCATENATE(W$1," (Continued)")</f>
        <v>Occupation Table 2.2  Females: Employment Change by Occupation (SOC 2020) and Replacement Demand, 2015-2035, East Midlands (Continued)</v>
      </c>
      <c r="X75" s="17"/>
      <c r="Y75" s="17"/>
      <c r="Z75" s="17"/>
      <c r="AA75" s="17"/>
      <c r="AB75" s="17"/>
    </row>
    <row r="77" spans="1:32" x14ac:dyDescent="0.2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</row>
    <row r="78" spans="1:32" x14ac:dyDescent="0.2">
      <c r="A78" s="35"/>
      <c r="B78" s="35"/>
      <c r="C78" s="35"/>
      <c r="D78" s="35"/>
      <c r="E78" s="35"/>
      <c r="F78" s="35"/>
      <c r="H78" s="98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98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98" t="str">
        <f>$H$4</f>
        <v>2020-2035</v>
      </c>
      <c r="AE78" s="35"/>
      <c r="AF78" s="35"/>
    </row>
    <row r="79" spans="1:32" x14ac:dyDescent="0.2">
      <c r="H79" s="15" t="str">
        <f t="shared" ref="H79:J80" si="90">H42</f>
        <v>Net</v>
      </c>
      <c r="I79" s="15" t="str">
        <f t="shared" si="90"/>
        <v>Replacement</v>
      </c>
      <c r="J79" s="15" t="str">
        <f t="shared" si="90"/>
        <v>Total</v>
      </c>
      <c r="S79" s="15" t="str">
        <f t="shared" ref="S79:U79" si="91">S42</f>
        <v>Net</v>
      </c>
      <c r="T79" s="15" t="str">
        <f t="shared" si="91"/>
        <v>Replacement</v>
      </c>
      <c r="U79" s="15" t="str">
        <f t="shared" si="91"/>
        <v>Total</v>
      </c>
      <c r="AD79" s="15" t="str">
        <f t="shared" ref="AD79:AF79" si="92">AD42</f>
        <v>Net</v>
      </c>
      <c r="AE79" s="15" t="str">
        <f t="shared" si="92"/>
        <v>Replacement</v>
      </c>
      <c r="AF79" s="15" t="str">
        <f t="shared" si="92"/>
        <v>Total</v>
      </c>
    </row>
    <row r="80" spans="1:32" x14ac:dyDescent="0.2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CONCATENATE(D$6,"-",F$6)</f>
        <v>2020-2035</v>
      </c>
      <c r="H80" s="62" t="str">
        <f t="shared" si="90"/>
        <v>Change</v>
      </c>
      <c r="I80" s="62" t="str">
        <f t="shared" si="90"/>
        <v>Demand</v>
      </c>
      <c r="J80" s="62" t="str">
        <f t="shared" si="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CONCATENATE(O$6,"-",Q$6)</f>
        <v>2020-2035</v>
      </c>
      <c r="S80" s="62" t="str">
        <f t="shared" ref="S80:U80" si="93">S43</f>
        <v>Change</v>
      </c>
      <c r="T80" s="62" t="str">
        <f t="shared" si="93"/>
        <v>Demand</v>
      </c>
      <c r="U80" s="62" t="str">
        <f t="shared" si="93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CONCATENATE(Z$6,"-",AB$6)</f>
        <v>2020-2035</v>
      </c>
      <c r="AD80" s="62" t="str">
        <f t="shared" ref="AD80:AF80" si="94">AD43</f>
        <v>Change</v>
      </c>
      <c r="AE80" s="62" t="str">
        <f t="shared" si="94"/>
        <v>Demand</v>
      </c>
      <c r="AF80" s="62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7">
        <f t="shared" ref="B82:E107" si="96">IF(AND(C$6-B$6 &lt;&gt; 0,B8&lt;&gt;0,C8&lt;&gt;0),(EXP(LN(C8/B8)/(C$6-B$6))-1)*100,0)</f>
        <v>4.9401205383735824</v>
      </c>
      <c r="C82" s="17">
        <f t="shared" si="96"/>
        <v>4.0460591448000516</v>
      </c>
      <c r="D82" s="17">
        <f t="shared" si="96"/>
        <v>-1.5381105124158023</v>
      </c>
      <c r="E82" s="17">
        <f t="shared" si="96"/>
        <v>0.86940342108186019</v>
      </c>
      <c r="F82" s="17">
        <f t="shared" ref="F82:F107" si="97">IF(AND(F$6-D$6 &lt;&gt; 0,D8&lt;&gt;0,F8&lt;&gt;0),(EXP(LN(F8/D8)/(F$6-D$6))-1)*100,0)</f>
        <v>6.0428117746491594E-2</v>
      </c>
      <c r="H82" s="17">
        <f t="shared" ref="H82:H107" si="98">IF($F$6-$D$6 &lt;&gt; 0,(EXP(LN(1+(H45/100))/($F$6-$D$6))-1)*100,0)</f>
        <v>6.0428117746491594E-2</v>
      </c>
      <c r="I82" s="17">
        <f t="shared" ref="I82:I107" si="99">IF(D8&gt;0,((1+(I8/D8))^(1/($F$6-$D$6))-1)*100,0)</f>
        <v>2.668498214020576</v>
      </c>
      <c r="J82" s="17">
        <f t="shared" ref="J82:J107" si="100">IF($F$6-$D$6 &lt;&gt; 0,(EXP(LN(1+(J45/100))/($F$6-$D$6))-1)*100,0)</f>
        <v>2.7103502348615471</v>
      </c>
      <c r="K82" s="39"/>
      <c r="L82" t="str">
        <f t="shared" ref="L82:L107" si="101">L8</f>
        <v>11 Corporate managers and directors</v>
      </c>
      <c r="M82" s="17">
        <f t="shared" ref="M82:P107" si="102">IF(AND(N$6-M$6 &lt;&gt; 0,M8&lt;&gt;0,N8&lt;&gt;0),(EXP(LN(N8/M8)/(N$6-M$6))-1)*100,0)</f>
        <v>3.678528731982289</v>
      </c>
      <c r="N82" s="17">
        <f t="shared" si="102"/>
        <v>4.581973188717714</v>
      </c>
      <c r="O82" s="17">
        <f t="shared" si="102"/>
        <v>-2.1009585489426663</v>
      </c>
      <c r="P82" s="17">
        <f t="shared" si="102"/>
        <v>0.47002919052367975</v>
      </c>
      <c r="Q82" s="17">
        <f t="shared" ref="Q82:Q107" si="103">IF(AND(Q$6-O$6 &lt;&gt; 0,O8&lt;&gt;0,Q8&lt;&gt;0),(EXP(LN(Q8/O8)/(Q$6-O$6))-1)*100,0)</f>
        <v>-0.39438251307527539</v>
      </c>
      <c r="S82" s="17">
        <f t="shared" ref="S82:S107" si="104">IF($F$6-$D$6 &lt;&gt; 0,(EXP(LN(1+(S45/100))/($F$6-$D$6))-1)*100,0)</f>
        <v>-0.39438251307527539</v>
      </c>
      <c r="T82" s="17">
        <f t="shared" ref="T82:T107" si="105">IF(O8&gt;0,((1+(T8/O8))^(1/($F$6-$D$6))-1)*100,0)</f>
        <v>2.4079151844205393</v>
      </c>
      <c r="U82" s="17">
        <f t="shared" ref="U82:U107" si="106">IF($F$6-$D$6 &lt;&gt; 0,(EXP(LN(1+(U45/100))/($F$6-$D$6))-1)*100,0)</f>
        <v>2.1276301775527973</v>
      </c>
      <c r="W82" t="str">
        <f t="shared" ref="W82:W107" si="107">W8</f>
        <v>11 Corporate managers and directors</v>
      </c>
      <c r="X82" s="17">
        <f t="shared" ref="X82:AA107" si="108">IF(AND(Y$6-X$6 &lt;&gt; 0,X8&lt;&gt;0,Y8&lt;&gt;0),(EXP(LN(Y8/X8)/(Y$6-X$6))-1)*100,0)</f>
        <v>8.044895002936725</v>
      </c>
      <c r="Y82" s="17">
        <f t="shared" si="108"/>
        <v>2.8558897169810304</v>
      </c>
      <c r="Z82" s="17">
        <f t="shared" si="108"/>
        <v>-0.31249097077282739</v>
      </c>
      <c r="AA82" s="17">
        <f t="shared" si="108"/>
        <v>1.6508445422036999</v>
      </c>
      <c r="AB82" s="17">
        <f t="shared" ref="AB82:AB107" si="109">IF(AND(AB$6-Z$6 &lt;&gt; 0,Z8&lt;&gt;0,AB8&lt;&gt;0),(EXP(LN(AB8/Z8)/(AB$6-Z$6))-1)*100,0)</f>
        <v>0.99214014175155185</v>
      </c>
      <c r="AD82" s="17">
        <f t="shared" ref="AD82:AD107" si="110">IF($F$6-$D$6 &lt;&gt; 0,(EXP(LN(1+(AD45/100))/($F$6-$D$6))-1)*100,0)</f>
        <v>0.99214014175155185</v>
      </c>
      <c r="AE82" s="17">
        <f t="shared" ref="AE82:AE107" si="111">IF(Z8&gt;0,((1+(AE8/Z8))^(1/($F$6-$D$6))-1)*100,0)</f>
        <v>3.2249618093373789</v>
      </c>
      <c r="AF82" s="17">
        <f t="shared" ref="AF82:AF107" si="112">IF($F$6-$D$6 &lt;&gt; 0,(EXP(LN(1+(AF45/100))/($F$6-$D$6))-1)*100,0)</f>
        <v>3.8776015819903975</v>
      </c>
    </row>
    <row r="83" spans="1:32" x14ac:dyDescent="0.2">
      <c r="A83" t="str">
        <f t="shared" si="95"/>
        <v>12 Other managers and proprietors</v>
      </c>
      <c r="B83" s="17">
        <f t="shared" si="96"/>
        <v>2.7271925619354098</v>
      </c>
      <c r="C83" s="17">
        <f t="shared" si="96"/>
        <v>4.0760030916314527</v>
      </c>
      <c r="D83" s="17">
        <f t="shared" si="96"/>
        <v>4.2432881543622791</v>
      </c>
      <c r="E83" s="17">
        <f t="shared" si="96"/>
        <v>1.3817904186542718</v>
      </c>
      <c r="F83" s="17">
        <f t="shared" si="97"/>
        <v>2.3267871551273966</v>
      </c>
      <c r="H83" s="17">
        <f t="shared" si="98"/>
        <v>2.3267871551273966</v>
      </c>
      <c r="I83" s="17">
        <f t="shared" si="99"/>
        <v>3.5133211230555794</v>
      </c>
      <c r="J83" s="17">
        <f t="shared" si="100"/>
        <v>5.0392100820154218</v>
      </c>
      <c r="K83" s="39"/>
      <c r="L83" t="str">
        <f t="shared" si="101"/>
        <v>12 Other managers and proprietors</v>
      </c>
      <c r="M83" s="17">
        <f t="shared" si="102"/>
        <v>1.9835215623064784</v>
      </c>
      <c r="N83" s="17">
        <f t="shared" si="102"/>
        <v>6.5547151164894624</v>
      </c>
      <c r="O83" s="17">
        <f t="shared" si="102"/>
        <v>4.9162145687983827</v>
      </c>
      <c r="P83" s="17">
        <f t="shared" si="102"/>
        <v>1.3792177139170247</v>
      </c>
      <c r="Q83" s="17">
        <f t="shared" si="103"/>
        <v>2.5447651221500056</v>
      </c>
      <c r="S83" s="17">
        <f t="shared" si="104"/>
        <v>2.5447651221500056</v>
      </c>
      <c r="T83" s="17">
        <f t="shared" si="105"/>
        <v>3.3403155840853183</v>
      </c>
      <c r="U83" s="17">
        <f t="shared" si="106"/>
        <v>5.0532787701224491</v>
      </c>
      <c r="W83" t="str">
        <f t="shared" si="107"/>
        <v>12 Other managers and proprietors</v>
      </c>
      <c r="X83" s="17">
        <f t="shared" si="108"/>
        <v>4.0247804793567488</v>
      </c>
      <c r="Y83" s="17">
        <f t="shared" si="108"/>
        <v>-4.0168292623599111E-2</v>
      </c>
      <c r="Z83" s="17">
        <f t="shared" si="108"/>
        <v>3.0076695362939887</v>
      </c>
      <c r="AA83" s="17">
        <f t="shared" si="108"/>
        <v>1.386780687462541</v>
      </c>
      <c r="AB83" s="17">
        <f t="shared" si="109"/>
        <v>1.9242230024707041</v>
      </c>
      <c r="AD83" s="17">
        <f t="shared" si="110"/>
        <v>1.9242230024707041</v>
      </c>
      <c r="AE83" s="17">
        <f t="shared" si="111"/>
        <v>3.8099867419038258</v>
      </c>
      <c r="AF83" s="17">
        <f t="shared" si="112"/>
        <v>5.0142412708476414</v>
      </c>
    </row>
    <row r="84" spans="1:32" x14ac:dyDescent="0.2">
      <c r="A84" t="str">
        <f t="shared" si="95"/>
        <v>21 Science, research, engineering and technology professionals</v>
      </c>
      <c r="B84" s="17">
        <f t="shared" si="96"/>
        <v>4.2031215648683062</v>
      </c>
      <c r="C84" s="17">
        <f t="shared" si="96"/>
        <v>4.8973466117150366</v>
      </c>
      <c r="D84" s="17">
        <f t="shared" si="96"/>
        <v>1.0671396388005849</v>
      </c>
      <c r="E84" s="17">
        <f t="shared" si="96"/>
        <v>1.0937048444684017</v>
      </c>
      <c r="F84" s="17">
        <f t="shared" si="97"/>
        <v>1.0848490001600153</v>
      </c>
      <c r="H84" s="17">
        <f t="shared" si="98"/>
        <v>1.0848490001600153</v>
      </c>
      <c r="I84" s="17">
        <f t="shared" si="99"/>
        <v>2.2541037169808931</v>
      </c>
      <c r="J84" s="17">
        <f t="shared" si="100"/>
        <v>3.0647909267387474</v>
      </c>
      <c r="K84" s="39"/>
      <c r="L84" t="str">
        <f t="shared" si="101"/>
        <v>21 Science, research, engineering and technology professionals</v>
      </c>
      <c r="M84" s="17">
        <f t="shared" si="102"/>
        <v>4.2702530418727624</v>
      </c>
      <c r="N84" s="17">
        <f t="shared" si="102"/>
        <v>1.1683734395450784</v>
      </c>
      <c r="O84" s="17">
        <f t="shared" si="102"/>
        <v>0.48040957151944674</v>
      </c>
      <c r="P84" s="17">
        <f t="shared" si="102"/>
        <v>0.87533526541823115</v>
      </c>
      <c r="Q84" s="17">
        <f t="shared" si="103"/>
        <v>0.74352120069136607</v>
      </c>
      <c r="S84" s="17">
        <f t="shared" si="104"/>
        <v>0.74352120069136607</v>
      </c>
      <c r="T84" s="17">
        <f t="shared" si="105"/>
        <v>1.9854863823587365</v>
      </c>
      <c r="U84" s="17">
        <f t="shared" si="106"/>
        <v>2.5574517359517213</v>
      </c>
      <c r="W84" t="str">
        <f t="shared" si="107"/>
        <v>21 Science, research, engineering and technology professionals</v>
      </c>
      <c r="X84" s="17">
        <f t="shared" si="108"/>
        <v>3.8571816486263177</v>
      </c>
      <c r="Y84" s="17">
        <f t="shared" si="108"/>
        <v>24.305148813535538</v>
      </c>
      <c r="Z84" s="17">
        <f t="shared" si="108"/>
        <v>3.4123679754410441</v>
      </c>
      <c r="AA84" s="17">
        <f t="shared" si="108"/>
        <v>1.8603507015568566</v>
      </c>
      <c r="AB84" s="17">
        <f t="shared" si="109"/>
        <v>2.3750842945978956</v>
      </c>
      <c r="AD84" s="17">
        <f t="shared" si="110"/>
        <v>2.3750842945978956</v>
      </c>
      <c r="AE84" s="17">
        <f t="shared" si="111"/>
        <v>3.2938723345971255</v>
      </c>
      <c r="AF84" s="17">
        <f t="shared" si="112"/>
        <v>4.8952655016435864</v>
      </c>
    </row>
    <row r="85" spans="1:32" x14ac:dyDescent="0.2">
      <c r="A85" t="str">
        <f t="shared" si="95"/>
        <v>22 Health professionals</v>
      </c>
      <c r="B85" s="17">
        <f t="shared" si="96"/>
        <v>3.5781238249942504</v>
      </c>
      <c r="C85" s="17">
        <f t="shared" si="96"/>
        <v>-9.1580059910911782E-2</v>
      </c>
      <c r="D85" s="17">
        <f t="shared" si="96"/>
        <v>1.4846912731679041</v>
      </c>
      <c r="E85" s="17">
        <f t="shared" si="96"/>
        <v>0.86926992778104673</v>
      </c>
      <c r="F85" s="17">
        <f t="shared" si="97"/>
        <v>1.0739945851860222</v>
      </c>
      <c r="H85" s="17">
        <f t="shared" si="98"/>
        <v>1.0739945851860222</v>
      </c>
      <c r="I85" s="17">
        <f t="shared" si="99"/>
        <v>3.0792705985533964</v>
      </c>
      <c r="J85" s="17">
        <f t="shared" si="100"/>
        <v>3.8006181083913626</v>
      </c>
      <c r="K85" s="39"/>
      <c r="L85" t="str">
        <f t="shared" si="101"/>
        <v>22 Health professionals</v>
      </c>
      <c r="M85" s="17">
        <f t="shared" si="102"/>
        <v>1.7917448774830813</v>
      </c>
      <c r="N85" s="17">
        <f t="shared" si="102"/>
        <v>10.668596043366495</v>
      </c>
      <c r="O85" s="17">
        <f t="shared" si="102"/>
        <v>0.96980148571619296</v>
      </c>
      <c r="P85" s="17">
        <f t="shared" si="102"/>
        <v>0.69571542633513062</v>
      </c>
      <c r="Q85" s="17">
        <f t="shared" si="103"/>
        <v>0.78699467776781606</v>
      </c>
      <c r="S85" s="17">
        <f t="shared" si="104"/>
        <v>0.78699467776781606</v>
      </c>
      <c r="T85" s="17">
        <f t="shared" si="105"/>
        <v>2.2937017283499284</v>
      </c>
      <c r="U85" s="17">
        <f t="shared" si="106"/>
        <v>2.875530332432441</v>
      </c>
      <c r="W85" t="str">
        <f t="shared" si="107"/>
        <v>22 Health professionals</v>
      </c>
      <c r="X85" s="17">
        <f t="shared" si="108"/>
        <v>4.1938430476644584</v>
      </c>
      <c r="Y85" s="17">
        <f t="shared" si="108"/>
        <v>-3.5896794227460282</v>
      </c>
      <c r="Z85" s="17">
        <f t="shared" si="108"/>
        <v>1.6741869154216715</v>
      </c>
      <c r="AA85" s="17">
        <f t="shared" si="108"/>
        <v>0.93117036265006892</v>
      </c>
      <c r="AB85" s="17">
        <f t="shared" si="109"/>
        <v>1.178237264500015</v>
      </c>
      <c r="AD85" s="17">
        <f t="shared" si="110"/>
        <v>1.178237264500015</v>
      </c>
      <c r="AE85" s="17">
        <f t="shared" si="111"/>
        <v>3.3521757073857739</v>
      </c>
      <c r="AF85" s="17">
        <f t="shared" si="112"/>
        <v>4.1182185143005867</v>
      </c>
    </row>
    <row r="86" spans="1:32" x14ac:dyDescent="0.2">
      <c r="A86" t="str">
        <f t="shared" si="95"/>
        <v>23 Teaching and other educational professionals</v>
      </c>
      <c r="B86" s="17">
        <f t="shared" si="96"/>
        <v>2.1013237143422625</v>
      </c>
      <c r="C86" s="17">
        <f t="shared" si="96"/>
        <v>4.2532498901908022</v>
      </c>
      <c r="D86" s="17">
        <f t="shared" si="96"/>
        <v>-0.12570305793832004</v>
      </c>
      <c r="E86" s="17">
        <f t="shared" si="96"/>
        <v>0.41006546473691952</v>
      </c>
      <c r="F86" s="17">
        <f t="shared" si="97"/>
        <v>0.2311573726335725</v>
      </c>
      <c r="H86" s="17">
        <f t="shared" si="98"/>
        <v>0.2311573726335725</v>
      </c>
      <c r="I86" s="17">
        <f t="shared" si="99"/>
        <v>2.6851049997569376</v>
      </c>
      <c r="J86" s="17">
        <f t="shared" si="100"/>
        <v>2.8454629813132293</v>
      </c>
      <c r="K86" s="39"/>
      <c r="L86" t="str">
        <f t="shared" si="101"/>
        <v>23 Teaching and other educational professionals</v>
      </c>
      <c r="M86" s="17">
        <f t="shared" si="102"/>
        <v>-7.0654724525476276E-2</v>
      </c>
      <c r="N86" s="17">
        <f t="shared" si="102"/>
        <v>4.8644155785159793</v>
      </c>
      <c r="O86" s="17">
        <f t="shared" si="102"/>
        <v>0.53062966404155976</v>
      </c>
      <c r="P86" s="17">
        <f t="shared" si="102"/>
        <v>0.35269540089939433</v>
      </c>
      <c r="Q86" s="17">
        <f t="shared" si="103"/>
        <v>0.41197180162677594</v>
      </c>
      <c r="S86" s="17">
        <f t="shared" si="104"/>
        <v>0.41197180162677594</v>
      </c>
      <c r="T86" s="17">
        <f t="shared" si="105"/>
        <v>2.4333992544662175</v>
      </c>
      <c r="U86" s="17">
        <f t="shared" si="106"/>
        <v>2.7301715497101586</v>
      </c>
      <c r="W86" t="str">
        <f t="shared" si="107"/>
        <v>23 Teaching and other educational professionals</v>
      </c>
      <c r="X86" s="17">
        <f t="shared" si="108"/>
        <v>3.5112891904935939</v>
      </c>
      <c r="Y86" s="17">
        <f t="shared" si="108"/>
        <v>3.8900039148869192</v>
      </c>
      <c r="Z86" s="17">
        <f t="shared" si="108"/>
        <v>-0.5278881535484059</v>
      </c>
      <c r="AA86" s="17">
        <f t="shared" si="108"/>
        <v>0.44620204736216529</v>
      </c>
      <c r="AB86" s="17">
        <f t="shared" si="109"/>
        <v>0.12045002576004382</v>
      </c>
      <c r="AD86" s="17">
        <f t="shared" si="110"/>
        <v>0.12045002576004382</v>
      </c>
      <c r="AE86" s="17">
        <f t="shared" si="111"/>
        <v>2.8320641722950457</v>
      </c>
      <c r="AF86" s="17">
        <f t="shared" si="112"/>
        <v>2.9137704567496092</v>
      </c>
    </row>
    <row r="87" spans="1:32" x14ac:dyDescent="0.2">
      <c r="A87" t="str">
        <f t="shared" si="95"/>
        <v>24 Business, media and public service professionals</v>
      </c>
      <c r="B87" s="17">
        <f t="shared" si="96"/>
        <v>4.7364296269085893</v>
      </c>
      <c r="C87" s="17">
        <f t="shared" si="96"/>
        <v>13.395734950334749</v>
      </c>
      <c r="D87" s="17">
        <f t="shared" si="96"/>
        <v>2.1312808120383719</v>
      </c>
      <c r="E87" s="17">
        <f t="shared" si="96"/>
        <v>1.2273990889697828</v>
      </c>
      <c r="F87" s="17">
        <f t="shared" si="97"/>
        <v>1.5278006457507542</v>
      </c>
      <c r="H87" s="17">
        <f t="shared" si="98"/>
        <v>1.5278006457507542</v>
      </c>
      <c r="I87" s="17">
        <f t="shared" si="99"/>
        <v>2.9631697765867937</v>
      </c>
      <c r="J87" s="17">
        <f t="shared" si="100"/>
        <v>4.0156404503306264</v>
      </c>
      <c r="K87" s="39"/>
      <c r="L87" t="str">
        <f t="shared" si="101"/>
        <v>24 Business, media and public service professionals</v>
      </c>
      <c r="M87" s="17">
        <f t="shared" si="102"/>
        <v>2.6872910246478421</v>
      </c>
      <c r="N87" s="17">
        <f t="shared" si="102"/>
        <v>11.051279914211243</v>
      </c>
      <c r="O87" s="17">
        <f t="shared" si="102"/>
        <v>2.1667134001035704</v>
      </c>
      <c r="P87" s="17">
        <f t="shared" si="102"/>
        <v>0.9097108127926079</v>
      </c>
      <c r="Q87" s="17">
        <f t="shared" si="103"/>
        <v>1.3269838260103972</v>
      </c>
      <c r="S87" s="17">
        <f t="shared" si="104"/>
        <v>1.3269838260103972</v>
      </c>
      <c r="T87" s="17">
        <f t="shared" si="105"/>
        <v>2.6339344377215745</v>
      </c>
      <c r="U87" s="17">
        <f t="shared" si="106"/>
        <v>3.5828970362981272</v>
      </c>
      <c r="W87" t="str">
        <f t="shared" si="107"/>
        <v>24 Business, media and public service professionals</v>
      </c>
      <c r="X87" s="17">
        <f t="shared" si="108"/>
        <v>7.4927583592156122</v>
      </c>
      <c r="Y87" s="17">
        <f t="shared" si="108"/>
        <v>16.20907666900251</v>
      </c>
      <c r="Z87" s="17">
        <f t="shared" si="108"/>
        <v>2.0905883106175915</v>
      </c>
      <c r="AA87" s="17">
        <f t="shared" si="108"/>
        <v>1.5822916719095304</v>
      </c>
      <c r="AB87" s="17">
        <f t="shared" si="109"/>
        <v>1.7514420666268515</v>
      </c>
      <c r="AD87" s="17">
        <f t="shared" si="110"/>
        <v>1.7514420666268515</v>
      </c>
      <c r="AE87" s="17">
        <f t="shared" si="111"/>
        <v>3.3234231138624004</v>
      </c>
      <c r="AF87" s="17">
        <f t="shared" si="112"/>
        <v>4.4827177870592649</v>
      </c>
    </row>
    <row r="88" spans="1:32" x14ac:dyDescent="0.2">
      <c r="A88" t="str">
        <f t="shared" si="95"/>
        <v>31 Science, engineering and technology associate professionals</v>
      </c>
      <c r="B88" s="17">
        <f t="shared" si="96"/>
        <v>4.5844367183293544</v>
      </c>
      <c r="C88" s="17">
        <f t="shared" si="96"/>
        <v>10.793256812821973</v>
      </c>
      <c r="D88" s="17">
        <f t="shared" si="96"/>
        <v>-2.8032577175948314</v>
      </c>
      <c r="E88" s="17">
        <f t="shared" si="96"/>
        <v>0.6235545017582389</v>
      </c>
      <c r="F88" s="17">
        <f t="shared" si="97"/>
        <v>-0.53193425260152916</v>
      </c>
      <c r="H88" s="17">
        <f t="shared" si="98"/>
        <v>-0.53193425260152916</v>
      </c>
      <c r="I88" s="17">
        <f t="shared" si="99"/>
        <v>2.0776920019178968</v>
      </c>
      <c r="J88" s="17">
        <f t="shared" si="100"/>
        <v>1.6828267593469004</v>
      </c>
      <c r="K88" s="39"/>
      <c r="L88" t="str">
        <f t="shared" si="101"/>
        <v>31 Science, engineering and technology associate professionals</v>
      </c>
      <c r="M88" s="17">
        <f t="shared" si="102"/>
        <v>5.2507750630222949</v>
      </c>
      <c r="N88" s="17">
        <f t="shared" si="102"/>
        <v>6.7204323269144384</v>
      </c>
      <c r="O88" s="17">
        <f t="shared" si="102"/>
        <v>-4.1060241906908379</v>
      </c>
      <c r="P88" s="17">
        <f t="shared" si="102"/>
        <v>0.17003361711913634</v>
      </c>
      <c r="Q88" s="17">
        <f t="shared" si="103"/>
        <v>-1.2760959261378768</v>
      </c>
      <c r="S88" s="17">
        <f t="shared" si="104"/>
        <v>-1.2760959261378768</v>
      </c>
      <c r="T88" s="17">
        <f t="shared" si="105"/>
        <v>1.7628843721452014</v>
      </c>
      <c r="U88" s="17">
        <f t="shared" si="106"/>
        <v>0.78513157115021048</v>
      </c>
      <c r="W88" t="str">
        <f t="shared" si="107"/>
        <v>31 Science, engineering and technology associate professionals</v>
      </c>
      <c r="X88" s="17">
        <f t="shared" si="108"/>
        <v>2.4901827949585176</v>
      </c>
      <c r="Y88" s="17">
        <f t="shared" si="108"/>
        <v>24.476464528726403</v>
      </c>
      <c r="Z88" s="17">
        <f t="shared" si="108"/>
        <v>0.60275338659143696</v>
      </c>
      <c r="AA88" s="17">
        <f t="shared" si="108"/>
        <v>1.588175263020597</v>
      </c>
      <c r="AB88" s="17">
        <f t="shared" si="109"/>
        <v>1.2586334597194382</v>
      </c>
      <c r="AD88" s="17">
        <f t="shared" si="110"/>
        <v>1.2586334597194382</v>
      </c>
      <c r="AE88" s="17">
        <f t="shared" si="111"/>
        <v>2.9152840351206244</v>
      </c>
      <c r="AF88" s="17">
        <f t="shared" si="112"/>
        <v>3.7823435966624075</v>
      </c>
    </row>
    <row r="89" spans="1:32" x14ac:dyDescent="0.2">
      <c r="A89" t="str">
        <f t="shared" si="95"/>
        <v>32 Health and social care associate professionals</v>
      </c>
      <c r="B89" s="17">
        <f t="shared" si="96"/>
        <v>3.3400347078089698</v>
      </c>
      <c r="C89" s="17">
        <f t="shared" si="96"/>
        <v>1.7410135028305351</v>
      </c>
      <c r="D89" s="17">
        <f t="shared" si="96"/>
        <v>0.26753462675352946</v>
      </c>
      <c r="E89" s="17">
        <f t="shared" si="96"/>
        <v>0.91153977757556515</v>
      </c>
      <c r="F89" s="17">
        <f t="shared" si="97"/>
        <v>0.69641310546697532</v>
      </c>
      <c r="H89" s="17">
        <f t="shared" si="98"/>
        <v>0.69641310546697532</v>
      </c>
      <c r="I89" s="17">
        <f t="shared" si="99"/>
        <v>3.1569602028901134</v>
      </c>
      <c r="J89" s="17">
        <f t="shared" si="100"/>
        <v>3.6157463165125803</v>
      </c>
      <c r="K89" s="39"/>
      <c r="L89" t="str">
        <f t="shared" si="101"/>
        <v>32 Health and social care associate professionals</v>
      </c>
      <c r="M89" s="17">
        <f t="shared" si="102"/>
        <v>0.23252056374287733</v>
      </c>
      <c r="N89" s="17">
        <f t="shared" si="102"/>
        <v>12.033686184532201</v>
      </c>
      <c r="O89" s="17">
        <f t="shared" si="102"/>
        <v>-2.1594056562170505</v>
      </c>
      <c r="P89" s="17">
        <f t="shared" si="102"/>
        <v>0.65418895548456923</v>
      </c>
      <c r="Q89" s="17">
        <f t="shared" si="103"/>
        <v>-0.29255294247519936</v>
      </c>
      <c r="S89" s="17">
        <f t="shared" si="104"/>
        <v>-0.29255294247519936</v>
      </c>
      <c r="T89" s="17">
        <f t="shared" si="105"/>
        <v>2.4365813540514036</v>
      </c>
      <c r="U89" s="17">
        <f t="shared" si="106"/>
        <v>2.2290372802524994</v>
      </c>
      <c r="W89" t="str">
        <f t="shared" si="107"/>
        <v>32 Health and social care associate professionals</v>
      </c>
      <c r="X89" s="17">
        <f t="shared" si="108"/>
        <v>4.1436662827786019</v>
      </c>
      <c r="Y89" s="17">
        <f t="shared" si="108"/>
        <v>-0.67653279606425532</v>
      </c>
      <c r="Z89" s="17">
        <f t="shared" si="108"/>
        <v>0.87278848489655836</v>
      </c>
      <c r="AA89" s="17">
        <f t="shared" si="108"/>
        <v>0.96925594262293746</v>
      </c>
      <c r="AB89" s="17">
        <f t="shared" si="109"/>
        <v>0.93708987723328807</v>
      </c>
      <c r="AD89" s="17">
        <f t="shared" si="110"/>
        <v>0.93708987723328807</v>
      </c>
      <c r="AE89" s="17">
        <f t="shared" si="111"/>
        <v>3.336557064191159</v>
      </c>
      <c r="AF89" s="17">
        <f t="shared" si="112"/>
        <v>3.9432895632957932</v>
      </c>
    </row>
    <row r="90" spans="1:32" x14ac:dyDescent="0.2">
      <c r="A90" t="str">
        <f t="shared" si="95"/>
        <v>33 Protective service occupations</v>
      </c>
      <c r="B90" s="17">
        <f t="shared" si="96"/>
        <v>0.61301325607556745</v>
      </c>
      <c r="C90" s="17">
        <f t="shared" si="96"/>
        <v>4.4997598991917798</v>
      </c>
      <c r="D90" s="17">
        <f t="shared" si="96"/>
        <v>3.8718576962764262</v>
      </c>
      <c r="E90" s="17">
        <f t="shared" si="96"/>
        <v>1.3838950486823709</v>
      </c>
      <c r="F90" s="17">
        <f t="shared" si="97"/>
        <v>2.206523081509415</v>
      </c>
      <c r="H90" s="17">
        <f t="shared" si="98"/>
        <v>2.206523081509415</v>
      </c>
      <c r="I90" s="17">
        <f t="shared" si="99"/>
        <v>2.3031629845501556</v>
      </c>
      <c r="J90" s="17">
        <f t="shared" si="100"/>
        <v>3.9750118782776456</v>
      </c>
      <c r="K90" s="39"/>
      <c r="L90" t="str">
        <f t="shared" si="101"/>
        <v>33 Protective service occupations</v>
      </c>
      <c r="M90" s="17">
        <f t="shared" si="102"/>
        <v>0.10136508285298884</v>
      </c>
      <c r="N90" s="17">
        <f t="shared" si="102"/>
        <v>2.6730738890341277</v>
      </c>
      <c r="O90" s="17">
        <f t="shared" si="102"/>
        <v>3.17909585578664</v>
      </c>
      <c r="P90" s="17">
        <f t="shared" si="102"/>
        <v>0.8778124804363685</v>
      </c>
      <c r="Q90" s="17">
        <f t="shared" si="103"/>
        <v>1.6391466251125308</v>
      </c>
      <c r="S90" s="17">
        <f t="shared" si="104"/>
        <v>1.6391466251125308</v>
      </c>
      <c r="T90" s="17">
        <f t="shared" si="105"/>
        <v>1.9245757221702187</v>
      </c>
      <c r="U90" s="17">
        <f t="shared" si="106"/>
        <v>3.2138826992027303</v>
      </c>
      <c r="W90" t="str">
        <f t="shared" si="107"/>
        <v>33 Protective service occupations</v>
      </c>
      <c r="X90" s="17">
        <f t="shared" si="108"/>
        <v>3.0140926567470361</v>
      </c>
      <c r="Y90" s="17">
        <f t="shared" si="108"/>
        <v>12.481568344159232</v>
      </c>
      <c r="Z90" s="17">
        <f t="shared" si="108"/>
        <v>6.4655422754161584</v>
      </c>
      <c r="AA90" s="17">
        <f t="shared" si="108"/>
        <v>2.956792803332231</v>
      </c>
      <c r="AB90" s="17">
        <f t="shared" si="109"/>
        <v>4.1133355426288931</v>
      </c>
      <c r="AD90" s="17">
        <f t="shared" si="110"/>
        <v>4.1133355426288931</v>
      </c>
      <c r="AE90" s="17">
        <f t="shared" si="111"/>
        <v>3.6443232216454513</v>
      </c>
      <c r="AF90" s="17">
        <f t="shared" si="112"/>
        <v>6.4153368532094079</v>
      </c>
    </row>
    <row r="91" spans="1:32" x14ac:dyDescent="0.2">
      <c r="A91" t="str">
        <f t="shared" si="95"/>
        <v>34 Culture, media and sports occupations</v>
      </c>
      <c r="B91" s="17">
        <f t="shared" si="96"/>
        <v>-0.53202720210792087</v>
      </c>
      <c r="C91" s="17">
        <f t="shared" si="96"/>
        <v>3.2990567934958248</v>
      </c>
      <c r="D91" s="17">
        <f t="shared" si="96"/>
        <v>-1.5901812492311596</v>
      </c>
      <c r="E91" s="17">
        <f t="shared" si="96"/>
        <v>0.77679035401441165</v>
      </c>
      <c r="F91" s="17">
        <f t="shared" si="97"/>
        <v>-1.8459143798976729E-2</v>
      </c>
      <c r="H91" s="17">
        <f t="shared" si="98"/>
        <v>-1.8459143798976729E-2</v>
      </c>
      <c r="I91" s="17">
        <f t="shared" si="99"/>
        <v>2.421423687719626</v>
      </c>
      <c r="J91" s="17">
        <f t="shared" si="100"/>
        <v>2.4082237795720385</v>
      </c>
      <c r="K91" s="39"/>
      <c r="L91" t="str">
        <f t="shared" si="101"/>
        <v>34 Culture, media and sports occupations</v>
      </c>
      <c r="M91" s="17">
        <f t="shared" si="102"/>
        <v>-3.3961873813175614</v>
      </c>
      <c r="N91" s="17">
        <f t="shared" si="102"/>
        <v>-1.0636703068525155</v>
      </c>
      <c r="O91" s="17">
        <f t="shared" si="102"/>
        <v>-1.6833508048571311</v>
      </c>
      <c r="P91" s="17">
        <f t="shared" si="102"/>
        <v>0.74550071389174466</v>
      </c>
      <c r="Q91" s="17">
        <f t="shared" si="103"/>
        <v>-7.071132388565271E-2</v>
      </c>
      <c r="S91" s="17">
        <f t="shared" si="104"/>
        <v>-7.071132388565271E-2</v>
      </c>
      <c r="T91" s="17">
        <f t="shared" si="105"/>
        <v>2.1393929206062534</v>
      </c>
      <c r="U91" s="17">
        <f t="shared" si="106"/>
        <v>2.0868883846651975</v>
      </c>
      <c r="W91" t="str">
        <f t="shared" si="107"/>
        <v>34 Culture, media and sports occupations</v>
      </c>
      <c r="X91" s="17">
        <f t="shared" si="108"/>
        <v>3.2422689499422175</v>
      </c>
      <c r="Y91" s="17">
        <f t="shared" si="108"/>
        <v>8.1696657100004408</v>
      </c>
      <c r="Z91" s="17">
        <f t="shared" si="108"/>
        <v>-1.4954069230620926</v>
      </c>
      <c r="AA91" s="17">
        <f t="shared" si="108"/>
        <v>0.80834840997030533</v>
      </c>
      <c r="AB91" s="17">
        <f t="shared" si="109"/>
        <v>3.450484554650135E-2</v>
      </c>
      <c r="AD91" s="17">
        <f t="shared" si="110"/>
        <v>3.450484554650135E-2</v>
      </c>
      <c r="AE91" s="17">
        <f t="shared" si="111"/>
        <v>2.6986114943169381</v>
      </c>
      <c r="AF91" s="17">
        <f t="shared" si="112"/>
        <v>2.7223974775289372</v>
      </c>
    </row>
    <row r="92" spans="1:32" x14ac:dyDescent="0.2">
      <c r="A92" t="str">
        <f t="shared" si="95"/>
        <v>35 Business and public service associate professionals</v>
      </c>
      <c r="B92" s="17">
        <f t="shared" si="96"/>
        <v>2.1204800051458417</v>
      </c>
      <c r="C92" s="17">
        <f t="shared" si="96"/>
        <v>5.93413303509287</v>
      </c>
      <c r="D92" s="17">
        <f t="shared" si="96"/>
        <v>-0.87204928960566974</v>
      </c>
      <c r="E92" s="17">
        <f t="shared" si="96"/>
        <v>0.38654709326575443</v>
      </c>
      <c r="F92" s="17">
        <f t="shared" si="97"/>
        <v>-3.475064431593955E-2</v>
      </c>
      <c r="H92" s="17">
        <f t="shared" si="98"/>
        <v>-3.475064431593955E-2</v>
      </c>
      <c r="I92" s="17">
        <f t="shared" si="99"/>
        <v>2.4727171821054217</v>
      </c>
      <c r="J92" s="17">
        <f t="shared" si="100"/>
        <v>2.4480498116114857</v>
      </c>
      <c r="K92" s="39"/>
      <c r="L92" t="str">
        <f t="shared" si="101"/>
        <v>35 Business and public service associate professionals</v>
      </c>
      <c r="M92" s="17">
        <f t="shared" si="102"/>
        <v>1.2480988777974211</v>
      </c>
      <c r="N92" s="17">
        <f t="shared" si="102"/>
        <v>7.3225396894156303</v>
      </c>
      <c r="O92" s="17">
        <f t="shared" si="102"/>
        <v>-1.6643816509630094</v>
      </c>
      <c r="P92" s="17">
        <f t="shared" si="102"/>
        <v>-9.6066152082885381E-2</v>
      </c>
      <c r="Q92" s="17">
        <f t="shared" si="103"/>
        <v>-0.62159762667901575</v>
      </c>
      <c r="S92" s="17">
        <f t="shared" si="104"/>
        <v>-0.62159762667901575</v>
      </c>
      <c r="T92" s="17">
        <f t="shared" si="105"/>
        <v>2.0336088244644612</v>
      </c>
      <c r="U92" s="17">
        <f t="shared" si="106"/>
        <v>1.57009439892144</v>
      </c>
      <c r="W92" t="str">
        <f t="shared" si="107"/>
        <v>35 Business and public service associate professionals</v>
      </c>
      <c r="X92" s="17">
        <f t="shared" si="108"/>
        <v>3.1976701711915023</v>
      </c>
      <c r="Y92" s="17">
        <f t="shared" si="108"/>
        <v>4.299556829092932</v>
      </c>
      <c r="Z92" s="17">
        <f t="shared" si="108"/>
        <v>5.5075407373439411E-2</v>
      </c>
      <c r="AA92" s="17">
        <f t="shared" si="108"/>
        <v>0.89926167072209573</v>
      </c>
      <c r="AB92" s="17">
        <f t="shared" si="109"/>
        <v>0.61707780475945828</v>
      </c>
      <c r="AD92" s="17">
        <f t="shared" si="110"/>
        <v>0.61707780475945828</v>
      </c>
      <c r="AE92" s="17">
        <f t="shared" si="111"/>
        <v>2.9716330637817201</v>
      </c>
      <c r="AF92" s="17">
        <f t="shared" si="112"/>
        <v>3.3873841322381359</v>
      </c>
    </row>
    <row r="93" spans="1:32" x14ac:dyDescent="0.2">
      <c r="A93" t="str">
        <f t="shared" si="95"/>
        <v>41 Administrative occupations</v>
      </c>
      <c r="B93" s="17">
        <f t="shared" si="96"/>
        <v>0.20777477820912438</v>
      </c>
      <c r="C93" s="17">
        <f t="shared" si="96"/>
        <v>5.035772742734812</v>
      </c>
      <c r="D93" s="17">
        <f t="shared" si="96"/>
        <v>-1.7561438429268494</v>
      </c>
      <c r="E93" s="17">
        <f t="shared" si="96"/>
        <v>-0.54570555426233236</v>
      </c>
      <c r="F93" s="17">
        <f t="shared" si="97"/>
        <v>-0.95083303144160025</v>
      </c>
      <c r="H93" s="17">
        <f t="shared" si="98"/>
        <v>-0.95083303144160025</v>
      </c>
      <c r="I93" s="17">
        <f t="shared" si="99"/>
        <v>2.5479071997570379</v>
      </c>
      <c r="J93" s="17">
        <f t="shared" si="100"/>
        <v>1.8936532038899223</v>
      </c>
      <c r="K93" s="39"/>
      <c r="L93" t="str">
        <f t="shared" si="101"/>
        <v>41 Administrative occupations</v>
      </c>
      <c r="M93" s="17">
        <f t="shared" si="102"/>
        <v>-1.0415953472432071</v>
      </c>
      <c r="N93" s="17">
        <f t="shared" si="102"/>
        <v>22.517415134612186</v>
      </c>
      <c r="O93" s="17">
        <f t="shared" si="102"/>
        <v>-1.513537409200294</v>
      </c>
      <c r="P93" s="17">
        <f t="shared" si="102"/>
        <v>0.68720631672185561</v>
      </c>
      <c r="Q93" s="17">
        <f t="shared" si="103"/>
        <v>-5.1785471751319978E-2</v>
      </c>
      <c r="S93" s="17">
        <f t="shared" si="104"/>
        <v>-5.1785471751319978E-2</v>
      </c>
      <c r="T93" s="17">
        <f t="shared" si="105"/>
        <v>2.0171205960035632</v>
      </c>
      <c r="U93" s="17">
        <f t="shared" si="106"/>
        <v>1.9780025844589266</v>
      </c>
      <c r="W93" t="str">
        <f t="shared" si="107"/>
        <v>41 Administrative occupations</v>
      </c>
      <c r="X93" s="17">
        <f t="shared" si="108"/>
        <v>0.58066863159811355</v>
      </c>
      <c r="Y93" s="17">
        <f t="shared" si="108"/>
        <v>2.6406589278216153E-2</v>
      </c>
      <c r="Z93" s="17">
        <f t="shared" si="108"/>
        <v>-1.8418651551830312</v>
      </c>
      <c r="AA93" s="17">
        <f t="shared" si="108"/>
        <v>-1.0211963454192508</v>
      </c>
      <c r="AB93" s="17">
        <f t="shared" si="109"/>
        <v>-1.2955121684091631</v>
      </c>
      <c r="AD93" s="17">
        <f t="shared" si="110"/>
        <v>-1.2955121684091631</v>
      </c>
      <c r="AE93" s="17">
        <f t="shared" si="111"/>
        <v>2.7254349271421674</v>
      </c>
      <c r="AF93" s="17">
        <f t="shared" si="112"/>
        <v>1.8638149105425272</v>
      </c>
    </row>
    <row r="94" spans="1:32" x14ac:dyDescent="0.2">
      <c r="A94" t="str">
        <f t="shared" si="95"/>
        <v>42 Secretarial and related occupations</v>
      </c>
      <c r="B94" s="17">
        <f t="shared" si="96"/>
        <v>-0.95499346681502395</v>
      </c>
      <c r="C94" s="17">
        <f t="shared" si="96"/>
        <v>-1.1248640152371148</v>
      </c>
      <c r="D94" s="17">
        <f t="shared" si="96"/>
        <v>0.97975906544858216</v>
      </c>
      <c r="E94" s="17">
        <f t="shared" si="96"/>
        <v>-2.3013505679146617</v>
      </c>
      <c r="F94" s="17">
        <f t="shared" si="97"/>
        <v>-1.2196675458392203</v>
      </c>
      <c r="H94" s="17">
        <f t="shared" si="98"/>
        <v>-1.2196675458392203</v>
      </c>
      <c r="I94" s="17">
        <f t="shared" si="99"/>
        <v>2.7864471475386177</v>
      </c>
      <c r="J94" s="17">
        <f t="shared" si="100"/>
        <v>1.9808600512698282</v>
      </c>
      <c r="K94" s="39"/>
      <c r="L94" t="str">
        <f t="shared" si="101"/>
        <v>42 Secretarial and related occupations</v>
      </c>
      <c r="M94" s="17">
        <f t="shared" si="102"/>
        <v>-6.6018242710229043</v>
      </c>
      <c r="N94" s="17">
        <f t="shared" si="102"/>
        <v>1.130561336035707</v>
      </c>
      <c r="O94" s="17">
        <f t="shared" si="102"/>
        <v>4.28075153339047</v>
      </c>
      <c r="P94" s="17">
        <f t="shared" si="102"/>
        <v>1.9081411040954732</v>
      </c>
      <c r="Q94" s="17">
        <f t="shared" si="103"/>
        <v>2.692951781176367</v>
      </c>
      <c r="S94" s="17">
        <f t="shared" si="104"/>
        <v>2.692951781176367</v>
      </c>
      <c r="T94" s="17">
        <f t="shared" si="105"/>
        <v>2.3566037736491463</v>
      </c>
      <c r="U94" s="17">
        <f t="shared" si="106"/>
        <v>4.400912031654447</v>
      </c>
      <c r="W94" t="str">
        <f t="shared" si="107"/>
        <v>42 Secretarial and related occupations</v>
      </c>
      <c r="X94" s="17">
        <f t="shared" si="108"/>
        <v>-0.48603320424477348</v>
      </c>
      <c r="Y94" s="17">
        <f t="shared" si="108"/>
        <v>-1.284366248767832</v>
      </c>
      <c r="Z94" s="17">
        <f t="shared" si="108"/>
        <v>0.72314792954488727</v>
      </c>
      <c r="AA94" s="17">
        <f t="shared" si="108"/>
        <v>-2.7524470326238171</v>
      </c>
      <c r="AB94" s="17">
        <f t="shared" si="109"/>
        <v>-1.6074495451482873</v>
      </c>
      <c r="AD94" s="17">
        <f t="shared" si="110"/>
        <v>-1.6074495451482873</v>
      </c>
      <c r="AE94" s="17">
        <f t="shared" si="111"/>
        <v>2.8166316019618387</v>
      </c>
      <c r="AF94" s="17">
        <f t="shared" si="112"/>
        <v>1.7701641096916187</v>
      </c>
    </row>
    <row r="95" spans="1:32" x14ac:dyDescent="0.2">
      <c r="A95" t="str">
        <f t="shared" si="95"/>
        <v>51 Skilled agricultural and related trades</v>
      </c>
      <c r="B95" s="17">
        <f t="shared" si="96"/>
        <v>0.78437320911877162</v>
      </c>
      <c r="C95" s="17">
        <f t="shared" si="96"/>
        <v>20.544609498252477</v>
      </c>
      <c r="D95" s="17">
        <f t="shared" si="96"/>
        <v>-0.87094041304652814</v>
      </c>
      <c r="E95" s="17">
        <f t="shared" si="96"/>
        <v>0.19005526247277693</v>
      </c>
      <c r="F95" s="17">
        <f t="shared" si="97"/>
        <v>-0.16486577793266566</v>
      </c>
      <c r="H95" s="17">
        <f t="shared" si="98"/>
        <v>-0.16486577793266566</v>
      </c>
      <c r="I95" s="17">
        <f t="shared" si="99"/>
        <v>2.8890875429499641</v>
      </c>
      <c r="J95" s="17">
        <f t="shared" si="100"/>
        <v>2.7788807559139039</v>
      </c>
      <c r="K95" s="39"/>
      <c r="L95" t="str">
        <f t="shared" si="101"/>
        <v>51 Skilled agricultural and related trades</v>
      </c>
      <c r="M95" s="17">
        <f t="shared" si="102"/>
        <v>-2.5910386489699788</v>
      </c>
      <c r="N95" s="17">
        <f t="shared" si="102"/>
        <v>32.375990393228093</v>
      </c>
      <c r="O95" s="17">
        <f t="shared" si="102"/>
        <v>-1.5531900039796542</v>
      </c>
      <c r="P95" s="17">
        <f t="shared" si="102"/>
        <v>-0.10937266128560053</v>
      </c>
      <c r="Q95" s="17">
        <f t="shared" si="103"/>
        <v>-0.59298267766091373</v>
      </c>
      <c r="S95" s="17">
        <f t="shared" si="104"/>
        <v>-0.59298267766091373</v>
      </c>
      <c r="T95" s="17">
        <f t="shared" si="105"/>
        <v>2.5735891363670049</v>
      </c>
      <c r="U95" s="17">
        <f t="shared" si="106"/>
        <v>2.163653274056232</v>
      </c>
      <c r="W95" t="str">
        <f t="shared" si="107"/>
        <v>51 Skilled agricultural and related trades</v>
      </c>
      <c r="X95" s="17">
        <f t="shared" si="108"/>
        <v>12.017842549094437</v>
      </c>
      <c r="Y95" s="17">
        <f t="shared" si="108"/>
        <v>-7.3945464008100092</v>
      </c>
      <c r="Z95" s="17">
        <f t="shared" si="108"/>
        <v>1.3031016111950233</v>
      </c>
      <c r="AA95" s="17">
        <f t="shared" si="108"/>
        <v>1.0226018866781539</v>
      </c>
      <c r="AB95" s="17">
        <f t="shared" si="109"/>
        <v>1.1160153906975223</v>
      </c>
      <c r="AD95" s="17">
        <f t="shared" si="110"/>
        <v>1.1160153906975223</v>
      </c>
      <c r="AE95" s="17">
        <f t="shared" si="111"/>
        <v>3.8641122999108157</v>
      </c>
      <c r="AF95" s="17">
        <f t="shared" si="112"/>
        <v>4.5424260327556532</v>
      </c>
    </row>
    <row r="96" spans="1:32" x14ac:dyDescent="0.2">
      <c r="A96" t="str">
        <f t="shared" si="95"/>
        <v>52 Skilled metal, electrical and electronic trades</v>
      </c>
      <c r="B96" s="17">
        <f t="shared" si="96"/>
        <v>0.40548829559166055</v>
      </c>
      <c r="C96" s="17">
        <f t="shared" si="96"/>
        <v>-12.735043957832758</v>
      </c>
      <c r="D96" s="17">
        <f t="shared" si="96"/>
        <v>-0.55692544105915287</v>
      </c>
      <c r="E96" s="17">
        <f t="shared" si="96"/>
        <v>-0.70560932011610733</v>
      </c>
      <c r="F96" s="17">
        <f t="shared" si="97"/>
        <v>-0.65607274430817819</v>
      </c>
      <c r="H96" s="17">
        <f t="shared" si="98"/>
        <v>-0.65607274430817819</v>
      </c>
      <c r="I96" s="17">
        <f t="shared" si="99"/>
        <v>2.0756384053377097</v>
      </c>
      <c r="J96" s="17">
        <f t="shared" si="100"/>
        <v>1.5896526973743219</v>
      </c>
      <c r="K96" s="39"/>
      <c r="L96" t="str">
        <f t="shared" si="101"/>
        <v>52 Skilled metal, electrical and electronic trades</v>
      </c>
      <c r="M96" s="17">
        <f t="shared" si="102"/>
        <v>0.1881562505502643</v>
      </c>
      <c r="N96" s="17">
        <f t="shared" si="102"/>
        <v>-12.460641178489295</v>
      </c>
      <c r="O96" s="17">
        <f t="shared" si="102"/>
        <v>-1.1076274503661887</v>
      </c>
      <c r="P96" s="17">
        <f t="shared" si="102"/>
        <v>-0.89006977898969941</v>
      </c>
      <c r="Q96" s="17">
        <f t="shared" si="103"/>
        <v>-0.96264213026009404</v>
      </c>
      <c r="S96" s="17">
        <f t="shared" si="104"/>
        <v>-0.96264213026009404</v>
      </c>
      <c r="T96" s="17">
        <f t="shared" si="105"/>
        <v>1.9784459926415865</v>
      </c>
      <c r="U96" s="17">
        <f t="shared" si="106"/>
        <v>1.25962343085535</v>
      </c>
      <c r="W96" t="str">
        <f t="shared" si="107"/>
        <v>52 Skilled metal, electrical and electronic trades</v>
      </c>
      <c r="X96" s="17">
        <f t="shared" si="108"/>
        <v>12.257042453932531</v>
      </c>
      <c r="Y96" s="17">
        <f t="shared" si="108"/>
        <v>-24.083031264254384</v>
      </c>
      <c r="Z96" s="17">
        <f t="shared" si="108"/>
        <v>17.527949073488337</v>
      </c>
      <c r="AA96" s="17">
        <f t="shared" si="108"/>
        <v>2.4741662425161293</v>
      </c>
      <c r="AB96" s="17">
        <f t="shared" si="109"/>
        <v>7.2646569511953585</v>
      </c>
      <c r="AD96" s="17">
        <f t="shared" si="110"/>
        <v>7.2646569511953585</v>
      </c>
      <c r="AE96" s="17">
        <f t="shared" si="111"/>
        <v>5.6533608387386192</v>
      </c>
      <c r="AF96" s="17">
        <f t="shared" si="112"/>
        <v>9.9429005981661369</v>
      </c>
    </row>
    <row r="97" spans="1:32" x14ac:dyDescent="0.2">
      <c r="A97" t="str">
        <f t="shared" si="95"/>
        <v>53 Skilled construction and building trades</v>
      </c>
      <c r="B97" s="17">
        <f t="shared" si="96"/>
        <v>-0.136665250605017</v>
      </c>
      <c r="C97" s="17">
        <f t="shared" si="96"/>
        <v>-20.282348898973712</v>
      </c>
      <c r="D97" s="17">
        <f t="shared" si="96"/>
        <v>0.28805983036706007</v>
      </c>
      <c r="E97" s="17">
        <f t="shared" si="96"/>
        <v>-1.2763538083555126</v>
      </c>
      <c r="F97" s="17">
        <f t="shared" si="97"/>
        <v>-0.75761307864201655</v>
      </c>
      <c r="H97" s="17">
        <f t="shared" si="98"/>
        <v>-0.75761307864201655</v>
      </c>
      <c r="I97" s="17">
        <f t="shared" si="99"/>
        <v>2.2658536171511479</v>
      </c>
      <c r="J97" s="17">
        <f t="shared" si="100"/>
        <v>1.7207682088008713</v>
      </c>
      <c r="K97" s="39"/>
      <c r="L97" t="str">
        <f t="shared" si="101"/>
        <v>53 Skilled construction and building trades</v>
      </c>
      <c r="M97" s="17">
        <f t="shared" si="102"/>
        <v>-0.20627625639910718</v>
      </c>
      <c r="N97" s="17">
        <f t="shared" si="102"/>
        <v>-20.463840002724243</v>
      </c>
      <c r="O97" s="17">
        <f t="shared" si="102"/>
        <v>0.2756125450475766</v>
      </c>
      <c r="P97" s="17">
        <f t="shared" si="102"/>
        <v>-1.3068966334609189</v>
      </c>
      <c r="Q97" s="17">
        <f t="shared" si="103"/>
        <v>-0.78218816531624435</v>
      </c>
      <c r="S97" s="17">
        <f t="shared" si="104"/>
        <v>-0.78218816531624435</v>
      </c>
      <c r="T97" s="17">
        <f t="shared" si="105"/>
        <v>2.2559031531505402</v>
      </c>
      <c r="U97" s="17">
        <f t="shared" si="106"/>
        <v>1.692628816791597</v>
      </c>
      <c r="W97" t="str">
        <f t="shared" si="107"/>
        <v>53 Skilled construction and building trades</v>
      </c>
      <c r="X97" s="17">
        <f t="shared" si="108"/>
        <v>6.9065821966529661</v>
      </c>
      <c r="Y97" s="17">
        <f t="shared" si="108"/>
        <v>-4.7778714353631235</v>
      </c>
      <c r="Z97" s="17">
        <f t="shared" si="108"/>
        <v>1.1607046906210172</v>
      </c>
      <c r="AA97" s="17">
        <f t="shared" si="108"/>
        <v>0.63166923688202647</v>
      </c>
      <c r="AB97" s="17">
        <f t="shared" si="109"/>
        <v>0.80770626341115648</v>
      </c>
      <c r="AD97" s="17">
        <f t="shared" si="110"/>
        <v>0.80770626341115648</v>
      </c>
      <c r="AE97" s="17">
        <f t="shared" si="111"/>
        <v>2.9430801081019364</v>
      </c>
      <c r="AF97" s="17">
        <f t="shared" si="112"/>
        <v>3.4917816425833692</v>
      </c>
    </row>
    <row r="98" spans="1:32" x14ac:dyDescent="0.2">
      <c r="A98" t="str">
        <f t="shared" si="95"/>
        <v>54 Textiles, printing and other skilled trades</v>
      </c>
      <c r="B98" s="17">
        <f t="shared" si="96"/>
        <v>-3.1591434690725673</v>
      </c>
      <c r="C98" s="17">
        <f t="shared" si="96"/>
        <v>-3.5026345683895732</v>
      </c>
      <c r="D98" s="17">
        <f t="shared" si="96"/>
        <v>-1.0142365698378564</v>
      </c>
      <c r="E98" s="17">
        <f t="shared" si="96"/>
        <v>-0.80700065254875053</v>
      </c>
      <c r="F98" s="17">
        <f t="shared" si="97"/>
        <v>-0.8761274543655162</v>
      </c>
      <c r="H98" s="17">
        <f t="shared" si="98"/>
        <v>-0.8761274543655162</v>
      </c>
      <c r="I98" s="17">
        <f t="shared" si="99"/>
        <v>2.246101909492304</v>
      </c>
      <c r="J98" s="17">
        <f t="shared" si="100"/>
        <v>1.6155431993441161</v>
      </c>
      <c r="K98" s="39"/>
      <c r="L98" t="str">
        <f t="shared" si="101"/>
        <v>54 Textiles, printing and other skilled trades</v>
      </c>
      <c r="M98" s="17">
        <f t="shared" si="102"/>
        <v>-4.7938480305752211</v>
      </c>
      <c r="N98" s="17">
        <f t="shared" si="102"/>
        <v>-5.5765822194783095</v>
      </c>
      <c r="O98" s="17">
        <f t="shared" si="102"/>
        <v>-0.92401189868985822</v>
      </c>
      <c r="P98" s="17">
        <f t="shared" si="102"/>
        <v>-1.0477018133491556</v>
      </c>
      <c r="Q98" s="17">
        <f t="shared" si="103"/>
        <v>-1.006489008967304</v>
      </c>
      <c r="S98" s="17">
        <f t="shared" si="104"/>
        <v>-1.006489008967304</v>
      </c>
      <c r="T98" s="17">
        <f t="shared" si="105"/>
        <v>1.7065834110895572</v>
      </c>
      <c r="U98" s="17">
        <f t="shared" si="106"/>
        <v>0.92534288876675586</v>
      </c>
      <c r="W98" t="str">
        <f t="shared" si="107"/>
        <v>54 Textiles, printing and other skilled trades</v>
      </c>
      <c r="X98" s="17">
        <f t="shared" si="108"/>
        <v>-0.93687881415105423</v>
      </c>
      <c r="Y98" s="17">
        <f t="shared" si="108"/>
        <v>-0.94935804051888839</v>
      </c>
      <c r="Z98" s="17">
        <f t="shared" si="108"/>
        <v>-1.1205461389247273</v>
      </c>
      <c r="AA98" s="17">
        <f t="shared" si="108"/>
        <v>-0.52833835260245321</v>
      </c>
      <c r="AB98" s="17">
        <f t="shared" si="109"/>
        <v>-0.72613399652046162</v>
      </c>
      <c r="AD98" s="17">
        <f t="shared" si="110"/>
        <v>-0.72613399652046162</v>
      </c>
      <c r="AE98" s="17">
        <f t="shared" si="111"/>
        <v>2.8323026233590509</v>
      </c>
      <c r="AF98" s="17">
        <f t="shared" si="112"/>
        <v>2.3498329234901583</v>
      </c>
    </row>
    <row r="99" spans="1:32" x14ac:dyDescent="0.2">
      <c r="A99" t="str">
        <f t="shared" si="95"/>
        <v>61 Caring personal service occupations</v>
      </c>
      <c r="B99" s="17">
        <f t="shared" si="96"/>
        <v>0.62584594574723873</v>
      </c>
      <c r="C99" s="17">
        <f t="shared" si="96"/>
        <v>-3.4352704049835814</v>
      </c>
      <c r="D99" s="17">
        <f t="shared" si="96"/>
        <v>1.6177728541188152</v>
      </c>
      <c r="E99" s="17">
        <f t="shared" si="96"/>
        <v>0.8117524592151204</v>
      </c>
      <c r="F99" s="17">
        <f t="shared" si="97"/>
        <v>1.0797130460473703</v>
      </c>
      <c r="H99" s="17">
        <f t="shared" si="98"/>
        <v>1.0797130460473703</v>
      </c>
      <c r="I99" s="17">
        <f t="shared" si="99"/>
        <v>3.2422287810036865</v>
      </c>
      <c r="J99" s="17">
        <f t="shared" si="100"/>
        <v>3.9524420398028282</v>
      </c>
      <c r="K99" s="39"/>
      <c r="L99" t="str">
        <f t="shared" si="101"/>
        <v>61 Caring personal service occupations</v>
      </c>
      <c r="M99" s="17">
        <f t="shared" si="102"/>
        <v>0.92147254966581382</v>
      </c>
      <c r="N99" s="17">
        <f t="shared" si="102"/>
        <v>0.86700247566784405</v>
      </c>
      <c r="O99" s="17">
        <f t="shared" si="102"/>
        <v>4.2138825128614554</v>
      </c>
      <c r="P99" s="17">
        <f t="shared" si="102"/>
        <v>1.57149084395658</v>
      </c>
      <c r="Q99" s="17">
        <f t="shared" si="103"/>
        <v>2.4447585720806186</v>
      </c>
      <c r="S99" s="17">
        <f t="shared" si="104"/>
        <v>2.4447585720806186</v>
      </c>
      <c r="T99" s="17">
        <f t="shared" si="105"/>
        <v>2.9884449159333748</v>
      </c>
      <c r="U99" s="17">
        <f t="shared" si="106"/>
        <v>4.7013683599352207</v>
      </c>
      <c r="W99" t="str">
        <f t="shared" si="107"/>
        <v>61 Caring personal service occupations</v>
      </c>
      <c r="X99" s="17">
        <f t="shared" si="108"/>
        <v>0.57541450493392432</v>
      </c>
      <c r="Y99" s="17">
        <f t="shared" si="108"/>
        <v>-4.1755280749153805</v>
      </c>
      <c r="Z99" s="17">
        <f t="shared" si="108"/>
        <v>1.1180371759682783</v>
      </c>
      <c r="AA99" s="17">
        <f t="shared" si="108"/>
        <v>0.64498508207262439</v>
      </c>
      <c r="AB99" s="17">
        <f t="shared" si="109"/>
        <v>0.80242270735018106</v>
      </c>
      <c r="AD99" s="17">
        <f t="shared" si="110"/>
        <v>0.80242270735018106</v>
      </c>
      <c r="AE99" s="17">
        <f t="shared" si="111"/>
        <v>3.2872728133791496</v>
      </c>
      <c r="AF99" s="17">
        <f t="shared" si="112"/>
        <v>3.8083505692342312</v>
      </c>
    </row>
    <row r="100" spans="1:32" x14ac:dyDescent="0.2">
      <c r="A100" t="str">
        <f t="shared" si="95"/>
        <v>62 Leisure, travel and related personal service occupations</v>
      </c>
      <c r="B100" s="17">
        <f t="shared" si="96"/>
        <v>5.8252516481200445</v>
      </c>
      <c r="C100" s="17">
        <f t="shared" si="96"/>
        <v>-4.7604811521332007</v>
      </c>
      <c r="D100" s="17">
        <f t="shared" si="96"/>
        <v>-2.0566769902885529E-2</v>
      </c>
      <c r="E100" s="17">
        <f t="shared" si="96"/>
        <v>0.24762446320119036</v>
      </c>
      <c r="F100" s="17">
        <f t="shared" si="97"/>
        <v>0.15814754583474144</v>
      </c>
      <c r="H100" s="17">
        <f t="shared" si="98"/>
        <v>0.15814754583474144</v>
      </c>
      <c r="I100" s="17">
        <f t="shared" si="99"/>
        <v>2.776363389745562</v>
      </c>
      <c r="J100" s="17">
        <f t="shared" si="100"/>
        <v>2.8845486893661176</v>
      </c>
      <c r="K100" s="39"/>
      <c r="L100" t="str">
        <f t="shared" si="101"/>
        <v>62 Leisure, travel and related personal service occupations</v>
      </c>
      <c r="M100" s="17">
        <f t="shared" si="102"/>
        <v>3.0627457505074451</v>
      </c>
      <c r="N100" s="17">
        <f t="shared" si="102"/>
        <v>-2.63235951643912</v>
      </c>
      <c r="O100" s="17">
        <f t="shared" si="102"/>
        <v>0.12448148344585963</v>
      </c>
      <c r="P100" s="17">
        <f t="shared" si="102"/>
        <v>0.83502335094991498</v>
      </c>
      <c r="Q100" s="17">
        <f t="shared" si="103"/>
        <v>0.59761755265770322</v>
      </c>
      <c r="S100" s="17">
        <f t="shared" si="104"/>
        <v>0.59761755265770322</v>
      </c>
      <c r="T100" s="17">
        <f t="shared" si="105"/>
        <v>2.4681834599340036</v>
      </c>
      <c r="U100" s="17">
        <f t="shared" si="106"/>
        <v>2.8983415461836692</v>
      </c>
      <c r="W100" t="str">
        <f t="shared" si="107"/>
        <v>62 Leisure, travel and related personal service occupations</v>
      </c>
      <c r="X100" s="17">
        <f t="shared" si="108"/>
        <v>7.0239146777311801</v>
      </c>
      <c r="Y100" s="17">
        <f t="shared" si="108"/>
        <v>-5.6004962139693193</v>
      </c>
      <c r="Z100" s="17">
        <f t="shared" si="108"/>
        <v>-7.9862488680471078E-2</v>
      </c>
      <c r="AA100" s="17">
        <f t="shared" si="108"/>
        <v>-3.2577349710849468E-3</v>
      </c>
      <c r="AB100" s="17">
        <f t="shared" si="109"/>
        <v>-2.8799176183491593E-2</v>
      </c>
      <c r="AD100" s="17">
        <f t="shared" si="110"/>
        <v>-2.8799176183491593E-2</v>
      </c>
      <c r="AE100" s="17">
        <f t="shared" si="111"/>
        <v>2.8982171917057542</v>
      </c>
      <c r="AF100" s="17">
        <f t="shared" si="112"/>
        <v>2.8789257483239794</v>
      </c>
    </row>
    <row r="101" spans="1:32" x14ac:dyDescent="0.2">
      <c r="A101" t="str">
        <f t="shared" si="95"/>
        <v>63 Community and civil enforcement occupations</v>
      </c>
      <c r="B101" s="17">
        <f t="shared" si="96"/>
        <v>-4.795611317042292</v>
      </c>
      <c r="C101" s="17">
        <f t="shared" si="96"/>
        <v>29.713834450636469</v>
      </c>
      <c r="D101" s="17">
        <f t="shared" si="96"/>
        <v>-3.8098755473066959</v>
      </c>
      <c r="E101" s="17">
        <f t="shared" si="96"/>
        <v>1.0462138676861299</v>
      </c>
      <c r="F101" s="17">
        <f t="shared" si="97"/>
        <v>-0.59912840817828439</v>
      </c>
      <c r="H101" s="17">
        <f t="shared" si="98"/>
        <v>-0.59912840817828439</v>
      </c>
      <c r="I101" s="17">
        <f t="shared" si="99"/>
        <v>2.2230518318721249</v>
      </c>
      <c r="J101" s="17">
        <f t="shared" si="100"/>
        <v>1.7879329699011182</v>
      </c>
      <c r="K101" s="39"/>
      <c r="L101" t="str">
        <f t="shared" si="101"/>
        <v>63 Community and civil enforcement occupations</v>
      </c>
      <c r="M101" s="17">
        <f t="shared" si="102"/>
        <v>-7.5064629315984792</v>
      </c>
      <c r="N101" s="17">
        <f t="shared" si="102"/>
        <v>44.78402074538019</v>
      </c>
      <c r="O101" s="17">
        <f t="shared" si="102"/>
        <v>-6.6680518411607164</v>
      </c>
      <c r="P101" s="17">
        <f t="shared" si="102"/>
        <v>1.520464360577467</v>
      </c>
      <c r="Q101" s="17">
        <f t="shared" si="103"/>
        <v>-1.285903683712919</v>
      </c>
      <c r="S101" s="17">
        <f t="shared" si="104"/>
        <v>-1.285903683712919</v>
      </c>
      <c r="T101" s="17">
        <f t="shared" si="105"/>
        <v>1.7959795834140202</v>
      </c>
      <c r="U101" s="17">
        <f t="shared" si="106"/>
        <v>0.81569899541098501</v>
      </c>
      <c r="W101" t="str">
        <f t="shared" si="107"/>
        <v>63 Community and civil enforcement occupations</v>
      </c>
      <c r="X101" s="17">
        <f t="shared" si="108"/>
        <v>5.1563614564117621</v>
      </c>
      <c r="Y101" s="17">
        <f t="shared" si="108"/>
        <v>-10.656699560706285</v>
      </c>
      <c r="Z101" s="17">
        <f t="shared" si="108"/>
        <v>5.7728984609218603</v>
      </c>
      <c r="AA101" s="17">
        <f t="shared" si="108"/>
        <v>-0.13927274521640109</v>
      </c>
      <c r="AB101" s="17">
        <f t="shared" si="109"/>
        <v>1.7937901052446747</v>
      </c>
      <c r="AD101" s="17">
        <f t="shared" si="110"/>
        <v>1.7937901052446747</v>
      </c>
      <c r="AE101" s="17">
        <f t="shared" si="111"/>
        <v>3.8334737549359899</v>
      </c>
      <c r="AF101" s="17">
        <f t="shared" si="112"/>
        <v>4.9488776414497115</v>
      </c>
    </row>
    <row r="102" spans="1:32" x14ac:dyDescent="0.2">
      <c r="A102" t="str">
        <f t="shared" si="95"/>
        <v>71 Sales occupations</v>
      </c>
      <c r="B102" s="17">
        <f t="shared" si="96"/>
        <v>-1.3984681428058865</v>
      </c>
      <c r="C102" s="17">
        <f t="shared" si="96"/>
        <v>-3.4427861857052489</v>
      </c>
      <c r="D102" s="17">
        <f t="shared" si="96"/>
        <v>-1.4285914183853388</v>
      </c>
      <c r="E102" s="17">
        <f t="shared" si="96"/>
        <v>-0.55962161457568937</v>
      </c>
      <c r="F102" s="17">
        <f t="shared" si="97"/>
        <v>-0.85012606715892947</v>
      </c>
      <c r="H102" s="17">
        <f t="shared" si="98"/>
        <v>-0.85012606715892947</v>
      </c>
      <c r="I102" s="17">
        <f t="shared" si="99"/>
        <v>2.4205829849765159</v>
      </c>
      <c r="J102" s="17">
        <f t="shared" si="100"/>
        <v>1.8234945422533677</v>
      </c>
      <c r="K102" s="39"/>
      <c r="L102" t="str">
        <f t="shared" si="101"/>
        <v>71 Sales occupations</v>
      </c>
      <c r="M102" s="17">
        <f t="shared" si="102"/>
        <v>-0.59364130866427223</v>
      </c>
      <c r="N102" s="17">
        <f t="shared" si="102"/>
        <v>-1.2757562765302266</v>
      </c>
      <c r="O102" s="17">
        <f t="shared" si="102"/>
        <v>-1.3489252787519002</v>
      </c>
      <c r="P102" s="17">
        <f t="shared" si="102"/>
        <v>-0.34590295824256101</v>
      </c>
      <c r="Q102" s="17">
        <f t="shared" si="103"/>
        <v>-0.68137176402338628</v>
      </c>
      <c r="S102" s="17">
        <f t="shared" si="104"/>
        <v>-0.68137176402338628</v>
      </c>
      <c r="T102" s="17">
        <f t="shared" si="105"/>
        <v>1.7976695350184313</v>
      </c>
      <c r="U102" s="17">
        <f t="shared" si="106"/>
        <v>1.2727820366434495</v>
      </c>
      <c r="W102" t="str">
        <f t="shared" si="107"/>
        <v>71 Sales occupations</v>
      </c>
      <c r="X102" s="17">
        <f t="shared" si="108"/>
        <v>-1.8663381626798259</v>
      </c>
      <c r="Y102" s="17">
        <f t="shared" si="108"/>
        <v>-4.7437531844689911</v>
      </c>
      <c r="Z102" s="17">
        <f t="shared" si="108"/>
        <v>-1.4782901644614155</v>
      </c>
      <c r="AA102" s="17">
        <f t="shared" si="108"/>
        <v>-0.69560900550549309</v>
      </c>
      <c r="AB102" s="17">
        <f t="shared" si="109"/>
        <v>-0.95719116546781891</v>
      </c>
      <c r="AD102" s="17">
        <f t="shared" si="110"/>
        <v>-0.95719116546781891</v>
      </c>
      <c r="AE102" s="17">
        <f t="shared" si="111"/>
        <v>2.7829730869900926</v>
      </c>
      <c r="AF102" s="17">
        <f t="shared" si="112"/>
        <v>2.146216467967399</v>
      </c>
    </row>
    <row r="103" spans="1:32" x14ac:dyDescent="0.2">
      <c r="A103" t="str">
        <f t="shared" si="95"/>
        <v>72 Customer service occupations</v>
      </c>
      <c r="B103" s="17">
        <f t="shared" si="96"/>
        <v>1.7839324482899155</v>
      </c>
      <c r="C103" s="17">
        <f t="shared" si="96"/>
        <v>2.7684588666423204</v>
      </c>
      <c r="D103" s="17">
        <f t="shared" si="96"/>
        <v>4.9998639594062366</v>
      </c>
      <c r="E103" s="17">
        <f t="shared" si="96"/>
        <v>1.2593378897705065</v>
      </c>
      <c r="F103" s="17">
        <f t="shared" si="97"/>
        <v>2.4911346256979661</v>
      </c>
      <c r="H103" s="17">
        <f t="shared" si="98"/>
        <v>2.4911346256979661</v>
      </c>
      <c r="I103" s="17">
        <f t="shared" si="99"/>
        <v>3.243920755354468</v>
      </c>
      <c r="J103" s="17">
        <f t="shared" si="100"/>
        <v>4.938226518807376</v>
      </c>
      <c r="K103" s="39"/>
      <c r="L103" t="str">
        <f t="shared" si="101"/>
        <v>72 Customer service occupations</v>
      </c>
      <c r="M103" s="17">
        <f t="shared" si="102"/>
        <v>-2.1124888327933466</v>
      </c>
      <c r="N103" s="17">
        <f t="shared" si="102"/>
        <v>19.828929264344364</v>
      </c>
      <c r="O103" s="17">
        <f t="shared" si="102"/>
        <v>6.4358301383216743</v>
      </c>
      <c r="P103" s="17">
        <f t="shared" si="102"/>
        <v>1.3676918973241081</v>
      </c>
      <c r="Q103" s="17">
        <f t="shared" si="103"/>
        <v>3.0296732532127502</v>
      </c>
      <c r="S103" s="17">
        <f t="shared" si="104"/>
        <v>3.0296732532127502</v>
      </c>
      <c r="T103" s="17">
        <f t="shared" si="105"/>
        <v>2.5850224711102099</v>
      </c>
      <c r="U103" s="17">
        <f t="shared" si="106"/>
        <v>4.8373286464284737</v>
      </c>
      <c r="W103" t="str">
        <f t="shared" si="107"/>
        <v>72 Customer service occupations</v>
      </c>
      <c r="X103" s="17">
        <f t="shared" si="108"/>
        <v>3.5567858433944277</v>
      </c>
      <c r="Y103" s="17">
        <f t="shared" si="108"/>
        <v>-3.969637128137482</v>
      </c>
      <c r="Z103" s="17">
        <f t="shared" si="108"/>
        <v>4.2622595687249687</v>
      </c>
      <c r="AA103" s="17">
        <f t="shared" si="108"/>
        <v>1.1996905633438359</v>
      </c>
      <c r="AB103" s="17">
        <f t="shared" si="109"/>
        <v>2.2104186827217376</v>
      </c>
      <c r="AD103" s="17">
        <f t="shared" si="110"/>
        <v>2.2104186827217376</v>
      </c>
      <c r="AE103" s="17">
        <f t="shared" si="111"/>
        <v>3.5481768096280231</v>
      </c>
      <c r="AF103" s="17">
        <f t="shared" si="112"/>
        <v>4.9874569770128607</v>
      </c>
    </row>
    <row r="104" spans="1:32" x14ac:dyDescent="0.2">
      <c r="A104" t="str">
        <f t="shared" si="95"/>
        <v>81 Process, plant and machine operatives</v>
      </c>
      <c r="B104" s="17">
        <f t="shared" si="96"/>
        <v>-0.26216463993167238</v>
      </c>
      <c r="C104" s="17">
        <f t="shared" si="96"/>
        <v>-12.954201201390681</v>
      </c>
      <c r="D104" s="17">
        <f t="shared" si="96"/>
        <v>3.8144534234640037</v>
      </c>
      <c r="E104" s="17">
        <f t="shared" si="96"/>
        <v>-0.14381272001815493</v>
      </c>
      <c r="F104" s="17">
        <f t="shared" si="97"/>
        <v>1.1585495788117628</v>
      </c>
      <c r="H104" s="17">
        <f t="shared" si="98"/>
        <v>1.1585495788117628</v>
      </c>
      <c r="I104" s="17">
        <f t="shared" si="99"/>
        <v>2.5899382273401717</v>
      </c>
      <c r="J104" s="17">
        <f t="shared" si="100"/>
        <v>3.4202381820736649</v>
      </c>
      <c r="K104" s="39"/>
      <c r="L104" t="str">
        <f t="shared" si="101"/>
        <v>81 Process, plant and machine operatives</v>
      </c>
      <c r="M104" s="17">
        <f t="shared" si="102"/>
        <v>-1.0149340068821955</v>
      </c>
      <c r="N104" s="17">
        <f t="shared" si="102"/>
        <v>-10.716032810234665</v>
      </c>
      <c r="O104" s="17">
        <f t="shared" si="102"/>
        <v>3.4173353348908586</v>
      </c>
      <c r="P104" s="17">
        <f t="shared" si="102"/>
        <v>-0.45294140383528303</v>
      </c>
      <c r="Q104" s="17">
        <f t="shared" si="103"/>
        <v>0.82078375582823604</v>
      </c>
      <c r="S104" s="17">
        <f t="shared" si="104"/>
        <v>0.82078375582823604</v>
      </c>
      <c r="T104" s="17">
        <f t="shared" si="105"/>
        <v>2.3666023335357611</v>
      </c>
      <c r="U104" s="17">
        <f t="shared" si="106"/>
        <v>2.9680336034238364</v>
      </c>
      <c r="W104" t="str">
        <f t="shared" si="107"/>
        <v>81 Process, plant and machine operatives</v>
      </c>
      <c r="X104" s="17">
        <f t="shared" si="108"/>
        <v>1.9722477097580571</v>
      </c>
      <c r="Y104" s="17">
        <f t="shared" si="108"/>
        <v>-19.123431819750149</v>
      </c>
      <c r="Z104" s="17">
        <f t="shared" si="108"/>
        <v>4.9868569361040338</v>
      </c>
      <c r="AA104" s="17">
        <f t="shared" si="108"/>
        <v>0.68489929751212042</v>
      </c>
      <c r="AB104" s="17">
        <f t="shared" si="109"/>
        <v>2.0989333017408018</v>
      </c>
      <c r="AD104" s="17">
        <f t="shared" si="110"/>
        <v>2.0989333017408018</v>
      </c>
      <c r="AE104" s="17">
        <f t="shared" si="111"/>
        <v>3.2305007677738251</v>
      </c>
      <c r="AF104" s="17">
        <f t="shared" si="112"/>
        <v>4.6475405269798209</v>
      </c>
    </row>
    <row r="105" spans="1:32" x14ac:dyDescent="0.2">
      <c r="A105" t="str">
        <f t="shared" si="95"/>
        <v>82 Transport and mobile machine drivers and operatives</v>
      </c>
      <c r="B105" s="17">
        <f t="shared" si="96"/>
        <v>3.0325935519104119</v>
      </c>
      <c r="C105" s="17">
        <f t="shared" si="96"/>
        <v>0.39824722555357184</v>
      </c>
      <c r="D105" s="17">
        <f t="shared" si="96"/>
        <v>0.84140759465316517</v>
      </c>
      <c r="E105" s="17">
        <f t="shared" si="96"/>
        <v>-0.19388621350490132</v>
      </c>
      <c r="F105" s="17">
        <f t="shared" si="97"/>
        <v>0.15002531237895411</v>
      </c>
      <c r="H105" s="17">
        <f t="shared" si="98"/>
        <v>0.15002531237895411</v>
      </c>
      <c r="I105" s="17">
        <f t="shared" si="99"/>
        <v>2.9419667296600949</v>
      </c>
      <c r="J105" s="17">
        <f t="shared" si="100"/>
        <v>3.0423060214119557</v>
      </c>
      <c r="K105" s="39"/>
      <c r="L105" t="str">
        <f t="shared" si="101"/>
        <v>82 Transport and mobile machine drivers and operatives</v>
      </c>
      <c r="M105" s="17">
        <f t="shared" si="102"/>
        <v>2.9953081753758548</v>
      </c>
      <c r="N105" s="17">
        <f t="shared" si="102"/>
        <v>0.54313059154442733</v>
      </c>
      <c r="O105" s="17">
        <f t="shared" si="102"/>
        <v>0.45494541665045407</v>
      </c>
      <c r="P105" s="17">
        <f t="shared" si="102"/>
        <v>-0.29011117322695901</v>
      </c>
      <c r="Q105" s="17">
        <f t="shared" si="103"/>
        <v>-4.2375004147321427E-2</v>
      </c>
      <c r="S105" s="17">
        <f t="shared" si="104"/>
        <v>-4.2375004147321427E-2</v>
      </c>
      <c r="T105" s="17">
        <f t="shared" si="105"/>
        <v>2.8634015480015984</v>
      </c>
      <c r="U105" s="17">
        <f t="shared" si="106"/>
        <v>2.8348905731355512</v>
      </c>
      <c r="W105" t="str">
        <f t="shared" si="107"/>
        <v>82 Transport and mobile machine drivers and operatives</v>
      </c>
      <c r="X105" s="17">
        <f t="shared" si="108"/>
        <v>3.7277626225912019</v>
      </c>
      <c r="Y105" s="17">
        <f t="shared" si="108"/>
        <v>-2.2556784174363687</v>
      </c>
      <c r="Z105" s="17">
        <f t="shared" si="108"/>
        <v>7.2105942921576904</v>
      </c>
      <c r="AA105" s="17">
        <f t="shared" si="108"/>
        <v>1.0390456138626991</v>
      </c>
      <c r="AB105" s="17">
        <f t="shared" si="109"/>
        <v>3.0557096035015441</v>
      </c>
      <c r="AD105" s="17">
        <f t="shared" si="110"/>
        <v>3.0557096035015441</v>
      </c>
      <c r="AE105" s="17">
        <f t="shared" si="111"/>
        <v>4.2846301387356789</v>
      </c>
      <c r="AF105" s="17">
        <f t="shared" si="112"/>
        <v>6.147194308644921</v>
      </c>
    </row>
    <row r="106" spans="1:32" x14ac:dyDescent="0.2">
      <c r="A106" t="str">
        <f t="shared" si="95"/>
        <v>91 Elementary trades and related occupations</v>
      </c>
      <c r="B106" s="17">
        <f t="shared" si="96"/>
        <v>-2.0918997346074164</v>
      </c>
      <c r="C106" s="17">
        <f t="shared" si="96"/>
        <v>-7.4586230059398906</v>
      </c>
      <c r="D106" s="17">
        <f t="shared" si="96"/>
        <v>-3.408902326652552</v>
      </c>
      <c r="E106" s="17">
        <f t="shared" si="96"/>
        <v>-0.6952042437232131</v>
      </c>
      <c r="F106" s="17">
        <f t="shared" si="97"/>
        <v>-1.6081373684155631</v>
      </c>
      <c r="H106" s="17">
        <f t="shared" si="98"/>
        <v>-1.6081373684155631</v>
      </c>
      <c r="I106" s="17">
        <f t="shared" si="99"/>
        <v>1.9737321703504174</v>
      </c>
      <c r="J106" s="17">
        <f t="shared" si="100"/>
        <v>0.78716502239750685</v>
      </c>
      <c r="K106" s="39"/>
      <c r="L106" t="str">
        <f t="shared" si="101"/>
        <v>91 Elementary trades and related occupations</v>
      </c>
      <c r="M106" s="17">
        <f t="shared" si="102"/>
        <v>-2.5358914498461393</v>
      </c>
      <c r="N106" s="17">
        <f t="shared" si="102"/>
        <v>-1.7344111928165873</v>
      </c>
      <c r="O106" s="17">
        <f t="shared" si="102"/>
        <v>-3.6355163810611102</v>
      </c>
      <c r="P106" s="17">
        <f t="shared" si="102"/>
        <v>-0.80359772910029159</v>
      </c>
      <c r="Q106" s="17">
        <f t="shared" si="103"/>
        <v>-1.7566988922450788</v>
      </c>
      <c r="S106" s="17">
        <f t="shared" si="104"/>
        <v>-1.7566988922450788</v>
      </c>
      <c r="T106" s="17">
        <f t="shared" si="105"/>
        <v>1.6335799357995784</v>
      </c>
      <c r="U106" s="17">
        <f t="shared" si="106"/>
        <v>0.27271819159544464</v>
      </c>
      <c r="W106" t="str">
        <f t="shared" si="107"/>
        <v>91 Elementary trades and related occupations</v>
      </c>
      <c r="X106" s="17">
        <f t="shared" si="108"/>
        <v>-0.89853077885914123</v>
      </c>
      <c r="Y106" s="17">
        <f t="shared" si="108"/>
        <v>-22.217773143124397</v>
      </c>
      <c r="Z106" s="17">
        <f t="shared" si="108"/>
        <v>-2.6851211547520903</v>
      </c>
      <c r="AA106" s="17">
        <f t="shared" si="108"/>
        <v>-0.36564627591989529</v>
      </c>
      <c r="AB106" s="17">
        <f t="shared" si="109"/>
        <v>-1.1448830644904207</v>
      </c>
      <c r="AD106" s="17">
        <f t="shared" si="110"/>
        <v>-1.1448830644904207</v>
      </c>
      <c r="AE106" s="17">
        <f t="shared" si="111"/>
        <v>2.9831901766483426</v>
      </c>
      <c r="AF106" s="17">
        <f t="shared" si="112"/>
        <v>2.2466869804473211</v>
      </c>
    </row>
    <row r="107" spans="1:32" x14ac:dyDescent="0.2">
      <c r="A107" t="str">
        <f t="shared" si="95"/>
        <v>92 Elementary administration and service occupations</v>
      </c>
      <c r="B107" s="17">
        <f t="shared" si="96"/>
        <v>-0.97957904574987875</v>
      </c>
      <c r="C107" s="17">
        <f t="shared" si="96"/>
        <v>-6.949576791542289</v>
      </c>
      <c r="D107" s="17">
        <f t="shared" si="96"/>
        <v>-5.6023570943808387E-3</v>
      </c>
      <c r="E107" s="17">
        <f t="shared" si="96"/>
        <v>-0.67208977790924607</v>
      </c>
      <c r="F107" s="17">
        <f t="shared" si="97"/>
        <v>-0.45042236148963299</v>
      </c>
      <c r="H107" s="17">
        <f t="shared" si="98"/>
        <v>-0.45042236148963299</v>
      </c>
      <c r="I107" s="17">
        <f t="shared" si="99"/>
        <v>2.5489047476735305</v>
      </c>
      <c r="J107" s="17">
        <f t="shared" si="100"/>
        <v>2.2354220590597329</v>
      </c>
      <c r="K107" s="39"/>
      <c r="L107" t="str">
        <f t="shared" si="101"/>
        <v>92 Elementary administration and service occupations</v>
      </c>
      <c r="M107" s="17">
        <f t="shared" si="102"/>
        <v>-2.7074819870226086</v>
      </c>
      <c r="N107" s="17">
        <f t="shared" si="102"/>
        <v>-3.8161301627373079</v>
      </c>
      <c r="O107" s="17">
        <f t="shared" si="102"/>
        <v>0.94981873257273808</v>
      </c>
      <c r="P107" s="17">
        <f t="shared" si="102"/>
        <v>-0.74323376382887663</v>
      </c>
      <c r="Q107" s="17">
        <f t="shared" si="103"/>
        <v>-0.18206163329063108</v>
      </c>
      <c r="S107" s="17">
        <f t="shared" si="104"/>
        <v>-0.18206163329063108</v>
      </c>
      <c r="T107" s="17">
        <f t="shared" si="105"/>
        <v>2.2708065356545681</v>
      </c>
      <c r="U107" s="17">
        <f t="shared" si="106"/>
        <v>2.1383413099949733</v>
      </c>
      <c r="W107" t="str">
        <f t="shared" si="107"/>
        <v>92 Elementary administration and service occupations</v>
      </c>
      <c r="X107" s="17">
        <f t="shared" si="108"/>
        <v>0.818268149086121</v>
      </c>
      <c r="Y107" s="17">
        <f t="shared" si="108"/>
        <v>-9.9322798802920165</v>
      </c>
      <c r="Z107" s="17">
        <f t="shared" si="108"/>
        <v>-1.0157598791291966</v>
      </c>
      <c r="AA107" s="17">
        <f t="shared" si="108"/>
        <v>-0.59284014219037617</v>
      </c>
      <c r="AB107" s="17">
        <f t="shared" si="109"/>
        <v>-0.73401378146915608</v>
      </c>
      <c r="AD107" s="17">
        <f t="shared" si="110"/>
        <v>-0.73401378146915608</v>
      </c>
      <c r="AE107" s="17">
        <f t="shared" si="111"/>
        <v>2.8211774762995523</v>
      </c>
      <c r="AF107" s="17">
        <f t="shared" si="112"/>
        <v>2.3328024320942609</v>
      </c>
    </row>
    <row r="108" spans="1:32" x14ac:dyDescent="0.2">
      <c r="C108" s="17"/>
      <c r="F108" s="17"/>
      <c r="H108" s="17"/>
      <c r="I108" s="17"/>
      <c r="J108" s="17"/>
      <c r="N108" s="17"/>
      <c r="Q108" s="17"/>
      <c r="S108" s="17"/>
      <c r="T108" s="17"/>
      <c r="U108" s="17"/>
      <c r="Y108" s="17"/>
      <c r="AB108" s="17"/>
      <c r="AD108" s="17"/>
      <c r="AE108" s="17"/>
      <c r="AF108" s="17"/>
    </row>
    <row r="109" spans="1:32" x14ac:dyDescent="0.2">
      <c r="A109" s="23" t="str">
        <f>A35</f>
        <v>All occupations</v>
      </c>
      <c r="B109" s="25">
        <f>IF(AND(C$6-B$6 &lt;&gt; 0,B35&lt;&gt;0,C35&lt;&gt;0),(EXP(LN(C35/B35)/(C$6-B$6))-1)*100,0)</f>
        <v>1.4086611058431009</v>
      </c>
      <c r="C109" s="25">
        <f>IF(AND(D$6-C$6 &lt;&gt; 0,C35&lt;&gt;0,D35&lt;&gt;0),(EXP(LN(D35/C35)/(D$6-C$6))-1)*100,0)</f>
        <v>-4.764312061895648E-2</v>
      </c>
      <c r="D109" s="25">
        <f>IF(AND(E$6-D$6 &lt;&gt; 0,D35&lt;&gt;0,E35&lt;&gt;0),(EXP(LN(E35/D35)/(E$6-D$6))-1)*100,0)</f>
        <v>0.31874509394069772</v>
      </c>
      <c r="E109" s="25">
        <f>IF(AND(F$6-E$6 &lt;&gt; 0,E35&lt;&gt;0,F35&lt;&gt;0),(EXP(LN(F35/E35)/(F$6-E$6))-1)*100,0)</f>
        <v>0.27451898098460603</v>
      </c>
      <c r="F109" s="25">
        <f t="shared" ref="F109" si="113">IF(AND(F$6-D$6 &lt;&gt; 0,D35&lt;&gt;0,F35&lt;&gt;0),(EXP(LN(F35/D35)/(F$6-D$6))-1)*100,0)</f>
        <v>0.28925885184052369</v>
      </c>
      <c r="H109" s="25">
        <f>IF($F$6-$D$6 &lt;&gt; 0,(EXP(LN(1+(H72/100))/($F$6-$D$6))-1)*100,0)</f>
        <v>0.28925885184052369</v>
      </c>
      <c r="I109" s="25">
        <f>IF(D35&gt;0,((1+(I35/D35))^(1/($F$6-$D$6))-1)*100,0)</f>
        <v>2.6822108207177786</v>
      </c>
      <c r="J109" s="25">
        <f t="shared" ref="J109" si="114">IF($F$6-$D$6 &lt;&gt; 0,(EXP(LN(1+(J72/100))/($F$6-$D$6))-1)*100,0)</f>
        <v>2.8832162205888912</v>
      </c>
      <c r="L109" s="23" t="str">
        <f>L35</f>
        <v>All occupations</v>
      </c>
      <c r="M109" s="25">
        <f>IF(AND(N$6-M$6 &lt;&gt; 0,M35&lt;&gt;0,N35&lt;&gt;0),(EXP(LN(N35/M35)/(N$6-M$6))-1)*100,0)</f>
        <v>0.75215414003089176</v>
      </c>
      <c r="N109" s="25">
        <f>IF(AND(O$6-N$6 &lt;&gt; 0,N35&lt;&gt;0,O35&lt;&gt;0),(EXP(LN(O35/N35)/(O$6-N$6))-1)*100,0)</f>
        <v>0.97189866911799871</v>
      </c>
      <c r="O109" s="25">
        <f>IF(AND(P$6-O$6 &lt;&gt; 0,O35&lt;&gt;0,P35&lt;&gt;0),(EXP(LN(P35/O35)/(P$6-O$6))-1)*100,0)</f>
        <v>0.22499650393701387</v>
      </c>
      <c r="P109" s="25">
        <f>IF(AND(Q$6-P$6 &lt;&gt; 0,P35&lt;&gt;0,Q35&lt;&gt;0),(EXP(LN(Q35/P35)/(Q$6-P$6))-1)*100,0)</f>
        <v>0.18285436859277748</v>
      </c>
      <c r="Q109" s="25">
        <f t="shared" ref="Q109" si="115">IF(AND(Q$6-O$6 &lt;&gt; 0,O35&lt;&gt;0,Q35&lt;&gt;0),(EXP(LN(Q35/O35)/(Q$6-O$6))-1)*100,0)</f>
        <v>0.19689977781427448</v>
      </c>
      <c r="S109" s="25">
        <f t="shared" ref="S109" si="116">IF($F$6-$D$6 &lt;&gt; 0,(EXP(LN(1+(S72/100))/($F$6-$D$6))-1)*100,0)</f>
        <v>0.19689977781427448</v>
      </c>
      <c r="T109" s="25">
        <f t="shared" ref="T109" si="117">IF(O35&gt;0,((1+(T35/O35))^(1/($F$6-$D$6))-1)*100,0)</f>
        <v>2.3061473619349737</v>
      </c>
      <c r="U109" s="25">
        <f t="shared" ref="U109" si="118">IF($F$6-$D$6 &lt;&gt; 0,(EXP(LN(1+(U72/100))/($F$6-$D$6))-1)*100,0)</f>
        <v>2.4498096286612592</v>
      </c>
      <c r="W109" s="23" t="str">
        <f>W35</f>
        <v>All occupations</v>
      </c>
      <c r="X109" s="25">
        <f>IF(AND(Y$6-X$6 &lt;&gt; 0,X35&lt;&gt;0,Y35&lt;&gt;0),(EXP(LN(Y35/X35)/(Y$6-X$6))-1)*100,0)</f>
        <v>2.1442527808891665</v>
      </c>
      <c r="Y109" s="25">
        <f>IF(AND(Z$6-Y$6 &lt;&gt; 0,Y35&lt;&gt;0,Z35&lt;&gt;0),(EXP(LN(Z35/Y35)/(Z$6-Y$6))-1)*100,0)</f>
        <v>-1.1514834039381472</v>
      </c>
      <c r="Z109" s="25">
        <f>IF(AND(AA$6-Z$6 &lt;&gt; 0,Z35&lt;&gt;0,AA35&lt;&gt;0),(EXP(LN(AA35/Z35)/(AA$6-Z$6))-1)*100,0)</f>
        <v>0.42201896134748118</v>
      </c>
      <c r="AA109" s="25">
        <f>IF(AND(AB$6-AA$6 &lt;&gt; 0,AA35&lt;&gt;0,AB35&lt;&gt;0),(EXP(LN(AB35/AA35)/(AB$6-AA$6))-1)*100,0)</f>
        <v>0.37404631791215781</v>
      </c>
      <c r="AB109" s="25">
        <f t="shared" ref="AB109" si="119">IF(AND(AB$6-Z$6 &lt;&gt; 0,Z35&lt;&gt;0,AB35&lt;&gt;0),(EXP(LN(AB35/Z35)/(AB$6-Z$6))-1)*100,0)</f>
        <v>0.3900346521797049</v>
      </c>
      <c r="AD109" s="25">
        <f t="shared" ref="AD109" si="120">IF($F$6-$D$6 &lt;&gt; 0,(EXP(LN(1+(AD72/100))/($F$6-$D$6))-1)*100,0)</f>
        <v>0.3900346521797049</v>
      </c>
      <c r="AE109" s="25">
        <f t="shared" ref="AE109" si="121">IF(Z35&gt;0,((1+(AE35/Z35))^(1/($F$6-$D$6))-1)*100,0)</f>
        <v>3.0768248578912694</v>
      </c>
      <c r="AF109" s="25">
        <f t="shared" ref="AF109" si="122">IF($F$6-$D$6 &lt;&gt; 0,(EXP(LN(1+(AF72/100))/($F$6-$D$6))-1)*100,0)</f>
        <v>3.3345329050968653</v>
      </c>
    </row>
    <row r="112" spans="1:32" ht="15.75" x14ac:dyDescent="0.25">
      <c r="A112" s="18" t="str">
        <f>CONCATENATE(A$1," (Continued)")</f>
        <v>Occupation Table 2  Employment Change by Occupation (SOC 2020) and Replacement Demand, 2015-2035, East Midlands (Continued)</v>
      </c>
      <c r="L112" s="18" t="str">
        <f>CONCATENATE(L$1," (Continued)")</f>
        <v>Occupation Table 2.1  Males: Employment Change by Occupation (SOC 2020) and Replacement Demand, 2015-2035, East Midlands (Continued)</v>
      </c>
      <c r="W112" s="18" t="str">
        <f>CONCATENATE(W$1," (Continued)")</f>
        <v>Occupation Table 2.2  Females: Employment Change by Occupation (SOC 2020) and Replacement Demand, 2015-2035, East Midlands (Continued)</v>
      </c>
    </row>
    <row r="114" spans="1:28" x14ac:dyDescent="0.2">
      <c r="F114" s="15" t="s">
        <v>35</v>
      </c>
      <c r="Q114" s="15" t="s">
        <v>35</v>
      </c>
      <c r="AB114" s="15" t="s">
        <v>35</v>
      </c>
    </row>
    <row r="115" spans="1:28" x14ac:dyDescent="0.2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</row>
    <row r="117" spans="1:28" x14ac:dyDescent="0.2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</row>
    <row r="118" spans="1:28" x14ac:dyDescent="0.2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</row>
    <row r="119" spans="1:28" x14ac:dyDescent="0.2">
      <c r="A119" t="str">
        <f t="shared" ref="A119:A144" si="123">A8</f>
        <v>11 Corporate managers and directors</v>
      </c>
      <c r="B119" s="26">
        <f t="shared" ref="B119:E144" si="124">C8-B8</f>
        <v>30.561226202919642</v>
      </c>
      <c r="C119" s="26">
        <f t="shared" si="124"/>
        <v>7.0490152020126686</v>
      </c>
      <c r="D119" s="26">
        <f t="shared" si="124"/>
        <v>-13.518237553331488</v>
      </c>
      <c r="E119" s="26">
        <f t="shared" si="124"/>
        <v>15.168261160683841</v>
      </c>
      <c r="F119" s="26">
        <f t="shared" ref="F119:F144" si="125">F8-D8</f>
        <v>1.6500236073523524</v>
      </c>
      <c r="L119" t="str">
        <f t="shared" ref="L119:L144" si="126">L8</f>
        <v>11 Corporate managers and directors</v>
      </c>
      <c r="M119" s="26">
        <f t="shared" ref="M119:P144" si="127">N8-M8</f>
        <v>16.162534081917173</v>
      </c>
      <c r="N119" s="26">
        <f t="shared" si="127"/>
        <v>5.5042196968962571</v>
      </c>
      <c r="O119" s="26">
        <f t="shared" si="127"/>
        <v>-12.654360477585641</v>
      </c>
      <c r="P119" s="26">
        <f t="shared" si="127"/>
        <v>5.4240145557894692</v>
      </c>
      <c r="Q119" s="26">
        <f t="shared" ref="Q119:Q144" si="128">Q8-O8</f>
        <v>-7.2303459217961716</v>
      </c>
      <c r="W119" t="str">
        <f t="shared" ref="W119:W144" si="129">W8</f>
        <v>11 Corporate managers and directors</v>
      </c>
      <c r="X119" s="26">
        <f t="shared" ref="X119:AA144" si="130">Y8-X8</f>
        <v>14.398692121002149</v>
      </c>
      <c r="Y119" s="26">
        <f t="shared" si="130"/>
        <v>1.5447955051169373</v>
      </c>
      <c r="Z119" s="26">
        <f t="shared" si="130"/>
        <v>-0.86387707574530026</v>
      </c>
      <c r="AA119" s="26">
        <f t="shared" si="130"/>
        <v>9.7442466048935046</v>
      </c>
      <c r="AB119" s="26">
        <f t="shared" ref="AB119:AB144" si="131">AB8-Z8</f>
        <v>8.8803695291482043</v>
      </c>
    </row>
    <row r="120" spans="1:28" x14ac:dyDescent="0.2">
      <c r="A120" t="str">
        <f t="shared" si="123"/>
        <v>12 Other managers and proprietors</v>
      </c>
      <c r="B120" s="26">
        <f t="shared" si="124"/>
        <v>7.8757035472753785</v>
      </c>
      <c r="C120" s="26">
        <f t="shared" si="124"/>
        <v>3.14604643786015</v>
      </c>
      <c r="D120" s="26">
        <f t="shared" si="124"/>
        <v>18.552383464489893</v>
      </c>
      <c r="E120" s="26">
        <f t="shared" si="124"/>
        <v>14.54524538848321</v>
      </c>
      <c r="F120" s="26">
        <f t="shared" si="125"/>
        <v>33.097628852973102</v>
      </c>
      <c r="L120" t="str">
        <f t="shared" si="126"/>
        <v>12 Other managers and proprietors</v>
      </c>
      <c r="M120" s="26">
        <f t="shared" si="127"/>
        <v>3.6399344538964939</v>
      </c>
      <c r="N120" s="26">
        <f t="shared" si="127"/>
        <v>3.1576993091048777</v>
      </c>
      <c r="O120" s="26">
        <f t="shared" si="127"/>
        <v>13.921161126746867</v>
      </c>
      <c r="P120" s="26">
        <f t="shared" si="127"/>
        <v>9.579477218523536</v>
      </c>
      <c r="Q120" s="26">
        <f t="shared" si="128"/>
        <v>23.500638345270403</v>
      </c>
      <c r="W120" t="str">
        <f t="shared" si="129"/>
        <v>12 Other managers and proprietors</v>
      </c>
      <c r="X120" s="26">
        <f t="shared" si="130"/>
        <v>4.235769093378952</v>
      </c>
      <c r="Y120" s="26">
        <f t="shared" si="130"/>
        <v>-1.1652871244631768E-2</v>
      </c>
      <c r="Z120" s="26">
        <f t="shared" si="130"/>
        <v>4.6312223377429724</v>
      </c>
      <c r="AA120" s="26">
        <f t="shared" si="130"/>
        <v>4.9657681699596452</v>
      </c>
      <c r="AB120" s="26">
        <f t="shared" si="131"/>
        <v>9.5969905077026176</v>
      </c>
    </row>
    <row r="121" spans="1:28" x14ac:dyDescent="0.2">
      <c r="A121" t="str">
        <f t="shared" si="123"/>
        <v>21 Science, research, engineering and technology professionals</v>
      </c>
      <c r="B121" s="26">
        <f t="shared" si="124"/>
        <v>21.155981133077574</v>
      </c>
      <c r="C121" s="26">
        <f t="shared" si="124"/>
        <v>6.823448052948379</v>
      </c>
      <c r="D121" s="26">
        <f t="shared" si="124"/>
        <v>7.9665023510569313</v>
      </c>
      <c r="E121" s="26">
        <f t="shared" si="124"/>
        <v>17.710385633665709</v>
      </c>
      <c r="F121" s="26">
        <f t="shared" si="125"/>
        <v>25.67688798472264</v>
      </c>
      <c r="L121" t="str">
        <f t="shared" si="126"/>
        <v>21 Science, research, engineering and technology professionals</v>
      </c>
      <c r="M121" s="26">
        <f t="shared" si="127"/>
        <v>18.001289322313667</v>
      </c>
      <c r="N121" s="26">
        <f t="shared" si="127"/>
        <v>1.3655205802761543</v>
      </c>
      <c r="O121" s="26">
        <f t="shared" si="127"/>
        <v>2.8675814758973814</v>
      </c>
      <c r="P121" s="26">
        <f t="shared" si="127"/>
        <v>11.028368631162508</v>
      </c>
      <c r="Q121" s="26">
        <f t="shared" si="128"/>
        <v>13.895950107059889</v>
      </c>
      <c r="W121" t="str">
        <f t="shared" si="129"/>
        <v>21 Science, research, engineering and technology professionals</v>
      </c>
      <c r="X121" s="26">
        <f t="shared" si="130"/>
        <v>3.154691810764394</v>
      </c>
      <c r="Y121" s="26">
        <f t="shared" si="130"/>
        <v>5.4579274726717344</v>
      </c>
      <c r="Z121" s="26">
        <f t="shared" si="130"/>
        <v>5.0989208751600117</v>
      </c>
      <c r="AA121" s="26">
        <f t="shared" si="130"/>
        <v>6.6820170025029455</v>
      </c>
      <c r="AB121" s="26">
        <f t="shared" si="131"/>
        <v>11.780937877662957</v>
      </c>
    </row>
    <row r="122" spans="1:28" x14ac:dyDescent="0.2">
      <c r="A122" t="str">
        <f t="shared" si="123"/>
        <v>22 Health professionals</v>
      </c>
      <c r="B122" s="26">
        <f t="shared" si="124"/>
        <v>12.825452928696606</v>
      </c>
      <c r="C122" s="26">
        <f t="shared" si="124"/>
        <v>-8.9535025094633625E-2</v>
      </c>
      <c r="D122" s="26">
        <f t="shared" si="124"/>
        <v>7.4695713858852315</v>
      </c>
      <c r="E122" s="26">
        <f t="shared" si="124"/>
        <v>9.5060610336500417</v>
      </c>
      <c r="F122" s="26">
        <f t="shared" si="125"/>
        <v>16.975632419535273</v>
      </c>
      <c r="L122" t="str">
        <f t="shared" si="126"/>
        <v>22 Health professionals</v>
      </c>
      <c r="M122" s="26">
        <f t="shared" si="127"/>
        <v>1.6447410893019168</v>
      </c>
      <c r="N122" s="26">
        <f t="shared" si="127"/>
        <v>2.5589656021449407</v>
      </c>
      <c r="O122" s="26">
        <f t="shared" si="127"/>
        <v>1.3123748048050849</v>
      </c>
      <c r="P122" s="26">
        <f t="shared" si="127"/>
        <v>1.9998908498840322</v>
      </c>
      <c r="Q122" s="26">
        <f t="shared" si="128"/>
        <v>3.3122656546891172</v>
      </c>
      <c r="W122" t="str">
        <f t="shared" si="129"/>
        <v>22 Health professionals</v>
      </c>
      <c r="X122" s="26">
        <f t="shared" si="130"/>
        <v>11.180711839394441</v>
      </c>
      <c r="Y122" s="26">
        <f t="shared" si="130"/>
        <v>-2.6485006272391871</v>
      </c>
      <c r="Z122" s="26">
        <f t="shared" si="130"/>
        <v>6.1571965810797877</v>
      </c>
      <c r="AA122" s="26">
        <f t="shared" si="130"/>
        <v>7.5061701837661587</v>
      </c>
      <c r="AB122" s="26">
        <f t="shared" si="131"/>
        <v>13.663366764845946</v>
      </c>
    </row>
    <row r="123" spans="1:28" x14ac:dyDescent="0.2">
      <c r="A123" t="str">
        <f t="shared" si="123"/>
        <v>23 Teaching and other educational professionals</v>
      </c>
      <c r="B123" s="26">
        <f t="shared" si="124"/>
        <v>7.1422025021018101</v>
      </c>
      <c r="C123" s="26">
        <f t="shared" si="124"/>
        <v>3.8059332064787839</v>
      </c>
      <c r="D123" s="26">
        <f t="shared" si="124"/>
        <v>-0.58486262532350963</v>
      </c>
      <c r="E123" s="26">
        <f t="shared" si="124"/>
        <v>3.8723924286956901</v>
      </c>
      <c r="F123" s="26">
        <f t="shared" si="125"/>
        <v>3.2875298033721805</v>
      </c>
      <c r="L123" t="str">
        <f t="shared" si="126"/>
        <v>23 Teaching and other educational professionals</v>
      </c>
      <c r="M123" s="26">
        <f t="shared" si="127"/>
        <v>-9.4442468399869028E-2</v>
      </c>
      <c r="N123" s="26">
        <f t="shared" si="127"/>
        <v>1.6226665018031454</v>
      </c>
      <c r="O123" s="26">
        <f t="shared" si="127"/>
        <v>0.93798790694064849</v>
      </c>
      <c r="P123" s="26">
        <f t="shared" si="127"/>
        <v>1.2871271329035849</v>
      </c>
      <c r="Q123" s="26">
        <f t="shared" si="128"/>
        <v>2.2251150398442334</v>
      </c>
      <c r="W123" t="str">
        <f t="shared" si="129"/>
        <v>23 Teaching and other educational professionals</v>
      </c>
      <c r="X123" s="26">
        <f t="shared" si="130"/>
        <v>7.2366449705016649</v>
      </c>
      <c r="Y123" s="26">
        <f t="shared" si="130"/>
        <v>2.1832667046755958</v>
      </c>
      <c r="Z123" s="26">
        <f t="shared" si="130"/>
        <v>-1.5228505322640231</v>
      </c>
      <c r="AA123" s="26">
        <f t="shared" si="130"/>
        <v>2.5852652957919062</v>
      </c>
      <c r="AB123" s="26">
        <f t="shared" si="131"/>
        <v>1.0624147635278831</v>
      </c>
    </row>
    <row r="124" spans="1:28" x14ac:dyDescent="0.2">
      <c r="A124" t="str">
        <f t="shared" si="123"/>
        <v>24 Business, media and public service professionals</v>
      </c>
      <c r="B124" s="26">
        <f t="shared" si="124"/>
        <v>23.601682183025218</v>
      </c>
      <c r="C124" s="26">
        <f t="shared" si="124"/>
        <v>18.709480324973384</v>
      </c>
      <c r="D124" s="26">
        <f t="shared" si="124"/>
        <v>17.612186050682681</v>
      </c>
      <c r="E124" s="26">
        <f t="shared" si="124"/>
        <v>22.833869591966533</v>
      </c>
      <c r="F124" s="26">
        <f t="shared" si="125"/>
        <v>40.446055642649213</v>
      </c>
      <c r="L124" t="str">
        <f t="shared" si="126"/>
        <v>24 Business, media and public service professionals</v>
      </c>
      <c r="M124" s="26">
        <f t="shared" si="127"/>
        <v>7.6670315106465097</v>
      </c>
      <c r="N124" s="26">
        <f t="shared" si="127"/>
        <v>8.4191068174321515</v>
      </c>
      <c r="O124" s="26">
        <f t="shared" si="127"/>
        <v>9.5712103835522839</v>
      </c>
      <c r="P124" s="26">
        <f t="shared" si="127"/>
        <v>8.9263254272459847</v>
      </c>
      <c r="Q124" s="26">
        <f t="shared" si="128"/>
        <v>18.497535810798269</v>
      </c>
      <c r="W124" t="str">
        <f t="shared" si="129"/>
        <v>24 Business, media and public service professionals</v>
      </c>
      <c r="X124" s="26">
        <f t="shared" si="130"/>
        <v>15.934650672378176</v>
      </c>
      <c r="Y124" s="26">
        <f t="shared" si="130"/>
        <v>10.290373507541979</v>
      </c>
      <c r="Z124" s="26">
        <f t="shared" si="130"/>
        <v>8.0409756671298283</v>
      </c>
      <c r="AA124" s="26">
        <f t="shared" si="130"/>
        <v>13.907544164720619</v>
      </c>
      <c r="AB124" s="26">
        <f t="shared" si="131"/>
        <v>21.948519831850447</v>
      </c>
    </row>
    <row r="125" spans="1:28" x14ac:dyDescent="0.2">
      <c r="A125" t="str">
        <f t="shared" si="123"/>
        <v>31 Science, engineering and technology associate professionals</v>
      </c>
      <c r="B125" s="26">
        <f t="shared" si="124"/>
        <v>7.2441505046488714</v>
      </c>
      <c r="C125" s="26">
        <f t="shared" si="124"/>
        <v>4.7633932233909277</v>
      </c>
      <c r="D125" s="26">
        <f t="shared" si="124"/>
        <v>-6.47984681000991</v>
      </c>
      <c r="E125" s="26">
        <f t="shared" si="124"/>
        <v>2.7203694191466354</v>
      </c>
      <c r="F125" s="26">
        <f t="shared" si="125"/>
        <v>-3.7594773908632746</v>
      </c>
      <c r="L125" t="str">
        <f t="shared" si="126"/>
        <v>31 Science, engineering and technology associate professionals</v>
      </c>
      <c r="M125" s="26">
        <f t="shared" si="127"/>
        <v>6.2955934688872972</v>
      </c>
      <c r="N125" s="26">
        <f t="shared" si="127"/>
        <v>2.2856152852335754</v>
      </c>
      <c r="O125" s="26">
        <f t="shared" si="127"/>
        <v>-6.8642137451733873</v>
      </c>
      <c r="P125" s="26">
        <f t="shared" si="127"/>
        <v>0.50427829155149695</v>
      </c>
      <c r="Q125" s="26">
        <f t="shared" si="128"/>
        <v>-6.3599354536218904</v>
      </c>
      <c r="W125" t="str">
        <f t="shared" si="129"/>
        <v>31 Science, engineering and technology associate professionals</v>
      </c>
      <c r="X125" s="26">
        <f t="shared" si="130"/>
        <v>0.94855703576144279</v>
      </c>
      <c r="Y125" s="26">
        <f t="shared" si="130"/>
        <v>2.4777779381574145</v>
      </c>
      <c r="Z125" s="26">
        <f t="shared" si="130"/>
        <v>0.38436693516359455</v>
      </c>
      <c r="AA125" s="26">
        <f t="shared" si="130"/>
        <v>2.2160911275949875</v>
      </c>
      <c r="AB125" s="26">
        <f t="shared" si="131"/>
        <v>2.600458062758582</v>
      </c>
    </row>
    <row r="126" spans="1:28" x14ac:dyDescent="0.2">
      <c r="A126" t="str">
        <f t="shared" si="123"/>
        <v>32 Health and social care associate professionals</v>
      </c>
      <c r="B126" s="26">
        <f t="shared" si="124"/>
        <v>5.3026763657024105</v>
      </c>
      <c r="C126" s="26">
        <f t="shared" si="124"/>
        <v>0.74966088068707393</v>
      </c>
      <c r="D126" s="26">
        <f t="shared" si="124"/>
        <v>0.58915904170651601</v>
      </c>
      <c r="E126" s="26">
        <f t="shared" si="124"/>
        <v>4.2171332483780688</v>
      </c>
      <c r="F126" s="26">
        <f t="shared" si="125"/>
        <v>4.8062922900845848</v>
      </c>
      <c r="L126" t="str">
        <f t="shared" si="126"/>
        <v>32 Health and social care associate professionals</v>
      </c>
      <c r="M126" s="26">
        <f t="shared" si="127"/>
        <v>7.5733088755947975E-2</v>
      </c>
      <c r="N126" s="26">
        <f t="shared" si="127"/>
        <v>0.98556020285639434</v>
      </c>
      <c r="O126" s="26">
        <f t="shared" si="127"/>
        <v>-0.94881700225056953</v>
      </c>
      <c r="P126" s="26">
        <f t="shared" si="127"/>
        <v>0.55430810604517511</v>
      </c>
      <c r="Q126" s="26">
        <f t="shared" si="128"/>
        <v>-0.39450889620539442</v>
      </c>
      <c r="W126" t="str">
        <f t="shared" si="129"/>
        <v>32 Health and social care associate professionals</v>
      </c>
      <c r="X126" s="26">
        <f t="shared" si="130"/>
        <v>5.2269432769464039</v>
      </c>
      <c r="Y126" s="26">
        <f t="shared" si="130"/>
        <v>-0.23589932216930976</v>
      </c>
      <c r="Z126" s="26">
        <f t="shared" si="130"/>
        <v>1.537976043957201</v>
      </c>
      <c r="AA126" s="26">
        <f t="shared" si="130"/>
        <v>3.6628251423327711</v>
      </c>
      <c r="AB126" s="26">
        <f t="shared" si="131"/>
        <v>5.2008011862899721</v>
      </c>
    </row>
    <row r="127" spans="1:28" x14ac:dyDescent="0.2">
      <c r="A127" t="str">
        <f t="shared" si="123"/>
        <v>33 Protective service occupations</v>
      </c>
      <c r="B127" s="26">
        <f t="shared" si="124"/>
        <v>0.61062393448107599</v>
      </c>
      <c r="C127" s="26">
        <f t="shared" si="124"/>
        <v>1.1377806899047727</v>
      </c>
      <c r="D127" s="26">
        <f t="shared" si="124"/>
        <v>5.5270860080111284</v>
      </c>
      <c r="E127" s="26">
        <f t="shared" si="124"/>
        <v>4.7073434742165219</v>
      </c>
      <c r="F127" s="26">
        <f t="shared" si="125"/>
        <v>10.23442948222765</v>
      </c>
      <c r="L127" t="str">
        <f t="shared" si="126"/>
        <v>33 Protective service occupations</v>
      </c>
      <c r="M127" s="26">
        <f t="shared" si="127"/>
        <v>8.3217912497321578E-2</v>
      </c>
      <c r="N127" s="26">
        <f t="shared" si="127"/>
        <v>0.55002082284237375</v>
      </c>
      <c r="O127" s="26">
        <f t="shared" si="127"/>
        <v>3.5785498593501615</v>
      </c>
      <c r="P127" s="26">
        <f t="shared" si="127"/>
        <v>2.2563286418852648</v>
      </c>
      <c r="Q127" s="26">
        <f t="shared" si="128"/>
        <v>5.8348785012354263</v>
      </c>
      <c r="W127" t="str">
        <f t="shared" si="129"/>
        <v>33 Protective service occupations</v>
      </c>
      <c r="X127" s="26">
        <f t="shared" si="130"/>
        <v>0.52740602198370112</v>
      </c>
      <c r="Y127" s="26">
        <f t="shared" si="130"/>
        <v>0.58775986706239713</v>
      </c>
      <c r="Z127" s="26">
        <f t="shared" si="130"/>
        <v>1.9485361486610264</v>
      </c>
      <c r="AA127" s="26">
        <f t="shared" si="130"/>
        <v>2.4510148323311034</v>
      </c>
      <c r="AB127" s="26">
        <f t="shared" si="131"/>
        <v>4.3995509809921298</v>
      </c>
    </row>
    <row r="128" spans="1:28" x14ac:dyDescent="0.2">
      <c r="A128" t="str">
        <f t="shared" si="123"/>
        <v>34 Culture, media and sports occupations</v>
      </c>
      <c r="B128" s="26">
        <f t="shared" si="124"/>
        <v>-0.67920667166459125</v>
      </c>
      <c r="C128" s="26">
        <f t="shared" si="124"/>
        <v>1.0389588555870581</v>
      </c>
      <c r="D128" s="26">
        <f t="shared" si="124"/>
        <v>-2.5055899273491278</v>
      </c>
      <c r="E128" s="26">
        <f t="shared" si="124"/>
        <v>2.4156305082609464</v>
      </c>
      <c r="F128" s="26">
        <f t="shared" si="125"/>
        <v>-8.9959419088181392E-2</v>
      </c>
      <c r="L128" t="str">
        <f t="shared" si="126"/>
        <v>34 Culture, media and sports occupations</v>
      </c>
      <c r="M128" s="26">
        <f t="shared" si="127"/>
        <v>-2.4621989288739172</v>
      </c>
      <c r="N128" s="26">
        <f t="shared" si="127"/>
        <v>-0.17670149007189551</v>
      </c>
      <c r="O128" s="26">
        <f t="shared" si="127"/>
        <v>-1.337558866426825</v>
      </c>
      <c r="P128" s="26">
        <f t="shared" si="127"/>
        <v>1.1640902963274264</v>
      </c>
      <c r="Q128" s="26">
        <f t="shared" si="128"/>
        <v>-0.17346857009939853</v>
      </c>
      <c r="W128" t="str">
        <f t="shared" si="129"/>
        <v>34 Culture, media and sports occupations</v>
      </c>
      <c r="X128" s="26">
        <f t="shared" si="130"/>
        <v>1.7829922572093135</v>
      </c>
      <c r="Y128" s="26">
        <f t="shared" si="130"/>
        <v>1.2156603456588773</v>
      </c>
      <c r="Z128" s="26">
        <f t="shared" si="130"/>
        <v>-1.168031060922269</v>
      </c>
      <c r="AA128" s="26">
        <f t="shared" si="130"/>
        <v>1.2515402119334791</v>
      </c>
      <c r="AB128" s="26">
        <f t="shared" si="131"/>
        <v>8.3509151011210037E-2</v>
      </c>
    </row>
    <row r="129" spans="1:28" x14ac:dyDescent="0.2">
      <c r="A129" t="str">
        <f t="shared" si="123"/>
        <v>35 Business and public service associate professionals</v>
      </c>
      <c r="B129" s="26">
        <f t="shared" si="124"/>
        <v>10.768875818061431</v>
      </c>
      <c r="C129" s="26">
        <f t="shared" si="124"/>
        <v>7.9377257620178625</v>
      </c>
      <c r="D129" s="26">
        <f t="shared" si="124"/>
        <v>-6.0717144461386567</v>
      </c>
      <c r="E129" s="26">
        <f t="shared" si="124"/>
        <v>5.3348752597539715</v>
      </c>
      <c r="F129" s="26">
        <f t="shared" si="125"/>
        <v>-0.73683918638468526</v>
      </c>
      <c r="L129" t="str">
        <f t="shared" si="126"/>
        <v>35 Business and public service associate professionals</v>
      </c>
      <c r="M129" s="26">
        <f t="shared" si="127"/>
        <v>3.5009979052192364</v>
      </c>
      <c r="N129" s="26">
        <f t="shared" si="127"/>
        <v>5.2962689922836574</v>
      </c>
      <c r="O129" s="26">
        <f t="shared" si="127"/>
        <v>-6.248362305222642</v>
      </c>
      <c r="P129" s="26">
        <f t="shared" si="127"/>
        <v>-0.68272720618004712</v>
      </c>
      <c r="Q129" s="26">
        <f t="shared" si="128"/>
        <v>-6.9310895114026891</v>
      </c>
      <c r="W129" t="str">
        <f t="shared" si="129"/>
        <v>35 Business and public service associate professionals</v>
      </c>
      <c r="X129" s="26">
        <f t="shared" si="130"/>
        <v>7.2678779128420885</v>
      </c>
      <c r="Y129" s="26">
        <f t="shared" si="130"/>
        <v>2.6414567697342832</v>
      </c>
      <c r="Z129" s="26">
        <f t="shared" si="130"/>
        <v>0.17664785908435476</v>
      </c>
      <c r="AA129" s="26">
        <f t="shared" si="130"/>
        <v>6.0176024659330807</v>
      </c>
      <c r="AB129" s="26">
        <f t="shared" si="131"/>
        <v>6.1942503250174354</v>
      </c>
    </row>
    <row r="130" spans="1:28" x14ac:dyDescent="0.2">
      <c r="A130" t="str">
        <f t="shared" si="123"/>
        <v>41 Administrative occupations</v>
      </c>
      <c r="B130" s="26">
        <f t="shared" si="124"/>
        <v>1.6284306023687236</v>
      </c>
      <c r="C130" s="26">
        <f t="shared" si="124"/>
        <v>9.9182473667858062</v>
      </c>
      <c r="D130" s="26">
        <f t="shared" si="124"/>
        <v>-17.538128918938355</v>
      </c>
      <c r="E130" s="26">
        <f t="shared" si="124"/>
        <v>-10.082099939680376</v>
      </c>
      <c r="F130" s="26">
        <f t="shared" si="125"/>
        <v>-27.620228858618731</v>
      </c>
      <c r="L130" t="str">
        <f t="shared" si="126"/>
        <v>41 Administrative occupations</v>
      </c>
      <c r="M130" s="26">
        <f t="shared" si="127"/>
        <v>-1.8762889742284372</v>
      </c>
      <c r="N130" s="26">
        <f t="shared" si="127"/>
        <v>9.8778219575708945</v>
      </c>
      <c r="O130" s="26">
        <f t="shared" si="127"/>
        <v>-3.9460059558476956</v>
      </c>
      <c r="P130" s="26">
        <f t="shared" si="127"/>
        <v>3.5300320859792649</v>
      </c>
      <c r="Q130" s="26">
        <f t="shared" si="128"/>
        <v>-0.41597386986843077</v>
      </c>
      <c r="W130" t="str">
        <f t="shared" si="129"/>
        <v>41 Administrative occupations</v>
      </c>
      <c r="X130" s="26">
        <f t="shared" si="130"/>
        <v>3.5047195765969832</v>
      </c>
      <c r="Y130" s="26">
        <f t="shared" si="130"/>
        <v>4.0425409215174568E-2</v>
      </c>
      <c r="Z130" s="26">
        <f t="shared" si="130"/>
        <v>-13.592122963090759</v>
      </c>
      <c r="AA130" s="26">
        <f t="shared" si="130"/>
        <v>-13.612132025659619</v>
      </c>
      <c r="AB130" s="26">
        <f t="shared" si="131"/>
        <v>-27.204254988750378</v>
      </c>
    </row>
    <row r="131" spans="1:28" x14ac:dyDescent="0.2">
      <c r="A131" t="str">
        <f t="shared" si="123"/>
        <v>42 Secretarial and related occupations</v>
      </c>
      <c r="B131" s="26">
        <f t="shared" si="124"/>
        <v>-1.7840121563393012</v>
      </c>
      <c r="C131" s="26">
        <f t="shared" si="124"/>
        <v>-0.51285419278378441</v>
      </c>
      <c r="D131" s="26">
        <f t="shared" si="124"/>
        <v>2.252061359484145</v>
      </c>
      <c r="E131" s="26">
        <f t="shared" si="124"/>
        <v>-9.8311561320130139</v>
      </c>
      <c r="F131" s="26">
        <f t="shared" si="125"/>
        <v>-7.5790947725288689</v>
      </c>
      <c r="L131" t="str">
        <f t="shared" si="126"/>
        <v>42 Secretarial and related occupations</v>
      </c>
      <c r="M131" s="26">
        <f t="shared" si="127"/>
        <v>-0.94601892500885709</v>
      </c>
      <c r="N131" s="26">
        <f t="shared" si="127"/>
        <v>3.4044790984028683E-2</v>
      </c>
      <c r="O131" s="26">
        <f t="shared" si="127"/>
        <v>0.71006818973792774</v>
      </c>
      <c r="P131" s="26">
        <f t="shared" si="127"/>
        <v>0.78135791698622459</v>
      </c>
      <c r="Q131" s="26">
        <f t="shared" si="128"/>
        <v>1.4914261067241523</v>
      </c>
      <c r="W131" t="str">
        <f t="shared" si="129"/>
        <v>42 Secretarial and related occupations</v>
      </c>
      <c r="X131" s="26">
        <f t="shared" si="130"/>
        <v>-0.83799323133041526</v>
      </c>
      <c r="Y131" s="26">
        <f t="shared" si="130"/>
        <v>-0.54689898376781088</v>
      </c>
      <c r="Z131" s="26">
        <f t="shared" si="130"/>
        <v>1.5419931697461777</v>
      </c>
      <c r="AA131" s="26">
        <f t="shared" si="130"/>
        <v>-10.612514048999223</v>
      </c>
      <c r="AB131" s="26">
        <f t="shared" si="131"/>
        <v>-9.0705208792530456</v>
      </c>
    </row>
    <row r="132" spans="1:28" x14ac:dyDescent="0.2">
      <c r="A132" t="str">
        <f t="shared" si="123"/>
        <v>51 Skilled agricultural and related trades</v>
      </c>
      <c r="B132" s="26">
        <f t="shared" si="124"/>
        <v>0.87064864301983391</v>
      </c>
      <c r="C132" s="26">
        <f t="shared" si="124"/>
        <v>5.8133236690419814</v>
      </c>
      <c r="D132" s="26">
        <f t="shared" si="124"/>
        <v>-1.459714958936118</v>
      </c>
      <c r="E132" s="26">
        <f t="shared" si="124"/>
        <v>0.62585895254658652</v>
      </c>
      <c r="F132" s="26">
        <f t="shared" si="125"/>
        <v>-0.8338560063895315</v>
      </c>
      <c r="L132" t="str">
        <f t="shared" si="126"/>
        <v>51 Skilled agricultural and related trades</v>
      </c>
      <c r="M132" s="26">
        <f t="shared" si="127"/>
        <v>-2.2009090041510007</v>
      </c>
      <c r="N132" s="26">
        <f t="shared" si="127"/>
        <v>6.4357846528831288</v>
      </c>
      <c r="O132" s="26">
        <f t="shared" si="127"/>
        <v>-1.9810341644605387</v>
      </c>
      <c r="P132" s="26">
        <f t="shared" si="127"/>
        <v>-0.26483059848916213</v>
      </c>
      <c r="Q132" s="26">
        <f t="shared" si="128"/>
        <v>-2.2458647629497008</v>
      </c>
      <c r="W132" t="str">
        <f t="shared" si="129"/>
        <v>51 Skilled agricultural and related trades</v>
      </c>
      <c r="X132" s="26">
        <f t="shared" si="130"/>
        <v>3.0715576471707902</v>
      </c>
      <c r="Y132" s="26">
        <f t="shared" si="130"/>
        <v>-0.62246098384108528</v>
      </c>
      <c r="Z132" s="26">
        <f t="shared" si="130"/>
        <v>0.5213192055244189</v>
      </c>
      <c r="AA132" s="26">
        <f t="shared" si="130"/>
        <v>0.89068955103569536</v>
      </c>
      <c r="AB132" s="26">
        <f t="shared" si="131"/>
        <v>1.4120087565601143</v>
      </c>
    </row>
    <row r="133" spans="1:28" x14ac:dyDescent="0.2">
      <c r="A133" t="str">
        <f t="shared" si="123"/>
        <v>52 Skilled metal, electrical and electronic trades</v>
      </c>
      <c r="B133" s="26">
        <f t="shared" si="124"/>
        <v>1.5929804937502468</v>
      </c>
      <c r="C133" s="26">
        <f t="shared" si="124"/>
        <v>-12.634608188199323</v>
      </c>
      <c r="D133" s="26">
        <f t="shared" si="124"/>
        <v>-2.3841353021079499</v>
      </c>
      <c r="E133" s="26">
        <f t="shared" si="124"/>
        <v>-5.7555823384234799</v>
      </c>
      <c r="F133" s="26">
        <f t="shared" si="125"/>
        <v>-8.1397176405314298</v>
      </c>
      <c r="L133" t="str">
        <f t="shared" si="126"/>
        <v>52 Skilled metal, electrical and electronic trades</v>
      </c>
      <c r="M133" s="26">
        <f t="shared" si="127"/>
        <v>0.72564359026658565</v>
      </c>
      <c r="N133" s="26">
        <f t="shared" si="127"/>
        <v>-12.070495928994148</v>
      </c>
      <c r="O133" s="26">
        <f t="shared" si="127"/>
        <v>-4.5933682910060725</v>
      </c>
      <c r="P133" s="26">
        <f t="shared" si="127"/>
        <v>-6.8595650164096043</v>
      </c>
      <c r="Q133" s="26">
        <f t="shared" si="128"/>
        <v>-11.452933307415677</v>
      </c>
      <c r="W133" t="str">
        <f t="shared" si="129"/>
        <v>52 Skilled metal, electrical and electronic trades</v>
      </c>
      <c r="X133" s="26">
        <f t="shared" si="130"/>
        <v>0.86733690348308978</v>
      </c>
      <c r="Y133" s="26">
        <f t="shared" si="130"/>
        <v>-0.5641122592049721</v>
      </c>
      <c r="Z133" s="26">
        <f t="shared" si="130"/>
        <v>2.2092329888984104</v>
      </c>
      <c r="AA133" s="26">
        <f t="shared" si="130"/>
        <v>1.1039826779859228</v>
      </c>
      <c r="AB133" s="26">
        <f t="shared" si="131"/>
        <v>3.3132156668843331</v>
      </c>
    </row>
    <row r="134" spans="1:28" x14ac:dyDescent="0.2">
      <c r="A134" t="str">
        <f t="shared" si="123"/>
        <v>53 Skilled construction and building trades</v>
      </c>
      <c r="B134" s="26">
        <f t="shared" si="124"/>
        <v>-0.34288101118960412</v>
      </c>
      <c r="C134" s="26">
        <f t="shared" si="124"/>
        <v>-12.678218833425369</v>
      </c>
      <c r="D134" s="26">
        <f t="shared" si="124"/>
        <v>0.7218537973865935</v>
      </c>
      <c r="E134" s="26">
        <f t="shared" si="124"/>
        <v>-6.0940024892455753</v>
      </c>
      <c r="F134" s="26">
        <f t="shared" si="125"/>
        <v>-5.3721486918589818</v>
      </c>
      <c r="L134" t="str">
        <f t="shared" si="126"/>
        <v>53 Skilled construction and building trades</v>
      </c>
      <c r="M134" s="26">
        <f t="shared" si="127"/>
        <v>-0.51243419992724171</v>
      </c>
      <c r="N134" s="26">
        <f t="shared" si="127"/>
        <v>-12.64366323206086</v>
      </c>
      <c r="O134" s="26">
        <f t="shared" si="127"/>
        <v>0.68094703076216234</v>
      </c>
      <c r="P134" s="26">
        <f t="shared" si="127"/>
        <v>-6.1414210002015253</v>
      </c>
      <c r="Q134" s="26">
        <f t="shared" si="128"/>
        <v>-5.4604739694393629</v>
      </c>
      <c r="W134" t="str">
        <f t="shared" si="129"/>
        <v>53 Skilled construction and building trades</v>
      </c>
      <c r="X134" s="26">
        <f t="shared" si="130"/>
        <v>0.1695531887376307</v>
      </c>
      <c r="Y134" s="26">
        <f t="shared" si="130"/>
        <v>-3.4555601364512412E-2</v>
      </c>
      <c r="Z134" s="26">
        <f t="shared" si="130"/>
        <v>4.0906766624459023E-2</v>
      </c>
      <c r="AA134" s="26">
        <f t="shared" si="130"/>
        <v>4.7418510955909876E-2</v>
      </c>
      <c r="AB134" s="26">
        <f t="shared" si="131"/>
        <v>8.8325277580368899E-2</v>
      </c>
    </row>
    <row r="135" spans="1:28" x14ac:dyDescent="0.2">
      <c r="A135" t="str">
        <f t="shared" si="123"/>
        <v>54 Textiles, printing and other skilled trades</v>
      </c>
      <c r="B135" s="26">
        <f t="shared" si="124"/>
        <v>-5.4364609020345753</v>
      </c>
      <c r="C135" s="26">
        <f t="shared" si="124"/>
        <v>-1.3897882776438308</v>
      </c>
      <c r="D135" s="26">
        <f t="shared" si="124"/>
        <v>-1.9026948652018802</v>
      </c>
      <c r="E135" s="26">
        <f t="shared" si="124"/>
        <v>-2.8319726438925343</v>
      </c>
      <c r="F135" s="26">
        <f t="shared" si="125"/>
        <v>-4.7346675090944146</v>
      </c>
      <c r="L135" t="str">
        <f t="shared" si="126"/>
        <v>54 Textiles, printing and other skilled trades</v>
      </c>
      <c r="M135" s="26">
        <f t="shared" si="127"/>
        <v>-4.754093132462426</v>
      </c>
      <c r="N135" s="26">
        <f t="shared" si="127"/>
        <v>-1.2209538160814404</v>
      </c>
      <c r="O135" s="26">
        <f t="shared" si="127"/>
        <v>-0.93763251801912517</v>
      </c>
      <c r="P135" s="26">
        <f t="shared" si="127"/>
        <v>-1.9729032620956133</v>
      </c>
      <c r="Q135" s="26">
        <f t="shared" si="128"/>
        <v>-2.9105357801147385</v>
      </c>
      <c r="W135" t="str">
        <f t="shared" si="129"/>
        <v>54 Textiles, printing and other skilled trades</v>
      </c>
      <c r="X135" s="26">
        <f t="shared" si="130"/>
        <v>-0.6823677695719752</v>
      </c>
      <c r="Y135" s="26">
        <f t="shared" si="130"/>
        <v>-0.16883446156242243</v>
      </c>
      <c r="Z135" s="26">
        <f t="shared" si="130"/>
        <v>-0.96506234718280126</v>
      </c>
      <c r="AA135" s="26">
        <f t="shared" si="130"/>
        <v>-0.85906938179684467</v>
      </c>
      <c r="AB135" s="26">
        <f t="shared" si="131"/>
        <v>-1.8241317289796459</v>
      </c>
    </row>
    <row r="136" spans="1:28" x14ac:dyDescent="0.2">
      <c r="A136" t="str">
        <f t="shared" si="123"/>
        <v>61 Caring personal service occupations</v>
      </c>
      <c r="B136" s="26">
        <f t="shared" si="124"/>
        <v>4.9812048476105417</v>
      </c>
      <c r="C136" s="26">
        <f t="shared" si="124"/>
        <v>-6.9427446294851336</v>
      </c>
      <c r="D136" s="26">
        <f t="shared" si="124"/>
        <v>16.305252535104074</v>
      </c>
      <c r="E136" s="26">
        <f t="shared" si="124"/>
        <v>17.806480791272634</v>
      </c>
      <c r="F136" s="26">
        <f t="shared" si="125"/>
        <v>34.111733326376708</v>
      </c>
      <c r="L136" t="str">
        <f t="shared" si="126"/>
        <v>61 Caring personal service occupations</v>
      </c>
      <c r="M136" s="26">
        <f t="shared" si="127"/>
        <v>1.0688356350363577</v>
      </c>
      <c r="N136" s="26">
        <f t="shared" si="127"/>
        <v>0.25723199062754176</v>
      </c>
      <c r="O136" s="26">
        <f t="shared" si="127"/>
        <v>6.8595708025659903</v>
      </c>
      <c r="P136" s="26">
        <f t="shared" si="127"/>
        <v>6.2072921506006935</v>
      </c>
      <c r="Q136" s="26">
        <f t="shared" si="128"/>
        <v>13.066862953166684</v>
      </c>
      <c r="W136" t="str">
        <f t="shared" si="129"/>
        <v>61 Caring personal service occupations</v>
      </c>
      <c r="X136" s="26">
        <f t="shared" si="130"/>
        <v>3.9123692125741627</v>
      </c>
      <c r="Y136" s="26">
        <f t="shared" si="130"/>
        <v>-7.1999766201126647</v>
      </c>
      <c r="Z136" s="26">
        <f t="shared" si="130"/>
        <v>9.4456817325382758</v>
      </c>
      <c r="AA136" s="26">
        <f t="shared" si="130"/>
        <v>11.599188640671315</v>
      </c>
      <c r="AB136" s="26">
        <f t="shared" si="131"/>
        <v>21.044870373209591</v>
      </c>
    </row>
    <row r="137" spans="1:28" x14ac:dyDescent="0.2">
      <c r="A137" t="str">
        <f t="shared" si="123"/>
        <v>62 Leisure, travel and related personal service occupations</v>
      </c>
      <c r="B137" s="26">
        <f t="shared" si="124"/>
        <v>12.552384651331515</v>
      </c>
      <c r="C137" s="26">
        <f t="shared" si="124"/>
        <v>-2.9485326246817039</v>
      </c>
      <c r="D137" s="26">
        <f t="shared" si="124"/>
        <v>-6.0635886738374722E-2</v>
      </c>
      <c r="E137" s="26">
        <f t="shared" si="124"/>
        <v>1.4755826583225584</v>
      </c>
      <c r="F137" s="26">
        <f t="shared" si="125"/>
        <v>1.4149467715841837</v>
      </c>
      <c r="L137" t="str">
        <f t="shared" si="126"/>
        <v>62 Leisure, travel and related personal service occupations</v>
      </c>
      <c r="M137" s="26">
        <f t="shared" si="127"/>
        <v>1.9926082647758552</v>
      </c>
      <c r="N137" s="26">
        <f t="shared" si="127"/>
        <v>-0.46142749083650969</v>
      </c>
      <c r="O137" s="26">
        <f t="shared" si="127"/>
        <v>0.10649492197232036</v>
      </c>
      <c r="P137" s="26">
        <f t="shared" si="127"/>
        <v>1.4891831480483759</v>
      </c>
      <c r="Q137" s="26">
        <f t="shared" si="128"/>
        <v>1.5956780700206963</v>
      </c>
      <c r="W137" t="str">
        <f t="shared" si="129"/>
        <v>62 Leisure, travel and related personal service occupations</v>
      </c>
      <c r="X137" s="26">
        <f t="shared" si="130"/>
        <v>10.55977638655586</v>
      </c>
      <c r="Y137" s="26">
        <f t="shared" si="130"/>
        <v>-2.4871051338452901</v>
      </c>
      <c r="Z137" s="26">
        <f t="shared" si="130"/>
        <v>-0.16713080871065955</v>
      </c>
      <c r="AA137" s="26">
        <f t="shared" si="130"/>
        <v>-1.3600489725945408E-2</v>
      </c>
      <c r="AB137" s="26">
        <f t="shared" si="131"/>
        <v>-0.18073129843660496</v>
      </c>
    </row>
    <row r="138" spans="1:28" x14ac:dyDescent="0.2">
      <c r="A138" t="str">
        <f t="shared" si="123"/>
        <v>63 Community and civil enforcement occupations</v>
      </c>
      <c r="B138" s="26">
        <f t="shared" si="124"/>
        <v>-0.42752309940337474</v>
      </c>
      <c r="C138" s="26">
        <f t="shared" si="124"/>
        <v>0.58479198199386939</v>
      </c>
      <c r="D138" s="26">
        <f t="shared" si="124"/>
        <v>-0.45063594605905744</v>
      </c>
      <c r="E138" s="26">
        <f t="shared" si="124"/>
        <v>0.2305877094161124</v>
      </c>
      <c r="F138" s="26">
        <f t="shared" si="125"/>
        <v>-0.22004823664294504</v>
      </c>
      <c r="L138" t="str">
        <f t="shared" si="126"/>
        <v>63 Community and civil enforcement occupations</v>
      </c>
      <c r="M138" s="26">
        <f t="shared" si="127"/>
        <v>-0.52498454471597378</v>
      </c>
      <c r="N138" s="26">
        <f t="shared" si="127"/>
        <v>0.64180252650719161</v>
      </c>
      <c r="O138" s="26">
        <f t="shared" si="127"/>
        <v>-0.60547276938228167</v>
      </c>
      <c r="P138" s="26">
        <f t="shared" si="127"/>
        <v>0.23934585906773487</v>
      </c>
      <c r="Q138" s="26">
        <f t="shared" si="128"/>
        <v>-0.36612691031454681</v>
      </c>
      <c r="W138" t="str">
        <f t="shared" si="129"/>
        <v>63 Community and civil enforcement occupations</v>
      </c>
      <c r="X138" s="26">
        <f t="shared" si="130"/>
        <v>9.74614453126047E-2</v>
      </c>
      <c r="Y138" s="26">
        <f t="shared" si="130"/>
        <v>-5.7010544513323824E-2</v>
      </c>
      <c r="Z138" s="26">
        <f t="shared" si="130"/>
        <v>0.15483682332323107</v>
      </c>
      <c r="AA138" s="26">
        <f t="shared" si="130"/>
        <v>-8.7581496516289103E-3</v>
      </c>
      <c r="AB138" s="26">
        <f t="shared" si="131"/>
        <v>0.14607867367160215</v>
      </c>
    </row>
    <row r="139" spans="1:28" x14ac:dyDescent="0.2">
      <c r="A139" t="str">
        <f t="shared" si="123"/>
        <v>71 Sales occupations</v>
      </c>
      <c r="B139" s="26">
        <f t="shared" si="124"/>
        <v>-9.4929329663076487</v>
      </c>
      <c r="C139" s="26">
        <f t="shared" si="124"/>
        <v>-5.6396638268659842</v>
      </c>
      <c r="D139" s="26">
        <f t="shared" si="124"/>
        <v>-10.979884470343649</v>
      </c>
      <c r="E139" s="26">
        <f t="shared" si="124"/>
        <v>-8.0327834577690851</v>
      </c>
      <c r="F139" s="26">
        <f t="shared" si="125"/>
        <v>-19.012667928112734</v>
      </c>
      <c r="L139" t="str">
        <f t="shared" si="126"/>
        <v>71 Sales occupations</v>
      </c>
      <c r="M139" s="26">
        <f t="shared" si="127"/>
        <v>-1.4811159454427383</v>
      </c>
      <c r="N139" s="26">
        <f t="shared" si="127"/>
        <v>-0.78396821931526262</v>
      </c>
      <c r="O139" s="26">
        <f t="shared" si="127"/>
        <v>-3.9828706218807639</v>
      </c>
      <c r="P139" s="26">
        <f t="shared" si="127"/>
        <v>-1.9304904680828301</v>
      </c>
      <c r="Q139" s="26">
        <f t="shared" si="128"/>
        <v>-5.913361089963594</v>
      </c>
      <c r="W139" t="str">
        <f t="shared" si="129"/>
        <v>71 Sales occupations</v>
      </c>
      <c r="X139" s="26">
        <f t="shared" si="130"/>
        <v>-8.0118170208637025</v>
      </c>
      <c r="Y139" s="26">
        <f t="shared" si="130"/>
        <v>-4.8556956075514535</v>
      </c>
      <c r="Z139" s="26">
        <f t="shared" si="130"/>
        <v>-6.9970138484626148</v>
      </c>
      <c r="AA139" s="26">
        <f t="shared" si="130"/>
        <v>-6.1022929896860916</v>
      </c>
      <c r="AB139" s="26">
        <f t="shared" si="131"/>
        <v>-13.099306838148706</v>
      </c>
    </row>
    <row r="140" spans="1:28" x14ac:dyDescent="0.2">
      <c r="A140" t="str">
        <f t="shared" si="123"/>
        <v>72 Customer service occupations</v>
      </c>
      <c r="B140" s="26">
        <f t="shared" si="124"/>
        <v>2.6585316066693778</v>
      </c>
      <c r="C140" s="26">
        <f t="shared" si="124"/>
        <v>1.0778410254985502</v>
      </c>
      <c r="D140" s="26">
        <f t="shared" si="124"/>
        <v>11.053896283184962</v>
      </c>
      <c r="E140" s="26">
        <f t="shared" si="124"/>
        <v>6.8077068427544418</v>
      </c>
      <c r="F140" s="26">
        <f t="shared" si="125"/>
        <v>17.861603125939403</v>
      </c>
      <c r="L140" t="str">
        <f t="shared" si="126"/>
        <v>72 Customer service occupations</v>
      </c>
      <c r="M140" s="26">
        <f t="shared" si="127"/>
        <v>-0.98279505140701318</v>
      </c>
      <c r="N140" s="26">
        <f t="shared" si="127"/>
        <v>2.1857591037133624</v>
      </c>
      <c r="O140" s="26">
        <f t="shared" si="127"/>
        <v>4.8339604850364832</v>
      </c>
      <c r="P140" s="26">
        <f t="shared" si="127"/>
        <v>2.6252507097840372</v>
      </c>
      <c r="Q140" s="26">
        <f t="shared" si="128"/>
        <v>7.4592111948205204</v>
      </c>
      <c r="W140" t="str">
        <f t="shared" si="129"/>
        <v>72 Customer service occupations</v>
      </c>
      <c r="X140" s="26">
        <f t="shared" si="130"/>
        <v>3.6413266580762986</v>
      </c>
      <c r="Y140" s="26">
        <f t="shared" si="130"/>
        <v>-1.1079180782147624</v>
      </c>
      <c r="Z140" s="26">
        <f t="shared" si="130"/>
        <v>6.2199357981485583</v>
      </c>
      <c r="AA140" s="26">
        <f t="shared" si="130"/>
        <v>4.1824561329702945</v>
      </c>
      <c r="AB140" s="26">
        <f t="shared" si="131"/>
        <v>10.402391931118853</v>
      </c>
    </row>
    <row r="141" spans="1:28" x14ac:dyDescent="0.2">
      <c r="A141" t="str">
        <f t="shared" si="123"/>
        <v>81 Process, plant and machine operatives</v>
      </c>
      <c r="B141" s="26">
        <f t="shared" si="124"/>
        <v>-1.0062752267295139</v>
      </c>
      <c r="C141" s="26">
        <f t="shared" si="124"/>
        <v>-12.3492700692466</v>
      </c>
      <c r="D141" s="26">
        <f t="shared" si="124"/>
        <v>17.08066821148465</v>
      </c>
      <c r="E141" s="26">
        <f t="shared" si="124"/>
        <v>-1.4297364654219535</v>
      </c>
      <c r="F141" s="26">
        <f t="shared" si="125"/>
        <v>15.650931746062696</v>
      </c>
      <c r="L141" t="str">
        <f t="shared" si="126"/>
        <v>81 Process, plant and machine operatives</v>
      </c>
      <c r="M141" s="26">
        <f t="shared" si="127"/>
        <v>-2.9134116061705413</v>
      </c>
      <c r="N141" s="26">
        <f t="shared" si="127"/>
        <v>-7.4960768634818109</v>
      </c>
      <c r="O141" s="26">
        <f t="shared" si="127"/>
        <v>11.426362970818239</v>
      </c>
      <c r="P141" s="26">
        <f t="shared" si="127"/>
        <v>-3.2790427495550176</v>
      </c>
      <c r="Q141" s="26">
        <f t="shared" si="128"/>
        <v>8.1473202212632216</v>
      </c>
      <c r="W141" t="str">
        <f t="shared" si="129"/>
        <v>81 Process, plant and machine operatives</v>
      </c>
      <c r="X141" s="26">
        <f t="shared" si="130"/>
        <v>1.9071363794412726</v>
      </c>
      <c r="Y141" s="26">
        <f t="shared" si="130"/>
        <v>-4.8531932057646259</v>
      </c>
      <c r="Z141" s="26">
        <f t="shared" si="130"/>
        <v>5.6543052406662966</v>
      </c>
      <c r="AA141" s="26">
        <f t="shared" si="130"/>
        <v>1.8493062841327088</v>
      </c>
      <c r="AB141" s="26">
        <f t="shared" si="131"/>
        <v>7.5036115247990054</v>
      </c>
    </row>
    <row r="142" spans="1:28" x14ac:dyDescent="0.2">
      <c r="A142" t="str">
        <f t="shared" si="123"/>
        <v>82 Transport and mobile machine drivers and operatives</v>
      </c>
      <c r="B142" s="26">
        <f t="shared" si="124"/>
        <v>11.79864482931832</v>
      </c>
      <c r="C142" s="26">
        <f t="shared" si="124"/>
        <v>0.41716228423112511</v>
      </c>
      <c r="D142" s="26">
        <f t="shared" si="124"/>
        <v>4.4994883173393703</v>
      </c>
      <c r="E142" s="26">
        <f t="shared" si="124"/>
        <v>-2.1078210438031277</v>
      </c>
      <c r="F142" s="26">
        <f t="shared" si="125"/>
        <v>2.3916672735362425</v>
      </c>
      <c r="L142" t="str">
        <f t="shared" si="126"/>
        <v>82 Transport and mobile machine drivers and operatives</v>
      </c>
      <c r="M142" s="26">
        <f t="shared" si="127"/>
        <v>11.06017665683278</v>
      </c>
      <c r="N142" s="26">
        <f t="shared" si="127"/>
        <v>0.53947587784433892</v>
      </c>
      <c r="O142" s="26">
        <f t="shared" si="127"/>
        <v>2.2924562681977534</v>
      </c>
      <c r="P142" s="26">
        <f t="shared" si="127"/>
        <v>-2.9253538129906644</v>
      </c>
      <c r="Q142" s="26">
        <f t="shared" si="128"/>
        <v>-0.63289754479291105</v>
      </c>
      <c r="W142" t="str">
        <f t="shared" si="129"/>
        <v>82 Transport and mobile machine drivers and operatives</v>
      </c>
      <c r="X142" s="26">
        <f t="shared" si="130"/>
        <v>0.73846817248530972</v>
      </c>
      <c r="Y142" s="26">
        <f t="shared" si="130"/>
        <v>-0.12231359361322891</v>
      </c>
      <c r="Z142" s="26">
        <f t="shared" si="130"/>
        <v>2.2070320491411248</v>
      </c>
      <c r="AA142" s="26">
        <f t="shared" si="130"/>
        <v>0.8175327691880927</v>
      </c>
      <c r="AB142" s="26">
        <f t="shared" si="131"/>
        <v>3.0245648183292175</v>
      </c>
    </row>
    <row r="143" spans="1:28" x14ac:dyDescent="0.2">
      <c r="A143" t="str">
        <f t="shared" si="123"/>
        <v>91 Elementary trades and related occupations</v>
      </c>
      <c r="B143" s="26">
        <f t="shared" si="124"/>
        <v>-4.2369315554576232</v>
      </c>
      <c r="C143" s="26">
        <f t="shared" si="124"/>
        <v>-3.5812488677863996</v>
      </c>
      <c r="D143" s="26">
        <f t="shared" si="124"/>
        <v>-7.0744530324371055</v>
      </c>
      <c r="E143" s="26">
        <f t="shared" si="124"/>
        <v>-2.5174619288185127</v>
      </c>
      <c r="F143" s="26">
        <f t="shared" si="125"/>
        <v>-9.5919149612556183</v>
      </c>
      <c r="L143" t="str">
        <f t="shared" si="126"/>
        <v>91 Elementary trades and related occupations</v>
      </c>
      <c r="M143" s="26">
        <f t="shared" si="127"/>
        <v>-3.743638352423396</v>
      </c>
      <c r="N143" s="26">
        <f t="shared" si="127"/>
        <v>-0.60005080747631467</v>
      </c>
      <c r="O143" s="26">
        <f t="shared" si="127"/>
        <v>-5.7464937875982507</v>
      </c>
      <c r="P143" s="26">
        <f t="shared" si="127"/>
        <v>-2.1898248192020873</v>
      </c>
      <c r="Q143" s="26">
        <f t="shared" si="128"/>
        <v>-7.936318606800338</v>
      </c>
      <c r="W143" t="str">
        <f t="shared" si="129"/>
        <v>91 Elementary trades and related occupations</v>
      </c>
      <c r="X143" s="26">
        <f t="shared" si="130"/>
        <v>-0.49329320303437285</v>
      </c>
      <c r="Y143" s="26">
        <f t="shared" si="130"/>
        <v>-2.9811980603101578</v>
      </c>
      <c r="Z143" s="26">
        <f t="shared" si="130"/>
        <v>-1.327959244838766</v>
      </c>
      <c r="AA143" s="26">
        <f t="shared" si="130"/>
        <v>-0.327637109616294</v>
      </c>
      <c r="AB143" s="26">
        <f t="shared" si="131"/>
        <v>-1.65559635445506</v>
      </c>
    </row>
    <row r="144" spans="1:28" x14ac:dyDescent="0.2">
      <c r="A144" t="str">
        <f t="shared" si="123"/>
        <v>92 Elementary administration and service occupations</v>
      </c>
      <c r="B144" s="26">
        <f t="shared" si="124"/>
        <v>-8.8721772053548023</v>
      </c>
      <c r="C144" s="26">
        <f t="shared" si="124"/>
        <v>-15.352344428668289</v>
      </c>
      <c r="D144" s="26">
        <f t="shared" si="124"/>
        <v>-5.7574056538555851E-2</v>
      </c>
      <c r="E144" s="26">
        <f t="shared" si="124"/>
        <v>-13.401167667573986</v>
      </c>
      <c r="F144" s="26">
        <f t="shared" si="125"/>
        <v>-13.458741724112542</v>
      </c>
      <c r="L144" t="str">
        <f t="shared" si="126"/>
        <v>92 Elementary administration and service occupations</v>
      </c>
      <c r="M144" s="26">
        <f t="shared" si="127"/>
        <v>-12.502005847003105</v>
      </c>
      <c r="N144" s="26">
        <f t="shared" si="127"/>
        <v>-4.1112268635532843</v>
      </c>
      <c r="O144" s="26">
        <f t="shared" si="127"/>
        <v>5.0154642793459345</v>
      </c>
      <c r="P144" s="26">
        <f t="shared" si="127"/>
        <v>-7.809512088713916</v>
      </c>
      <c r="Q144" s="26">
        <f t="shared" si="128"/>
        <v>-2.7940478093679815</v>
      </c>
      <c r="W144" t="str">
        <f t="shared" si="129"/>
        <v>92 Elementary administration and service occupations</v>
      </c>
      <c r="X144" s="26">
        <f t="shared" si="130"/>
        <v>3.629828641648146</v>
      </c>
      <c r="Y144" s="26">
        <f t="shared" si="130"/>
        <v>-11.241117565114337</v>
      </c>
      <c r="Z144" s="26">
        <f t="shared" si="130"/>
        <v>-5.0730383358857409</v>
      </c>
      <c r="AA144" s="26">
        <f t="shared" si="130"/>
        <v>-5.5916555788593598</v>
      </c>
      <c r="AB144" s="26">
        <f t="shared" si="131"/>
        <v>-10.664693914745101</v>
      </c>
    </row>
    <row r="145" spans="1:31" x14ac:dyDescent="0.2">
      <c r="C145" s="26"/>
      <c r="F145" s="26"/>
      <c r="N145" s="26"/>
      <c r="Q145" s="26"/>
      <c r="Y145" s="26"/>
      <c r="AB145" s="26"/>
    </row>
    <row r="146" spans="1:31" x14ac:dyDescent="0.2">
      <c r="A146" s="23" t="str">
        <f>A35</f>
        <v>All occupations</v>
      </c>
      <c r="B146" s="28">
        <f>C35-B35</f>
        <v>130.89299999957711</v>
      </c>
      <c r="C146" s="28">
        <f t="shared" ref="C146" si="132">D35-C35</f>
        <v>-1.1460000004685753</v>
      </c>
      <c r="D146" s="28">
        <f>E35-D35</f>
        <v>38.562000006362723</v>
      </c>
      <c r="E146" s="28">
        <f>F35-E35</f>
        <v>67.893999994571914</v>
      </c>
      <c r="F146" s="28">
        <f t="shared" ref="F146" si="133">F35-D35</f>
        <v>106.45600000093464</v>
      </c>
      <c r="L146" s="23" t="str">
        <f>L35</f>
        <v>All occupations</v>
      </c>
      <c r="M146" s="28">
        <f>N35-M35</f>
        <v>36.924000000132764</v>
      </c>
      <c r="N146" s="28">
        <f t="shared" ref="N146" si="134">O35-N35</f>
        <v>12.152999999132362</v>
      </c>
      <c r="O146" s="28">
        <f>P35-O35</f>
        <v>14.268000000875418</v>
      </c>
      <c r="P146" s="28">
        <f>Q35-P35</f>
        <v>23.540999999864425</v>
      </c>
      <c r="Q146" s="28">
        <f t="shared" ref="Q146" si="135">Q35-O35</f>
        <v>37.809000000739843</v>
      </c>
      <c r="W146" s="23" t="str">
        <f>W35</f>
        <v>All occupations</v>
      </c>
      <c r="X146" s="28">
        <f>Y35-X35</f>
        <v>93.968999999444122</v>
      </c>
      <c r="Y146" s="28">
        <f t="shared" ref="Y146" si="136">Z35-Y35</f>
        <v>-13.298999999599801</v>
      </c>
      <c r="Z146" s="28">
        <f>AA35-Z35</f>
        <v>24.294000005487078</v>
      </c>
      <c r="AA146" s="28">
        <f>AB35-AA35</f>
        <v>44.352999994704987</v>
      </c>
      <c r="AB146" s="28">
        <f t="shared" ref="AB146" si="137">AB35-Z35</f>
        <v>68.647000000192065</v>
      </c>
    </row>
    <row r="150" spans="1:31" x14ac:dyDescent="0.2">
      <c r="D150" s="1" t="s">
        <v>13</v>
      </c>
      <c r="H150" s="40" t="s">
        <v>41</v>
      </c>
      <c r="O150" s="1" t="s">
        <v>13</v>
      </c>
      <c r="S150" s="40" t="s">
        <v>41</v>
      </c>
      <c r="Z150" s="1" t="s">
        <v>13</v>
      </c>
      <c r="AD150" s="40" t="s">
        <v>41</v>
      </c>
    </row>
    <row r="151" spans="1:31" x14ac:dyDescent="0.2">
      <c r="A151" s="21"/>
      <c r="B151" s="22">
        <f>B6</f>
        <v>2015</v>
      </c>
      <c r="C151" s="22">
        <f t="shared" ref="C151:F151" si="138">C6</f>
        <v>2019</v>
      </c>
      <c r="D151" s="22">
        <f t="shared" si="138"/>
        <v>2020</v>
      </c>
      <c r="E151" s="22">
        <f t="shared" si="138"/>
        <v>2025</v>
      </c>
      <c r="F151" s="22">
        <f t="shared" si="138"/>
        <v>2035</v>
      </c>
      <c r="H151" s="74" t="str">
        <f>CONCATENATE(B$6,"-",D$6)</f>
        <v>2015-2020</v>
      </c>
      <c r="I151" s="74" t="str">
        <f>CONCATENATE(D$6,"-",F$6)</f>
        <v>2020-2035</v>
      </c>
      <c r="L151" s="21"/>
      <c r="M151" s="22">
        <f>M6</f>
        <v>2015</v>
      </c>
      <c r="N151" s="22">
        <f t="shared" ref="N151:Q151" si="139">N6</f>
        <v>2019</v>
      </c>
      <c r="O151" s="22">
        <f t="shared" si="139"/>
        <v>2020</v>
      </c>
      <c r="P151" s="22">
        <f t="shared" si="139"/>
        <v>2025</v>
      </c>
      <c r="Q151" s="22">
        <f t="shared" si="139"/>
        <v>2035</v>
      </c>
      <c r="S151" s="74" t="str">
        <f>CONCATENATE(M$6,"-",O$6)</f>
        <v>2015-2020</v>
      </c>
      <c r="T151" s="74" t="str">
        <f>CONCATENATE(O$6,"-",Q$6)</f>
        <v>2020-2035</v>
      </c>
      <c r="W151" s="21"/>
      <c r="X151" s="22">
        <f>X6</f>
        <v>2015</v>
      </c>
      <c r="Y151" s="22">
        <f t="shared" ref="Y151:AB151" si="140">Y6</f>
        <v>2019</v>
      </c>
      <c r="Z151" s="22">
        <f t="shared" si="140"/>
        <v>2020</v>
      </c>
      <c r="AA151" s="22">
        <f t="shared" si="140"/>
        <v>2025</v>
      </c>
      <c r="AB151" s="22">
        <f t="shared" si="140"/>
        <v>2035</v>
      </c>
      <c r="AD151" s="74" t="str">
        <f>CONCATENATE(X$6,"-",Z$6)</f>
        <v>2015-2020</v>
      </c>
      <c r="AE151" s="74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39"/>
      <c r="I152" s="39"/>
      <c r="L152" s="10"/>
      <c r="M152" s="11"/>
      <c r="N152" s="11"/>
      <c r="O152" s="11"/>
      <c r="P152" s="11"/>
      <c r="Q152" s="11"/>
      <c r="S152" s="39"/>
      <c r="T152" s="39"/>
      <c r="W152" s="10"/>
      <c r="X152" s="11"/>
      <c r="Y152" s="11"/>
      <c r="Z152" s="11"/>
      <c r="AA152" s="11"/>
      <c r="AB152" s="11"/>
      <c r="AD152" s="39"/>
      <c r="AE152" s="39"/>
    </row>
    <row r="153" spans="1:31" x14ac:dyDescent="0.2">
      <c r="A153" s="10" t="str">
        <f t="shared" ref="A153:B178" si="141">A8</f>
        <v>11 Corporate managers and directors</v>
      </c>
      <c r="B153" s="11">
        <f t="shared" si="141"/>
        <v>143.65805606021732</v>
      </c>
      <c r="C153" s="11">
        <f t="shared" ref="C153:F153" si="142">C8</f>
        <v>174.21928226313696</v>
      </c>
      <c r="D153" s="11">
        <f t="shared" si="142"/>
        <v>181.26829746514963</v>
      </c>
      <c r="E153" s="11">
        <f t="shared" si="142"/>
        <v>167.75005991181814</v>
      </c>
      <c r="F153" s="11">
        <f t="shared" si="142"/>
        <v>182.91832107250198</v>
      </c>
      <c r="H153" s="39">
        <f>IF(D$151-B$151 &lt;&gt; 0,(EXP(LN(D153/B153)/(D$151-B$151))-1)*100,0)</f>
        <v>4.7606957530791139</v>
      </c>
      <c r="I153" s="39">
        <f>IF(F$151-D$151 &lt;&gt; 0,(EXP(LN(F153/D153)/(F$151-D$151))-1)*100,0)</f>
        <v>6.0428117746491594E-2</v>
      </c>
      <c r="L153" s="10" t="str">
        <f>L8</f>
        <v>11 Corporate managers and directors</v>
      </c>
      <c r="M153" s="11">
        <f>M8</f>
        <v>103.9651809917853</v>
      </c>
      <c r="N153" s="11">
        <f t="shared" ref="N153:Q153" si="143">N8</f>
        <v>120.12771507370248</v>
      </c>
      <c r="O153" s="11">
        <f t="shared" si="143"/>
        <v>125.63193477059873</v>
      </c>
      <c r="P153" s="11">
        <f t="shared" si="143"/>
        <v>112.97757429301309</v>
      </c>
      <c r="Q153" s="11">
        <f t="shared" si="143"/>
        <v>118.40158884880256</v>
      </c>
      <c r="S153" s="39">
        <f>IF(O$151-M$151 &lt;&gt; 0,(EXP(LN(O153/M153)/(O$151-M$151))-1)*100,0)</f>
        <v>3.8585910941364876</v>
      </c>
      <c r="T153" s="39">
        <f>IF(Q$151-O$151 &lt;&gt; 0,(EXP(LN(Q153/O153)/(Q$151-O$151))-1)*100,0)</f>
        <v>-0.39438251307527539</v>
      </c>
      <c r="W153" s="10" t="str">
        <f>W8</f>
        <v>11 Corporate managers and directors</v>
      </c>
      <c r="X153" s="11">
        <f>X8</f>
        <v>39.692875068432016</v>
      </c>
      <c r="Y153" s="11">
        <f t="shared" ref="Y153:AB153" si="144">Y8</f>
        <v>54.091567189434166</v>
      </c>
      <c r="Z153" s="11">
        <f t="shared" si="144"/>
        <v>55.636362694551103</v>
      </c>
      <c r="AA153" s="11">
        <f t="shared" si="144"/>
        <v>54.772485618805803</v>
      </c>
      <c r="AB153" s="11">
        <f t="shared" si="144"/>
        <v>64.516732223699307</v>
      </c>
      <c r="AD153" s="39">
        <f>IF(Z$151-X$151 &lt;&gt; 0,(EXP(LN(Z153/X153)/(Z$151-X$151))-1)*100,0)</f>
        <v>6.9865626739979536</v>
      </c>
      <c r="AE153" s="39">
        <f>IF(AB$151-Z$151 &lt;&gt; 0,(EXP(LN(AB153/Z153)/(AB$151-Z$151))-1)*100,0)</f>
        <v>0.99214014175155185</v>
      </c>
    </row>
    <row r="154" spans="1:31" x14ac:dyDescent="0.2">
      <c r="A154" s="10" t="str">
        <f t="shared" si="141"/>
        <v>12 Other managers and proprietors</v>
      </c>
      <c r="B154" s="11">
        <f t="shared" si="141"/>
        <v>69.308890456575654</v>
      </c>
      <c r="C154" s="11">
        <f t="shared" ref="C154:F178" si="145">C9</f>
        <v>77.184594003851032</v>
      </c>
      <c r="D154" s="11">
        <f t="shared" si="145"/>
        <v>80.330640441711182</v>
      </c>
      <c r="E154" s="11">
        <f t="shared" si="145"/>
        <v>98.883023906201075</v>
      </c>
      <c r="F154" s="11">
        <f t="shared" si="145"/>
        <v>113.42826929468428</v>
      </c>
      <c r="H154" s="39">
        <f t="shared" ref="H154:H180" si="146">IF(D$151-B$151 &lt;&gt; 0,(EXP(LN(D154/B154)/(D$151-B$151))-1)*100,0)</f>
        <v>2.9955489346220832</v>
      </c>
      <c r="I154" s="39">
        <f t="shared" ref="I154:I180" si="147">IF(F$151-D$151 &lt;&gt; 0,(EXP(LN(F154/D154)/(F$151-D$151))-1)*100,0)</f>
        <v>2.3267871551273966</v>
      </c>
      <c r="L154" s="10" t="str">
        <f t="shared" ref="L154:Q154" si="148">L9</f>
        <v>12 Other managers and proprietors</v>
      </c>
      <c r="M154" s="11">
        <f t="shared" si="148"/>
        <v>44.534536182686395</v>
      </c>
      <c r="N154" s="11">
        <f t="shared" si="148"/>
        <v>48.174470636582889</v>
      </c>
      <c r="O154" s="11">
        <f t="shared" si="148"/>
        <v>51.332169945687767</v>
      </c>
      <c r="P154" s="11">
        <f t="shared" si="148"/>
        <v>65.253331072434634</v>
      </c>
      <c r="Q154" s="11">
        <f t="shared" si="148"/>
        <v>74.83280829095817</v>
      </c>
      <c r="S154" s="39">
        <f t="shared" ref="S154:S177" si="149">IF(O$151-M$151 &lt;&gt; 0,(EXP(LN(O154/M154)/(O$151-M$151))-1)*100,0)</f>
        <v>2.8817962063856672</v>
      </c>
      <c r="T154" s="39">
        <f t="shared" ref="T154:T177" si="150">IF(Q$151-O$151 &lt;&gt; 0,(EXP(LN(Q154/O154)/(Q$151-O$151))-1)*100,0)</f>
        <v>2.5447651221500056</v>
      </c>
      <c r="W154" s="10" t="str">
        <f t="shared" ref="W154:AB154" si="151">W9</f>
        <v>12 Other managers and proprietors</v>
      </c>
      <c r="X154" s="11">
        <f t="shared" si="151"/>
        <v>24.774354273889305</v>
      </c>
      <c r="Y154" s="11">
        <f t="shared" si="151"/>
        <v>29.010123367268257</v>
      </c>
      <c r="Z154" s="11">
        <f t="shared" si="151"/>
        <v>28.998470496023625</v>
      </c>
      <c r="AA154" s="11">
        <f t="shared" si="151"/>
        <v>33.629692833766597</v>
      </c>
      <c r="AB154" s="11">
        <f t="shared" si="151"/>
        <v>38.595461003726243</v>
      </c>
      <c r="AD154" s="39">
        <f t="shared" ref="AD154:AD177" si="152">IF(Z$151-X$151 &lt;&gt; 0,(EXP(LN(Z154/X154)/(Z$151-X$151))-1)*100,0)</f>
        <v>3.1987767884419815</v>
      </c>
      <c r="AE154" s="39">
        <f t="shared" ref="AE154:AE177" si="153">IF(AB$151-Z$151 &lt;&gt; 0,(EXP(LN(AB154/Z154)/(AB$151-Z$151))-1)*100,0)</f>
        <v>1.9242230024707041</v>
      </c>
    </row>
    <row r="155" spans="1:31" x14ac:dyDescent="0.2">
      <c r="A155" s="10" t="str">
        <f t="shared" si="141"/>
        <v>21 Science, research, engineering and technology professionals</v>
      </c>
      <c r="B155" s="11">
        <f t="shared" si="141"/>
        <v>118.17350877122848</v>
      </c>
      <c r="C155" s="11">
        <f t="shared" si="145"/>
        <v>139.32948990430606</v>
      </c>
      <c r="D155" s="11">
        <f t="shared" si="145"/>
        <v>146.15293795725444</v>
      </c>
      <c r="E155" s="11">
        <f t="shared" si="145"/>
        <v>154.11944030831137</v>
      </c>
      <c r="F155" s="11">
        <f t="shared" si="145"/>
        <v>171.82982594197708</v>
      </c>
      <c r="H155" s="39">
        <f t="shared" si="146"/>
        <v>4.3415980395241416</v>
      </c>
      <c r="I155" s="39">
        <f t="shared" si="147"/>
        <v>1.0848490001600153</v>
      </c>
      <c r="L155" s="10" t="str">
        <f t="shared" ref="L155:Q155" si="154">L10</f>
        <v>21 Science, research, engineering and technology professionals</v>
      </c>
      <c r="M155" s="11">
        <f t="shared" si="154"/>
        <v>98.872351763522474</v>
      </c>
      <c r="N155" s="11">
        <f t="shared" si="154"/>
        <v>116.87364108583614</v>
      </c>
      <c r="O155" s="11">
        <f t="shared" si="154"/>
        <v>118.2391616661123</v>
      </c>
      <c r="P155" s="11">
        <f t="shared" si="154"/>
        <v>121.10674314200968</v>
      </c>
      <c r="Q155" s="11">
        <f t="shared" si="154"/>
        <v>132.13511177317218</v>
      </c>
      <c r="S155" s="39">
        <f t="shared" si="149"/>
        <v>3.6423604588435854</v>
      </c>
      <c r="T155" s="39">
        <f t="shared" si="150"/>
        <v>0.74352120069136607</v>
      </c>
      <c r="W155" s="10" t="str">
        <f t="shared" ref="W155:AB155" si="155">W10</f>
        <v>21 Science, research, engineering and technology professionals</v>
      </c>
      <c r="X155" s="11">
        <f t="shared" si="155"/>
        <v>19.301157007705772</v>
      </c>
      <c r="Y155" s="11">
        <f t="shared" si="155"/>
        <v>22.455848818470166</v>
      </c>
      <c r="Z155" s="11">
        <f t="shared" si="155"/>
        <v>27.9137762911419</v>
      </c>
      <c r="AA155" s="11">
        <f t="shared" si="155"/>
        <v>33.012697166301912</v>
      </c>
      <c r="AB155" s="11">
        <f t="shared" si="155"/>
        <v>39.694714168804857</v>
      </c>
      <c r="AD155" s="39">
        <f t="shared" si="152"/>
        <v>7.6581840584088123</v>
      </c>
      <c r="AE155" s="39">
        <f t="shared" si="153"/>
        <v>2.3750842945978956</v>
      </c>
    </row>
    <row r="156" spans="1:31" x14ac:dyDescent="0.2">
      <c r="A156" s="10" t="str">
        <f t="shared" si="141"/>
        <v>22 Health professionals</v>
      </c>
      <c r="B156" s="11">
        <f t="shared" si="141"/>
        <v>84.941490204701466</v>
      </c>
      <c r="C156" s="11">
        <f t="shared" si="145"/>
        <v>97.766943133398073</v>
      </c>
      <c r="D156" s="11">
        <f t="shared" si="145"/>
        <v>97.677408108303439</v>
      </c>
      <c r="E156" s="11">
        <f t="shared" si="145"/>
        <v>105.14697949418867</v>
      </c>
      <c r="F156" s="11">
        <f t="shared" si="145"/>
        <v>114.65304052783871</v>
      </c>
      <c r="H156" s="39">
        <f t="shared" si="146"/>
        <v>2.8335550947052646</v>
      </c>
      <c r="I156" s="39">
        <f t="shared" si="147"/>
        <v>1.0739945851860222</v>
      </c>
      <c r="L156" s="10" t="str">
        <f t="shared" ref="L156:Q156" si="156">L11</f>
        <v>22 Health professionals</v>
      </c>
      <c r="M156" s="11">
        <f t="shared" si="156"/>
        <v>22.341222872057834</v>
      </c>
      <c r="N156" s="11">
        <f t="shared" si="156"/>
        <v>23.985963961359751</v>
      </c>
      <c r="O156" s="11">
        <f t="shared" si="156"/>
        <v>26.544929563504692</v>
      </c>
      <c r="P156" s="11">
        <f t="shared" si="156"/>
        <v>27.857304368309777</v>
      </c>
      <c r="Q156" s="11">
        <f t="shared" si="156"/>
        <v>29.857195218193809</v>
      </c>
      <c r="S156" s="39">
        <f t="shared" si="149"/>
        <v>3.508240743485791</v>
      </c>
      <c r="T156" s="39">
        <f t="shared" si="150"/>
        <v>0.78699467776781606</v>
      </c>
      <c r="W156" s="10" t="str">
        <f t="shared" ref="W156:AB156" si="157">W11</f>
        <v>22 Health professionals</v>
      </c>
      <c r="X156" s="11">
        <f t="shared" si="157"/>
        <v>62.600267332643789</v>
      </c>
      <c r="Y156" s="11">
        <f t="shared" si="157"/>
        <v>73.780979172038229</v>
      </c>
      <c r="Z156" s="11">
        <f t="shared" si="157"/>
        <v>71.132478544799042</v>
      </c>
      <c r="AA156" s="11">
        <f t="shared" si="157"/>
        <v>77.28967512587883</v>
      </c>
      <c r="AB156" s="11">
        <f t="shared" si="157"/>
        <v>84.795845309644989</v>
      </c>
      <c r="AD156" s="39">
        <f t="shared" si="152"/>
        <v>2.5884222656403999</v>
      </c>
      <c r="AE156" s="39">
        <f t="shared" si="153"/>
        <v>1.178237264500015</v>
      </c>
    </row>
    <row r="157" spans="1:31" x14ac:dyDescent="0.2">
      <c r="A157" s="10" t="str">
        <f t="shared" si="141"/>
        <v>23 Teaching and other educational professionals</v>
      </c>
      <c r="B157" s="11">
        <f t="shared" si="141"/>
        <v>82.340741240666205</v>
      </c>
      <c r="C157" s="11">
        <f t="shared" si="145"/>
        <v>89.482943742768015</v>
      </c>
      <c r="D157" s="11">
        <f t="shared" si="145"/>
        <v>93.288876949246799</v>
      </c>
      <c r="E157" s="11">
        <f t="shared" si="145"/>
        <v>92.704014323923289</v>
      </c>
      <c r="F157" s="11">
        <f t="shared" si="145"/>
        <v>96.576406752618979</v>
      </c>
      <c r="H157" s="39">
        <f t="shared" si="146"/>
        <v>2.5281257822568071</v>
      </c>
      <c r="I157" s="39">
        <f t="shared" si="147"/>
        <v>0.2311573726335725</v>
      </c>
      <c r="L157" s="10" t="str">
        <f t="shared" ref="L157:Q157" si="158">L12</f>
        <v>23 Teaching and other educational professionals</v>
      </c>
      <c r="M157" s="11">
        <f t="shared" si="158"/>
        <v>33.452334605941729</v>
      </c>
      <c r="N157" s="11">
        <f t="shared" si="158"/>
        <v>33.35789213754186</v>
      </c>
      <c r="O157" s="11">
        <f t="shared" si="158"/>
        <v>34.980558639345006</v>
      </c>
      <c r="P157" s="11">
        <f t="shared" si="158"/>
        <v>35.918546546285654</v>
      </c>
      <c r="Q157" s="11">
        <f t="shared" si="158"/>
        <v>37.205673679189239</v>
      </c>
      <c r="S157" s="39">
        <f t="shared" si="149"/>
        <v>0.89742011719406989</v>
      </c>
      <c r="T157" s="39">
        <f t="shared" si="150"/>
        <v>0.41197180162677594</v>
      </c>
      <c r="W157" s="10" t="str">
        <f t="shared" ref="W157:AB157" si="159">W12</f>
        <v>23 Teaching and other educational professionals</v>
      </c>
      <c r="X157" s="11">
        <f t="shared" si="159"/>
        <v>48.888406634724433</v>
      </c>
      <c r="Y157" s="11">
        <f t="shared" si="159"/>
        <v>56.125051605226098</v>
      </c>
      <c r="Z157" s="11">
        <f t="shared" si="159"/>
        <v>58.308318309901694</v>
      </c>
      <c r="AA157" s="11">
        <f t="shared" si="159"/>
        <v>56.78546777763767</v>
      </c>
      <c r="AB157" s="11">
        <f t="shared" si="159"/>
        <v>59.370733073429577</v>
      </c>
      <c r="AD157" s="39">
        <f t="shared" si="152"/>
        <v>3.586921530393572</v>
      </c>
      <c r="AE157" s="39">
        <f t="shared" si="153"/>
        <v>0.12045002576004382</v>
      </c>
    </row>
    <row r="158" spans="1:31" x14ac:dyDescent="0.2">
      <c r="A158" s="10" t="str">
        <f t="shared" si="141"/>
        <v>24 Business, media and public service professionals</v>
      </c>
      <c r="B158" s="11">
        <f t="shared" si="141"/>
        <v>116.06575968813439</v>
      </c>
      <c r="C158" s="11">
        <f t="shared" si="145"/>
        <v>139.66744187115961</v>
      </c>
      <c r="D158" s="11">
        <f t="shared" si="145"/>
        <v>158.37692219613299</v>
      </c>
      <c r="E158" s="11">
        <f t="shared" si="145"/>
        <v>175.98910824681568</v>
      </c>
      <c r="F158" s="11">
        <f t="shared" si="145"/>
        <v>198.82297783878221</v>
      </c>
      <c r="H158" s="39">
        <f t="shared" si="146"/>
        <v>6.41370300231352</v>
      </c>
      <c r="I158" s="39">
        <f t="shared" si="147"/>
        <v>1.5278006457507542</v>
      </c>
      <c r="L158" s="10" t="str">
        <f t="shared" ref="L158:Q158" si="160">L13</f>
        <v>24 Business, media and public service professionals</v>
      </c>
      <c r="M158" s="11">
        <f t="shared" si="160"/>
        <v>68.515156279255748</v>
      </c>
      <c r="N158" s="11">
        <f t="shared" si="160"/>
        <v>76.182187789902258</v>
      </c>
      <c r="O158" s="11">
        <f t="shared" si="160"/>
        <v>84.60129460733441</v>
      </c>
      <c r="P158" s="11">
        <f t="shared" si="160"/>
        <v>94.172504990886694</v>
      </c>
      <c r="Q158" s="11">
        <f t="shared" si="160"/>
        <v>103.09883041813268</v>
      </c>
      <c r="S158" s="39">
        <f t="shared" si="149"/>
        <v>4.3081087795913131</v>
      </c>
      <c r="T158" s="39">
        <f t="shared" si="150"/>
        <v>1.3269838260103972</v>
      </c>
      <c r="W158" s="10" t="str">
        <f t="shared" ref="W158:AB158" si="161">W13</f>
        <v>24 Business, media and public service professionals</v>
      </c>
      <c r="X158" s="11">
        <f t="shared" si="161"/>
        <v>47.550603408878771</v>
      </c>
      <c r="Y158" s="11">
        <f t="shared" si="161"/>
        <v>63.485254081256947</v>
      </c>
      <c r="Z158" s="11">
        <f t="shared" si="161"/>
        <v>73.775627588798926</v>
      </c>
      <c r="AA158" s="11">
        <f t="shared" si="161"/>
        <v>81.816603255928754</v>
      </c>
      <c r="AB158" s="11">
        <f t="shared" si="161"/>
        <v>95.724147420649373</v>
      </c>
      <c r="AD158" s="39">
        <f t="shared" si="152"/>
        <v>9.1820831057588759</v>
      </c>
      <c r="AE158" s="39">
        <f t="shared" si="153"/>
        <v>1.7514420666268515</v>
      </c>
    </row>
    <row r="159" spans="1:31" x14ac:dyDescent="0.2">
      <c r="A159" s="10" t="str">
        <f t="shared" si="141"/>
        <v>31 Science, engineering and technology associate professionals</v>
      </c>
      <c r="B159" s="11">
        <f t="shared" si="141"/>
        <v>36.888897619733804</v>
      </c>
      <c r="C159" s="11">
        <f t="shared" si="145"/>
        <v>44.133048124382675</v>
      </c>
      <c r="D159" s="11">
        <f t="shared" si="145"/>
        <v>48.896441347773603</v>
      </c>
      <c r="E159" s="11">
        <f t="shared" si="145"/>
        <v>42.416594537763693</v>
      </c>
      <c r="F159" s="11">
        <f t="shared" si="145"/>
        <v>45.136963956910328</v>
      </c>
      <c r="H159" s="39">
        <f t="shared" si="146"/>
        <v>5.7977216071058546</v>
      </c>
      <c r="I159" s="39">
        <f t="shared" si="147"/>
        <v>-0.53193425260152916</v>
      </c>
      <c r="L159" s="10" t="str">
        <f t="shared" ref="L159:Q159" si="162">L14</f>
        <v>31 Science, engineering and technology associate professionals</v>
      </c>
      <c r="M159" s="11">
        <f t="shared" si="162"/>
        <v>27.714350743778795</v>
      </c>
      <c r="N159" s="11">
        <f t="shared" si="162"/>
        <v>34.009944212666092</v>
      </c>
      <c r="O159" s="11">
        <f t="shared" si="162"/>
        <v>36.295559497899667</v>
      </c>
      <c r="P159" s="11">
        <f t="shared" si="162"/>
        <v>29.43134575272628</v>
      </c>
      <c r="Q159" s="11">
        <f t="shared" si="162"/>
        <v>29.935624044277777</v>
      </c>
      <c r="S159" s="39">
        <f t="shared" si="149"/>
        <v>5.5430784256770282</v>
      </c>
      <c r="T159" s="39">
        <f t="shared" si="150"/>
        <v>-1.2760959261378768</v>
      </c>
      <c r="W159" s="10" t="str">
        <f t="shared" ref="W159:AB159" si="163">W14</f>
        <v>31 Science, engineering and technology associate professionals</v>
      </c>
      <c r="X159" s="11">
        <f t="shared" si="163"/>
        <v>9.1745468759550963</v>
      </c>
      <c r="Y159" s="11">
        <f t="shared" si="163"/>
        <v>10.123103911716539</v>
      </c>
      <c r="Z159" s="11">
        <f t="shared" si="163"/>
        <v>12.600881849873954</v>
      </c>
      <c r="AA159" s="11">
        <f t="shared" si="163"/>
        <v>12.985248785037548</v>
      </c>
      <c r="AB159" s="11">
        <f t="shared" si="163"/>
        <v>15.201339912632536</v>
      </c>
      <c r="AD159" s="39">
        <f t="shared" si="152"/>
        <v>6.5524065848007185</v>
      </c>
      <c r="AE159" s="39">
        <f t="shared" si="153"/>
        <v>1.2586334597194382</v>
      </c>
    </row>
    <row r="160" spans="1:31" x14ac:dyDescent="0.2">
      <c r="A160" s="10" t="str">
        <f t="shared" si="141"/>
        <v>32 Health and social care associate professionals</v>
      </c>
      <c r="B160" s="11">
        <f t="shared" si="141"/>
        <v>37.756201665299528</v>
      </c>
      <c r="C160" s="11">
        <f t="shared" si="145"/>
        <v>43.058878031001939</v>
      </c>
      <c r="D160" s="11">
        <f t="shared" si="145"/>
        <v>43.808538911689013</v>
      </c>
      <c r="E160" s="11">
        <f t="shared" si="145"/>
        <v>44.397697953395529</v>
      </c>
      <c r="F160" s="11">
        <f t="shared" si="145"/>
        <v>48.614831201773598</v>
      </c>
      <c r="H160" s="39">
        <f t="shared" si="146"/>
        <v>3.018232505760654</v>
      </c>
      <c r="I160" s="39">
        <f t="shared" si="147"/>
        <v>0.69641310546697532</v>
      </c>
      <c r="L160" s="10" t="str">
        <f t="shared" ref="L160:Q160" si="164">L15</f>
        <v>32 Health and social care associate professionals</v>
      </c>
      <c r="M160" s="11">
        <f t="shared" si="164"/>
        <v>8.1142777503434544</v>
      </c>
      <c r="N160" s="11">
        <f t="shared" si="164"/>
        <v>8.1900108390994024</v>
      </c>
      <c r="O160" s="11">
        <f t="shared" si="164"/>
        <v>9.1755710419557968</v>
      </c>
      <c r="P160" s="11">
        <f t="shared" si="164"/>
        <v>8.2267540397052272</v>
      </c>
      <c r="Q160" s="11">
        <f t="shared" si="164"/>
        <v>8.7810621457504023</v>
      </c>
      <c r="S160" s="39">
        <f t="shared" si="149"/>
        <v>2.488856247349136</v>
      </c>
      <c r="T160" s="39">
        <f t="shared" si="150"/>
        <v>-0.29255294247519936</v>
      </c>
      <c r="W160" s="10" t="str">
        <f t="shared" ref="W160:AB160" si="165">W15</f>
        <v>32 Health and social care associate professionals</v>
      </c>
      <c r="X160" s="11">
        <f t="shared" si="165"/>
        <v>29.641923914956099</v>
      </c>
      <c r="Y160" s="11">
        <f t="shared" si="165"/>
        <v>34.868867191902503</v>
      </c>
      <c r="Z160" s="11">
        <f t="shared" si="165"/>
        <v>34.632967869733193</v>
      </c>
      <c r="AA160" s="11">
        <f t="shared" si="165"/>
        <v>36.170943913690394</v>
      </c>
      <c r="AB160" s="11">
        <f t="shared" si="165"/>
        <v>39.833769056023165</v>
      </c>
      <c r="AD160" s="39">
        <f t="shared" si="152"/>
        <v>3.1612662793903512</v>
      </c>
      <c r="AE160" s="39">
        <f t="shared" si="153"/>
        <v>0.93708987723328807</v>
      </c>
    </row>
    <row r="161" spans="1:31" x14ac:dyDescent="0.2">
      <c r="A161" s="10" t="str">
        <f t="shared" si="141"/>
        <v>33 Protective service occupations</v>
      </c>
      <c r="B161" s="11">
        <f t="shared" si="141"/>
        <v>24.674740515945114</v>
      </c>
      <c r="C161" s="11">
        <f t="shared" si="145"/>
        <v>25.28536445042619</v>
      </c>
      <c r="D161" s="11">
        <f t="shared" si="145"/>
        <v>26.423145140330963</v>
      </c>
      <c r="E161" s="11">
        <f t="shared" si="145"/>
        <v>31.950231148342091</v>
      </c>
      <c r="F161" s="11">
        <f t="shared" si="145"/>
        <v>36.657574622558613</v>
      </c>
      <c r="H161" s="39">
        <f t="shared" si="146"/>
        <v>1.3786218791278504</v>
      </c>
      <c r="I161" s="39">
        <f t="shared" si="147"/>
        <v>2.206523081509415</v>
      </c>
      <c r="L161" s="10" t="str">
        <f t="shared" ref="L161:Q161" si="166">L16</f>
        <v>33 Protective service occupations</v>
      </c>
      <c r="M161" s="11">
        <f t="shared" si="166"/>
        <v>20.493123994800786</v>
      </c>
      <c r="N161" s="11">
        <f t="shared" si="166"/>
        <v>20.576341907298108</v>
      </c>
      <c r="O161" s="11">
        <f t="shared" si="166"/>
        <v>21.126362730140482</v>
      </c>
      <c r="P161" s="11">
        <f t="shared" si="166"/>
        <v>24.704912589490643</v>
      </c>
      <c r="Q161" s="11">
        <f t="shared" si="166"/>
        <v>26.961241231375908</v>
      </c>
      <c r="S161" s="39">
        <f t="shared" si="149"/>
        <v>0.61050129110815643</v>
      </c>
      <c r="T161" s="39">
        <f t="shared" si="150"/>
        <v>1.6391466251125308</v>
      </c>
      <c r="W161" s="10" t="str">
        <f t="shared" ref="W161:AB161" si="167">W16</f>
        <v>33 Protective service occupations</v>
      </c>
      <c r="X161" s="11">
        <f t="shared" si="167"/>
        <v>4.1816165211443845</v>
      </c>
      <c r="Y161" s="11">
        <f t="shared" si="167"/>
        <v>4.7090225431280857</v>
      </c>
      <c r="Z161" s="11">
        <f t="shared" si="167"/>
        <v>5.2967824101904828</v>
      </c>
      <c r="AA161" s="11">
        <f t="shared" si="167"/>
        <v>7.2453185588515092</v>
      </c>
      <c r="AB161" s="11">
        <f t="shared" si="167"/>
        <v>9.6963333911826126</v>
      </c>
      <c r="AD161" s="39">
        <f t="shared" si="152"/>
        <v>4.8415869148501045</v>
      </c>
      <c r="AE161" s="39">
        <f t="shared" si="153"/>
        <v>4.1133355426288931</v>
      </c>
    </row>
    <row r="162" spans="1:31" x14ac:dyDescent="0.2">
      <c r="A162" s="10" t="str">
        <f t="shared" si="141"/>
        <v>34 Culture, media and sports occupations</v>
      </c>
      <c r="B162" s="11">
        <f t="shared" si="141"/>
        <v>32.171809576694734</v>
      </c>
      <c r="C162" s="11">
        <f t="shared" si="145"/>
        <v>31.492602905030143</v>
      </c>
      <c r="D162" s="11">
        <f t="shared" si="145"/>
        <v>32.531561760617201</v>
      </c>
      <c r="E162" s="11">
        <f t="shared" si="145"/>
        <v>30.025971833268073</v>
      </c>
      <c r="F162" s="11">
        <f t="shared" si="145"/>
        <v>32.44160234152902</v>
      </c>
      <c r="H162" s="39">
        <f t="shared" si="146"/>
        <v>0.22265068089779572</v>
      </c>
      <c r="I162" s="39">
        <f t="shared" si="147"/>
        <v>-1.8459143798976729E-2</v>
      </c>
      <c r="L162" s="10" t="str">
        <f t="shared" ref="L162:Q162" si="168">L17</f>
        <v>34 Culture, media and sports occupations</v>
      </c>
      <c r="M162" s="11">
        <f t="shared" si="168"/>
        <v>19.07462939097546</v>
      </c>
      <c r="N162" s="11">
        <f t="shared" si="168"/>
        <v>16.612430462101543</v>
      </c>
      <c r="O162" s="11">
        <f t="shared" si="168"/>
        <v>16.435728972029647</v>
      </c>
      <c r="P162" s="11">
        <f t="shared" si="168"/>
        <v>15.098170105602822</v>
      </c>
      <c r="Q162" s="11">
        <f t="shared" si="168"/>
        <v>16.262260401930249</v>
      </c>
      <c r="S162" s="39">
        <f t="shared" si="149"/>
        <v>-2.9341253025122693</v>
      </c>
      <c r="T162" s="39">
        <f t="shared" si="150"/>
        <v>-7.071132388565271E-2</v>
      </c>
      <c r="W162" s="10" t="str">
        <f t="shared" ref="W162:AB162" si="169">W17</f>
        <v>34 Culture, media and sports occupations</v>
      </c>
      <c r="X162" s="11">
        <f t="shared" si="169"/>
        <v>13.097180185719353</v>
      </c>
      <c r="Y162" s="11">
        <f t="shared" si="169"/>
        <v>14.880172442928666</v>
      </c>
      <c r="Z162" s="11">
        <f t="shared" si="169"/>
        <v>16.095832788587543</v>
      </c>
      <c r="AA162" s="11">
        <f t="shared" si="169"/>
        <v>14.927801727665274</v>
      </c>
      <c r="AB162" s="11">
        <f t="shared" si="169"/>
        <v>16.179341939598753</v>
      </c>
      <c r="AD162" s="39">
        <f t="shared" si="152"/>
        <v>4.2094562620010212</v>
      </c>
      <c r="AE162" s="39">
        <f t="shared" si="153"/>
        <v>3.450484554650135E-2</v>
      </c>
    </row>
    <row r="163" spans="1:31" x14ac:dyDescent="0.2">
      <c r="A163" s="10" t="str">
        <f t="shared" si="141"/>
        <v>35 Business and public service associate professionals</v>
      </c>
      <c r="B163" s="11">
        <f t="shared" si="141"/>
        <v>122.99499019364232</v>
      </c>
      <c r="C163" s="11">
        <f t="shared" si="145"/>
        <v>133.76386601170375</v>
      </c>
      <c r="D163" s="11">
        <f t="shared" si="145"/>
        <v>141.70159177372162</v>
      </c>
      <c r="E163" s="11">
        <f t="shared" si="145"/>
        <v>135.62987732758296</v>
      </c>
      <c r="F163" s="11">
        <f t="shared" si="145"/>
        <v>140.96475258733693</v>
      </c>
      <c r="H163" s="39">
        <f t="shared" si="146"/>
        <v>2.8720658531207865</v>
      </c>
      <c r="I163" s="39">
        <f t="shared" si="147"/>
        <v>-3.475064431593955E-2</v>
      </c>
      <c r="L163" s="10" t="str">
        <f t="shared" ref="L163:Q163" si="170">L18</f>
        <v>35 Business and public service associate professionals</v>
      </c>
      <c r="M163" s="11">
        <f t="shared" si="170"/>
        <v>68.827309170250118</v>
      </c>
      <c r="N163" s="11">
        <f t="shared" si="170"/>
        <v>72.328307075469354</v>
      </c>
      <c r="O163" s="11">
        <f t="shared" si="170"/>
        <v>77.624576067753011</v>
      </c>
      <c r="P163" s="11">
        <f t="shared" si="170"/>
        <v>71.376213762530369</v>
      </c>
      <c r="Q163" s="11">
        <f t="shared" si="170"/>
        <v>70.693486556350322</v>
      </c>
      <c r="S163" s="39">
        <f t="shared" si="149"/>
        <v>2.4348392118625606</v>
      </c>
      <c r="T163" s="39">
        <f t="shared" si="150"/>
        <v>-0.62159762667901575</v>
      </c>
      <c r="W163" s="10" t="str">
        <f t="shared" ref="W163:AB163" si="171">W18</f>
        <v>35 Business and public service associate professionals</v>
      </c>
      <c r="X163" s="11">
        <f t="shared" si="171"/>
        <v>54.167681023392362</v>
      </c>
      <c r="Y163" s="11">
        <f t="shared" si="171"/>
        <v>61.43555893623445</v>
      </c>
      <c r="Z163" s="11">
        <f t="shared" si="171"/>
        <v>64.077015705968734</v>
      </c>
      <c r="AA163" s="11">
        <f t="shared" si="171"/>
        <v>64.253663565053088</v>
      </c>
      <c r="AB163" s="11">
        <f t="shared" si="171"/>
        <v>70.271266030986169</v>
      </c>
      <c r="AD163" s="39">
        <f t="shared" si="152"/>
        <v>3.4171122619343519</v>
      </c>
      <c r="AE163" s="39">
        <f t="shared" si="153"/>
        <v>0.61707780475945828</v>
      </c>
    </row>
    <row r="164" spans="1:31" x14ac:dyDescent="0.2">
      <c r="A164" s="10" t="str">
        <f t="shared" si="141"/>
        <v>41 Administrative occupations</v>
      </c>
      <c r="B164" s="11">
        <f t="shared" si="141"/>
        <v>195.32738677630536</v>
      </c>
      <c r="C164" s="11">
        <f t="shared" si="145"/>
        <v>196.95581737867408</v>
      </c>
      <c r="D164" s="11">
        <f t="shared" si="145"/>
        <v>206.87406474545989</v>
      </c>
      <c r="E164" s="11">
        <f t="shared" si="145"/>
        <v>189.33593582652153</v>
      </c>
      <c r="F164" s="11">
        <f t="shared" si="145"/>
        <v>179.25383588684116</v>
      </c>
      <c r="H164" s="39">
        <f t="shared" si="146"/>
        <v>1.1552858285445833</v>
      </c>
      <c r="I164" s="39">
        <f t="shared" si="147"/>
        <v>-0.95083303144160025</v>
      </c>
      <c r="L164" s="10" t="str">
        <f t="shared" ref="L164:Q164" si="172">L19</f>
        <v>41 Administrative occupations</v>
      </c>
      <c r="M164" s="11">
        <f t="shared" si="172"/>
        <v>45.743766206938886</v>
      </c>
      <c r="N164" s="11">
        <f t="shared" si="172"/>
        <v>43.867477232710449</v>
      </c>
      <c r="O164" s="11">
        <f t="shared" si="172"/>
        <v>53.745299190281344</v>
      </c>
      <c r="P164" s="11">
        <f t="shared" si="172"/>
        <v>49.799293234433648</v>
      </c>
      <c r="Q164" s="11">
        <f t="shared" si="172"/>
        <v>53.329325320412913</v>
      </c>
      <c r="S164" s="39">
        <f t="shared" si="149"/>
        <v>3.2765480030290783</v>
      </c>
      <c r="T164" s="39">
        <f t="shared" si="150"/>
        <v>-5.1785471751319978E-2</v>
      </c>
      <c r="W164" s="10" t="str">
        <f t="shared" ref="W164:AB164" si="173">W19</f>
        <v>41 Administrative occupations</v>
      </c>
      <c r="X164" s="11">
        <f t="shared" si="173"/>
        <v>149.5836205693667</v>
      </c>
      <c r="Y164" s="11">
        <f t="shared" si="173"/>
        <v>153.08834014596368</v>
      </c>
      <c r="Z164" s="11">
        <f t="shared" si="173"/>
        <v>153.12876555517886</v>
      </c>
      <c r="AA164" s="11">
        <f t="shared" si="173"/>
        <v>139.5366425920881</v>
      </c>
      <c r="AB164" s="11">
        <f t="shared" si="173"/>
        <v>125.92451056642848</v>
      </c>
      <c r="AD164" s="39">
        <f t="shared" si="152"/>
        <v>0.46957106581759778</v>
      </c>
      <c r="AE164" s="39">
        <f t="shared" si="153"/>
        <v>-1.2955121684091631</v>
      </c>
    </row>
    <row r="165" spans="1:31" x14ac:dyDescent="0.2">
      <c r="A165" s="10" t="str">
        <f t="shared" si="141"/>
        <v>42 Secretarial and related occupations</v>
      </c>
      <c r="B165" s="11">
        <f t="shared" si="141"/>
        <v>47.376562530143858</v>
      </c>
      <c r="C165" s="11">
        <f t="shared" si="145"/>
        <v>45.592550373804556</v>
      </c>
      <c r="D165" s="11">
        <f t="shared" si="145"/>
        <v>45.079696181020772</v>
      </c>
      <c r="E165" s="11">
        <f t="shared" si="145"/>
        <v>47.331757540504917</v>
      </c>
      <c r="F165" s="11">
        <f t="shared" si="145"/>
        <v>37.500601408491903</v>
      </c>
      <c r="H165" s="39">
        <f t="shared" si="146"/>
        <v>-0.9889909078993453</v>
      </c>
      <c r="I165" s="39">
        <f t="shared" si="147"/>
        <v>-1.2196675458392203</v>
      </c>
      <c r="L165" s="10" t="str">
        <f t="shared" ref="L165:Q165" si="174">L20</f>
        <v>42 Secretarial and related occupations</v>
      </c>
      <c r="M165" s="11">
        <f t="shared" si="174"/>
        <v>3.9573363917290822</v>
      </c>
      <c r="N165" s="11">
        <f t="shared" si="174"/>
        <v>3.0113174667202252</v>
      </c>
      <c r="O165" s="11">
        <f t="shared" si="174"/>
        <v>3.0453622577042538</v>
      </c>
      <c r="P165" s="11">
        <f t="shared" si="174"/>
        <v>3.7554304474421816</v>
      </c>
      <c r="Q165" s="11">
        <f t="shared" si="174"/>
        <v>4.5367883644284062</v>
      </c>
      <c r="S165" s="39">
        <f t="shared" si="149"/>
        <v>-5.1041547564130934</v>
      </c>
      <c r="T165" s="39">
        <f t="shared" si="150"/>
        <v>2.692951781176367</v>
      </c>
      <c r="W165" s="10" t="str">
        <f t="shared" ref="W165:AB165" si="175">W20</f>
        <v>42 Secretarial and related occupations</v>
      </c>
      <c r="X165" s="11">
        <f t="shared" si="175"/>
        <v>43.419226138414743</v>
      </c>
      <c r="Y165" s="11">
        <f t="shared" si="175"/>
        <v>42.581232907084328</v>
      </c>
      <c r="Z165" s="11">
        <f t="shared" si="175"/>
        <v>42.034333923316517</v>
      </c>
      <c r="AA165" s="11">
        <f t="shared" si="175"/>
        <v>43.576327093062694</v>
      </c>
      <c r="AB165" s="11">
        <f t="shared" si="175"/>
        <v>32.963813044063471</v>
      </c>
      <c r="AD165" s="39">
        <f t="shared" si="152"/>
        <v>-0.64621465202120421</v>
      </c>
      <c r="AE165" s="39">
        <f t="shared" si="153"/>
        <v>-1.6074495451482873</v>
      </c>
    </row>
    <row r="166" spans="1:31" x14ac:dyDescent="0.2">
      <c r="A166" s="10" t="str">
        <f t="shared" si="141"/>
        <v>51 Skilled agricultural and related trades</v>
      </c>
      <c r="B166" s="11">
        <f t="shared" si="141"/>
        <v>27.425453405239896</v>
      </c>
      <c r="C166" s="11">
        <f t="shared" si="145"/>
        <v>28.29610204825973</v>
      </c>
      <c r="D166" s="11">
        <f t="shared" si="145"/>
        <v>34.109425717301711</v>
      </c>
      <c r="E166" s="11">
        <f t="shared" si="145"/>
        <v>32.649710758365593</v>
      </c>
      <c r="F166" s="11">
        <f t="shared" si="145"/>
        <v>33.27556971091218</v>
      </c>
      <c r="H166" s="39">
        <f t="shared" si="146"/>
        <v>4.4585801144174431</v>
      </c>
      <c r="I166" s="39">
        <f t="shared" si="147"/>
        <v>-0.16486577793266566</v>
      </c>
      <c r="L166" s="10" t="str">
        <f t="shared" ref="L166:Q166" si="176">L21</f>
        <v>51 Skilled agricultural and related trades</v>
      </c>
      <c r="M166" s="11">
        <f t="shared" si="176"/>
        <v>22.079172416995558</v>
      </c>
      <c r="N166" s="11">
        <f t="shared" si="176"/>
        <v>19.878263412844557</v>
      </c>
      <c r="O166" s="11">
        <f t="shared" si="176"/>
        <v>26.314048065727686</v>
      </c>
      <c r="P166" s="11">
        <f t="shared" si="176"/>
        <v>24.333013901267147</v>
      </c>
      <c r="Q166" s="11">
        <f t="shared" si="176"/>
        <v>24.068183302777985</v>
      </c>
      <c r="S166" s="39">
        <f t="shared" si="149"/>
        <v>3.5716689592400375</v>
      </c>
      <c r="T166" s="39">
        <f t="shared" si="150"/>
        <v>-0.59298267766091373</v>
      </c>
      <c r="W166" s="10" t="str">
        <f t="shared" ref="W166:AB166" si="177">W21</f>
        <v>51 Skilled agricultural and related trades</v>
      </c>
      <c r="X166" s="11">
        <f t="shared" si="177"/>
        <v>5.346280988244354</v>
      </c>
      <c r="Y166" s="11">
        <f t="shared" si="177"/>
        <v>8.4178386354151442</v>
      </c>
      <c r="Z166" s="11">
        <f t="shared" si="177"/>
        <v>7.7953776515740589</v>
      </c>
      <c r="AA166" s="11">
        <f t="shared" si="177"/>
        <v>8.3166968570984778</v>
      </c>
      <c r="AB166" s="11">
        <f t="shared" si="177"/>
        <v>9.2073864081341732</v>
      </c>
      <c r="AD166" s="39">
        <f t="shared" si="152"/>
        <v>7.8343378278775688</v>
      </c>
      <c r="AE166" s="39">
        <f t="shared" si="153"/>
        <v>1.1160153906975223</v>
      </c>
    </row>
    <row r="167" spans="1:31" x14ac:dyDescent="0.2">
      <c r="A167" s="10" t="str">
        <f t="shared" si="141"/>
        <v>52 Skilled metal, electrical and electronic trades</v>
      </c>
      <c r="B167" s="11">
        <f t="shared" si="141"/>
        <v>97.618362867403548</v>
      </c>
      <c r="C167" s="11">
        <f t="shared" si="145"/>
        <v>99.211343361153794</v>
      </c>
      <c r="D167" s="11">
        <f t="shared" si="145"/>
        <v>86.576735172954471</v>
      </c>
      <c r="E167" s="11">
        <f t="shared" si="145"/>
        <v>84.192599870846522</v>
      </c>
      <c r="F167" s="11">
        <f t="shared" si="145"/>
        <v>78.437017532423042</v>
      </c>
      <c r="H167" s="39">
        <f t="shared" si="146"/>
        <v>-2.3721024118824041</v>
      </c>
      <c r="I167" s="39">
        <f t="shared" si="147"/>
        <v>-0.65607274430817819</v>
      </c>
      <c r="L167" s="10" t="str">
        <f t="shared" ref="L167:Q167" si="178">L22</f>
        <v>52 Skilled metal, electrical and electronic trades</v>
      </c>
      <c r="M167" s="11">
        <f t="shared" si="178"/>
        <v>96.143335751112318</v>
      </c>
      <c r="N167" s="11">
        <f t="shared" si="178"/>
        <v>96.868979341378903</v>
      </c>
      <c r="O167" s="11">
        <f t="shared" si="178"/>
        <v>84.798483412384755</v>
      </c>
      <c r="P167" s="11">
        <f t="shared" si="178"/>
        <v>80.205115121378682</v>
      </c>
      <c r="Q167" s="11">
        <f t="shared" si="178"/>
        <v>73.345550104969078</v>
      </c>
      <c r="S167" s="39">
        <f t="shared" si="149"/>
        <v>-2.4799804227880196</v>
      </c>
      <c r="T167" s="39">
        <f t="shared" si="150"/>
        <v>-0.96264213026009404</v>
      </c>
      <c r="W167" s="10" t="str">
        <f t="shared" ref="W167:AB167" si="179">W22</f>
        <v>52 Skilled metal, electrical and electronic trades</v>
      </c>
      <c r="X167" s="11">
        <f t="shared" si="179"/>
        <v>1.4750271162915494</v>
      </c>
      <c r="Y167" s="11">
        <f t="shared" si="179"/>
        <v>2.3423640197746392</v>
      </c>
      <c r="Z167" s="11">
        <f t="shared" si="179"/>
        <v>1.7782517605696671</v>
      </c>
      <c r="AA167" s="11">
        <f t="shared" si="179"/>
        <v>3.9874847494680772</v>
      </c>
      <c r="AB167" s="11">
        <f t="shared" si="179"/>
        <v>5.0914674274539999</v>
      </c>
      <c r="AD167" s="39">
        <f t="shared" si="152"/>
        <v>3.8098703425092584</v>
      </c>
      <c r="AE167" s="39">
        <f t="shared" si="153"/>
        <v>7.2646569511953585</v>
      </c>
    </row>
    <row r="168" spans="1:31" x14ac:dyDescent="0.2">
      <c r="A168" s="10" t="str">
        <f t="shared" si="141"/>
        <v>53 Skilled construction and building trades</v>
      </c>
      <c r="B168" s="11">
        <f t="shared" si="141"/>
        <v>62.851513007293811</v>
      </c>
      <c r="C168" s="11">
        <f t="shared" si="145"/>
        <v>62.508631996104207</v>
      </c>
      <c r="D168" s="11">
        <f t="shared" si="145"/>
        <v>49.830413162678838</v>
      </c>
      <c r="E168" s="11">
        <f t="shared" si="145"/>
        <v>50.552266960065431</v>
      </c>
      <c r="F168" s="11">
        <f t="shared" si="145"/>
        <v>44.458264470819856</v>
      </c>
      <c r="H168" s="39">
        <f t="shared" si="146"/>
        <v>-4.5368522939296714</v>
      </c>
      <c r="I168" s="39">
        <f t="shared" si="147"/>
        <v>-0.75761307864201655</v>
      </c>
      <c r="L168" s="10" t="str">
        <f t="shared" ref="L168:Q168" si="180">L23</f>
        <v>53 Skilled construction and building trades</v>
      </c>
      <c r="M168" s="11">
        <f t="shared" si="180"/>
        <v>62.297823600829879</v>
      </c>
      <c r="N168" s="11">
        <f t="shared" si="180"/>
        <v>61.785389400902638</v>
      </c>
      <c r="O168" s="11">
        <f t="shared" si="180"/>
        <v>49.141726168841778</v>
      </c>
      <c r="P168" s="11">
        <f t="shared" si="180"/>
        <v>49.82267319960394</v>
      </c>
      <c r="Q168" s="11">
        <f t="shared" si="180"/>
        <v>43.681252199402415</v>
      </c>
      <c r="S168" s="39">
        <f t="shared" si="149"/>
        <v>-4.6335741140129949</v>
      </c>
      <c r="T168" s="39">
        <f t="shared" si="150"/>
        <v>-0.78218816531624435</v>
      </c>
      <c r="W168" s="10" t="str">
        <f t="shared" ref="W168:AB168" si="181">W23</f>
        <v>53 Skilled construction and building trades</v>
      </c>
      <c r="X168" s="11">
        <f t="shared" si="181"/>
        <v>0.55368940646389053</v>
      </c>
      <c r="Y168" s="11">
        <f t="shared" si="181"/>
        <v>0.72324259520152123</v>
      </c>
      <c r="Z168" s="11">
        <f t="shared" si="181"/>
        <v>0.68868699383700882</v>
      </c>
      <c r="AA168" s="11">
        <f t="shared" si="181"/>
        <v>0.72959376046146784</v>
      </c>
      <c r="AB168" s="11">
        <f t="shared" si="181"/>
        <v>0.77701227141737772</v>
      </c>
      <c r="AD168" s="39">
        <f t="shared" si="152"/>
        <v>4.460267434670584</v>
      </c>
      <c r="AE168" s="39">
        <f t="shared" si="153"/>
        <v>0.80770626341115648</v>
      </c>
    </row>
    <row r="169" spans="1:31" x14ac:dyDescent="0.2">
      <c r="A169" s="10" t="str">
        <f t="shared" si="141"/>
        <v>54 Textiles, printing and other skilled trades</v>
      </c>
      <c r="B169" s="11">
        <f t="shared" si="141"/>
        <v>45.114830155462691</v>
      </c>
      <c r="C169" s="11">
        <f t="shared" si="145"/>
        <v>39.678369253428116</v>
      </c>
      <c r="D169" s="11">
        <f t="shared" si="145"/>
        <v>38.288580975784285</v>
      </c>
      <c r="E169" s="11">
        <f t="shared" si="145"/>
        <v>36.385886110582405</v>
      </c>
      <c r="F169" s="11">
        <f t="shared" si="145"/>
        <v>33.55391346668987</v>
      </c>
      <c r="H169" s="39">
        <f t="shared" si="146"/>
        <v>-3.2279393649460864</v>
      </c>
      <c r="I169" s="39">
        <f t="shared" si="147"/>
        <v>-0.8761274543655162</v>
      </c>
      <c r="L169" s="10" t="str">
        <f t="shared" ref="L169:Q169" si="182">L24</f>
        <v>54 Textiles, printing and other skilled trades</v>
      </c>
      <c r="M169" s="11">
        <f t="shared" si="182"/>
        <v>26.648396274211162</v>
      </c>
      <c r="N169" s="11">
        <f t="shared" si="182"/>
        <v>21.894303141748736</v>
      </c>
      <c r="O169" s="11">
        <f t="shared" si="182"/>
        <v>20.673349325667296</v>
      </c>
      <c r="P169" s="11">
        <f t="shared" si="182"/>
        <v>19.735716807648171</v>
      </c>
      <c r="Q169" s="11">
        <f t="shared" si="182"/>
        <v>17.762813545552557</v>
      </c>
      <c r="S169" s="39">
        <f t="shared" si="149"/>
        <v>-4.9509122404303163</v>
      </c>
      <c r="T169" s="39">
        <f t="shared" si="150"/>
        <v>-1.006489008967304</v>
      </c>
      <c r="W169" s="10" t="str">
        <f t="shared" ref="W169:AB169" si="183">W24</f>
        <v>54 Textiles, printing and other skilled trades</v>
      </c>
      <c r="X169" s="11">
        <f t="shared" si="183"/>
        <v>18.466433881251383</v>
      </c>
      <c r="Y169" s="11">
        <f t="shared" si="183"/>
        <v>17.784066111679408</v>
      </c>
      <c r="Z169" s="11">
        <f t="shared" si="183"/>
        <v>17.615231650116986</v>
      </c>
      <c r="AA169" s="11">
        <f t="shared" si="183"/>
        <v>16.650169302934184</v>
      </c>
      <c r="AB169" s="11">
        <f t="shared" si="183"/>
        <v>15.79109992113734</v>
      </c>
      <c r="AD169" s="39">
        <f t="shared" si="152"/>
        <v>-0.93937478519724449</v>
      </c>
      <c r="AE169" s="39">
        <f t="shared" si="153"/>
        <v>-0.72613399652046162</v>
      </c>
    </row>
    <row r="170" spans="1:31" x14ac:dyDescent="0.2">
      <c r="A170" s="10" t="str">
        <f t="shared" si="141"/>
        <v>61 Caring personal service occupations</v>
      </c>
      <c r="B170" s="11">
        <f t="shared" si="141"/>
        <v>197.12063317402581</v>
      </c>
      <c r="C170" s="11">
        <f t="shared" si="145"/>
        <v>202.10183802163635</v>
      </c>
      <c r="D170" s="11">
        <f t="shared" si="145"/>
        <v>195.15909339215122</v>
      </c>
      <c r="E170" s="11">
        <f t="shared" si="145"/>
        <v>211.46434592725529</v>
      </c>
      <c r="F170" s="11">
        <f t="shared" si="145"/>
        <v>229.27082671852793</v>
      </c>
      <c r="H170" s="39">
        <f t="shared" si="146"/>
        <v>-0.1998161609227167</v>
      </c>
      <c r="I170" s="39">
        <f t="shared" si="147"/>
        <v>1.0797130460473703</v>
      </c>
      <c r="L170" s="10" t="str">
        <f t="shared" ref="L170:Q170" si="184">L25</f>
        <v>61 Caring personal service occupations</v>
      </c>
      <c r="M170" s="11">
        <f t="shared" si="184"/>
        <v>28.600282717757249</v>
      </c>
      <c r="N170" s="11">
        <f t="shared" si="184"/>
        <v>29.669118352793607</v>
      </c>
      <c r="O170" s="11">
        <f t="shared" si="184"/>
        <v>29.926350343421149</v>
      </c>
      <c r="P170" s="11">
        <f t="shared" si="184"/>
        <v>36.785921145987139</v>
      </c>
      <c r="Q170" s="11">
        <f t="shared" si="184"/>
        <v>42.993213296587832</v>
      </c>
      <c r="S170" s="39">
        <f t="shared" si="149"/>
        <v>0.91057618218541858</v>
      </c>
      <c r="T170" s="39">
        <f t="shared" si="150"/>
        <v>2.4447585720806186</v>
      </c>
      <c r="W170" s="10" t="str">
        <f t="shared" ref="W170:AB170" si="185">W25</f>
        <v>61 Caring personal service occupations</v>
      </c>
      <c r="X170" s="11">
        <f t="shared" si="185"/>
        <v>168.52035045626852</v>
      </c>
      <c r="Y170" s="11">
        <f t="shared" si="185"/>
        <v>172.43271966884268</v>
      </c>
      <c r="Z170" s="11">
        <f t="shared" si="185"/>
        <v>165.23274304873001</v>
      </c>
      <c r="AA170" s="11">
        <f t="shared" si="185"/>
        <v>174.67842478126829</v>
      </c>
      <c r="AB170" s="11">
        <f t="shared" si="185"/>
        <v>186.27761342193961</v>
      </c>
      <c r="AD170" s="39">
        <f t="shared" si="152"/>
        <v>-0.39325417853638411</v>
      </c>
      <c r="AE170" s="39">
        <f t="shared" si="153"/>
        <v>0.80242270735018106</v>
      </c>
    </row>
    <row r="171" spans="1:31" x14ac:dyDescent="0.2">
      <c r="A171" s="10" t="str">
        <f t="shared" si="141"/>
        <v>62 Leisure, travel and related personal service occupations</v>
      </c>
      <c r="B171" s="11">
        <f t="shared" si="141"/>
        <v>49.385317241689229</v>
      </c>
      <c r="C171" s="11">
        <f t="shared" si="145"/>
        <v>61.937701893020744</v>
      </c>
      <c r="D171" s="11">
        <f t="shared" si="145"/>
        <v>58.98916926833904</v>
      </c>
      <c r="E171" s="11">
        <f t="shared" si="145"/>
        <v>58.928533381600666</v>
      </c>
      <c r="F171" s="11">
        <f t="shared" si="145"/>
        <v>60.404116039923224</v>
      </c>
      <c r="H171" s="39">
        <f t="shared" si="146"/>
        <v>3.6179238936282054</v>
      </c>
      <c r="I171" s="39">
        <f t="shared" si="147"/>
        <v>0.15814754583474144</v>
      </c>
      <c r="L171" s="10" t="str">
        <f t="shared" ref="L171:Q171" si="186">L26</f>
        <v>62 Leisure, travel and related personal service occupations</v>
      </c>
      <c r="M171" s="11">
        <f t="shared" si="186"/>
        <v>15.536436987397694</v>
      </c>
      <c r="N171" s="11">
        <f t="shared" si="186"/>
        <v>17.52904525217355</v>
      </c>
      <c r="O171" s="11">
        <f t="shared" si="186"/>
        <v>17.06761776133704</v>
      </c>
      <c r="P171" s="11">
        <f t="shared" si="186"/>
        <v>17.17411268330936</v>
      </c>
      <c r="Q171" s="11">
        <f t="shared" si="186"/>
        <v>18.663295831357736</v>
      </c>
      <c r="S171" s="39">
        <f t="shared" si="149"/>
        <v>1.8976799726003746</v>
      </c>
      <c r="T171" s="39">
        <f t="shared" si="150"/>
        <v>0.59761755265770322</v>
      </c>
      <c r="W171" s="10" t="str">
        <f t="shared" ref="W171:AB171" si="187">W26</f>
        <v>62 Leisure, travel and related personal service occupations</v>
      </c>
      <c r="X171" s="11">
        <f t="shared" si="187"/>
        <v>33.848880254291508</v>
      </c>
      <c r="Y171" s="11">
        <f t="shared" si="187"/>
        <v>44.408656640847369</v>
      </c>
      <c r="Z171" s="11">
        <f t="shared" si="187"/>
        <v>41.921551507002079</v>
      </c>
      <c r="AA171" s="11">
        <f t="shared" si="187"/>
        <v>41.754420698291419</v>
      </c>
      <c r="AB171" s="11">
        <f t="shared" si="187"/>
        <v>41.740820208565474</v>
      </c>
      <c r="AD171" s="39">
        <f t="shared" si="152"/>
        <v>4.3707028732520303</v>
      </c>
      <c r="AE171" s="39">
        <f t="shared" si="153"/>
        <v>-2.8799176183491593E-2</v>
      </c>
    </row>
    <row r="172" spans="1:31" x14ac:dyDescent="0.2">
      <c r="A172" s="10" t="str">
        <f t="shared" si="141"/>
        <v>63 Community and civil enforcement occupations</v>
      </c>
      <c r="B172" s="11">
        <f t="shared" si="141"/>
        <v>2.3956029275567663</v>
      </c>
      <c r="C172" s="11">
        <f t="shared" si="145"/>
        <v>1.9680798281533916</v>
      </c>
      <c r="D172" s="11">
        <f t="shared" si="145"/>
        <v>2.5528718101472609</v>
      </c>
      <c r="E172" s="11">
        <f t="shared" si="145"/>
        <v>2.1022358640882035</v>
      </c>
      <c r="F172" s="11">
        <f t="shared" si="145"/>
        <v>2.3328235735043159</v>
      </c>
      <c r="H172" s="39">
        <f t="shared" si="146"/>
        <v>1.2797998716970849</v>
      </c>
      <c r="I172" s="39">
        <f t="shared" si="147"/>
        <v>-0.59912840817828439</v>
      </c>
      <c r="L172" s="10" t="str">
        <f t="shared" ref="L172:Q172" si="188">L27</f>
        <v>63 Community and civil enforcement occupations</v>
      </c>
      <c r="M172" s="11">
        <f t="shared" si="188"/>
        <v>1.9580906299336531</v>
      </c>
      <c r="N172" s="11">
        <f t="shared" si="188"/>
        <v>1.4331060852176793</v>
      </c>
      <c r="O172" s="11">
        <f t="shared" si="188"/>
        <v>2.074908611724871</v>
      </c>
      <c r="P172" s="11">
        <f t="shared" si="188"/>
        <v>1.4694358423425893</v>
      </c>
      <c r="Q172" s="11">
        <f t="shared" si="188"/>
        <v>1.7087817014103241</v>
      </c>
      <c r="S172" s="39">
        <f t="shared" si="149"/>
        <v>1.1656873967476278</v>
      </c>
      <c r="T172" s="39">
        <f t="shared" si="150"/>
        <v>-1.285903683712919</v>
      </c>
      <c r="W172" s="10" t="str">
        <f t="shared" ref="W172:AB172" si="189">W27</f>
        <v>63 Community and civil enforcement occupations</v>
      </c>
      <c r="X172" s="11">
        <f t="shared" si="189"/>
        <v>0.43751229762310562</v>
      </c>
      <c r="Y172" s="11">
        <f t="shared" si="189"/>
        <v>0.53497374293571032</v>
      </c>
      <c r="Z172" s="11">
        <f t="shared" si="189"/>
        <v>0.47796319842238649</v>
      </c>
      <c r="AA172" s="11">
        <f t="shared" si="189"/>
        <v>0.63280002174561756</v>
      </c>
      <c r="AB172" s="11">
        <f t="shared" si="189"/>
        <v>0.62404187209398865</v>
      </c>
      <c r="AD172" s="39">
        <f t="shared" si="152"/>
        <v>1.7843104470149695</v>
      </c>
      <c r="AE172" s="39">
        <f t="shared" si="153"/>
        <v>1.7937901052446747</v>
      </c>
    </row>
    <row r="173" spans="1:31" x14ac:dyDescent="0.2">
      <c r="A173" s="10" t="str">
        <f t="shared" si="141"/>
        <v>71 Sales occupations</v>
      </c>
      <c r="B173" s="11">
        <f t="shared" si="141"/>
        <v>173.30397212646142</v>
      </c>
      <c r="C173" s="11">
        <f t="shared" si="145"/>
        <v>163.81103916015377</v>
      </c>
      <c r="D173" s="11">
        <f t="shared" si="145"/>
        <v>158.17137533328778</v>
      </c>
      <c r="E173" s="11">
        <f t="shared" si="145"/>
        <v>147.19149086294414</v>
      </c>
      <c r="F173" s="11">
        <f t="shared" si="145"/>
        <v>139.15870740517505</v>
      </c>
      <c r="H173" s="39">
        <f t="shared" si="146"/>
        <v>-1.8107653629982234</v>
      </c>
      <c r="I173" s="39">
        <f t="shared" si="147"/>
        <v>-0.85012606715892947</v>
      </c>
      <c r="L173" s="10" t="str">
        <f t="shared" ref="L173:Q173" si="190">L28</f>
        <v>71 Sales occupations</v>
      </c>
      <c r="M173" s="11">
        <f t="shared" si="190"/>
        <v>62.932369114855241</v>
      </c>
      <c r="N173" s="11">
        <f t="shared" si="190"/>
        <v>61.451253169412503</v>
      </c>
      <c r="O173" s="11">
        <f t="shared" si="190"/>
        <v>60.66728495009724</v>
      </c>
      <c r="P173" s="11">
        <f t="shared" si="190"/>
        <v>56.684414328216477</v>
      </c>
      <c r="Q173" s="11">
        <f t="shared" si="190"/>
        <v>54.753923860133646</v>
      </c>
      <c r="S173" s="39">
        <f t="shared" si="149"/>
        <v>-0.73044029886959461</v>
      </c>
      <c r="T173" s="39">
        <f t="shared" si="150"/>
        <v>-0.68137176402338628</v>
      </c>
      <c r="W173" s="10" t="str">
        <f t="shared" ref="W173:AB173" si="191">W28</f>
        <v>71 Sales occupations</v>
      </c>
      <c r="X173" s="11">
        <f t="shared" si="191"/>
        <v>110.37160301160536</v>
      </c>
      <c r="Y173" s="11">
        <f t="shared" si="191"/>
        <v>102.35978599074166</v>
      </c>
      <c r="Z173" s="11">
        <f t="shared" si="191"/>
        <v>97.504090383190203</v>
      </c>
      <c r="AA173" s="11">
        <f t="shared" si="191"/>
        <v>90.507076534727588</v>
      </c>
      <c r="AB173" s="11">
        <f t="shared" si="191"/>
        <v>84.404783545041496</v>
      </c>
      <c r="AD173" s="39">
        <f t="shared" si="152"/>
        <v>-2.4486919879964542</v>
      </c>
      <c r="AE173" s="39">
        <f t="shared" si="153"/>
        <v>-0.95719116546781891</v>
      </c>
    </row>
    <row r="174" spans="1:31" x14ac:dyDescent="0.2">
      <c r="A174" s="10" t="str">
        <f t="shared" si="141"/>
        <v>72 Customer service occupations</v>
      </c>
      <c r="B174" s="11">
        <f t="shared" si="141"/>
        <v>36.274357680061875</v>
      </c>
      <c r="C174" s="11">
        <f t="shared" si="145"/>
        <v>38.932889286731253</v>
      </c>
      <c r="D174" s="11">
        <f t="shared" si="145"/>
        <v>40.010730312229803</v>
      </c>
      <c r="E174" s="11">
        <f t="shared" si="145"/>
        <v>51.064626595414765</v>
      </c>
      <c r="F174" s="11">
        <f t="shared" si="145"/>
        <v>57.872333438169207</v>
      </c>
      <c r="H174" s="39">
        <f t="shared" si="146"/>
        <v>1.9800802806441364</v>
      </c>
      <c r="I174" s="39">
        <f t="shared" si="147"/>
        <v>2.4911346256979661</v>
      </c>
      <c r="L174" s="10" t="str">
        <f t="shared" ref="L174:Q174" si="192">L29</f>
        <v>72 Customer service occupations</v>
      </c>
      <c r="M174" s="11">
        <f t="shared" si="192"/>
        <v>12.00587690607736</v>
      </c>
      <c r="N174" s="11">
        <f t="shared" si="192"/>
        <v>11.023081854670346</v>
      </c>
      <c r="O174" s="11">
        <f t="shared" si="192"/>
        <v>13.208840958383709</v>
      </c>
      <c r="P174" s="11">
        <f t="shared" si="192"/>
        <v>18.042801443420192</v>
      </c>
      <c r="Q174" s="11">
        <f t="shared" si="192"/>
        <v>20.668052153204229</v>
      </c>
      <c r="S174" s="39">
        <f t="shared" si="149"/>
        <v>1.9281554288987035</v>
      </c>
      <c r="T174" s="39">
        <f t="shared" si="150"/>
        <v>3.0296732532127502</v>
      </c>
      <c r="W174" s="10" t="str">
        <f t="shared" ref="W174:AB174" si="193">W29</f>
        <v>72 Customer service occupations</v>
      </c>
      <c r="X174" s="11">
        <f t="shared" si="193"/>
        <v>24.268480773984553</v>
      </c>
      <c r="Y174" s="11">
        <f t="shared" si="193"/>
        <v>27.909807432060852</v>
      </c>
      <c r="Z174" s="11">
        <f t="shared" si="193"/>
        <v>26.801889353846089</v>
      </c>
      <c r="AA174" s="11">
        <f t="shared" si="193"/>
        <v>33.021825151994648</v>
      </c>
      <c r="AB174" s="11">
        <f t="shared" si="193"/>
        <v>37.204281284964942</v>
      </c>
      <c r="AD174" s="39">
        <f t="shared" si="152"/>
        <v>2.0057290096278324</v>
      </c>
      <c r="AE174" s="39">
        <f t="shared" si="153"/>
        <v>2.2104186827217376</v>
      </c>
    </row>
    <row r="175" spans="1:31" x14ac:dyDescent="0.2">
      <c r="A175" s="10" t="str">
        <f t="shared" si="141"/>
        <v>81 Process, plant and machine operatives</v>
      </c>
      <c r="B175" s="11">
        <f t="shared" si="141"/>
        <v>96.336507305577143</v>
      </c>
      <c r="C175" s="11">
        <f t="shared" si="145"/>
        <v>95.330232078847629</v>
      </c>
      <c r="D175" s="11">
        <f t="shared" si="145"/>
        <v>82.980962009601029</v>
      </c>
      <c r="E175" s="11">
        <f t="shared" si="145"/>
        <v>100.06163022108568</v>
      </c>
      <c r="F175" s="11">
        <f t="shared" si="145"/>
        <v>98.631893755663725</v>
      </c>
      <c r="H175" s="39">
        <f t="shared" si="146"/>
        <v>-2.9406197949755963</v>
      </c>
      <c r="I175" s="39">
        <f t="shared" si="147"/>
        <v>1.1585495788117628</v>
      </c>
      <c r="L175" s="10" t="str">
        <f t="shared" ref="L175:Q175" si="194">L30</f>
        <v>81 Process, plant and machine operatives</v>
      </c>
      <c r="M175" s="11">
        <f t="shared" si="194"/>
        <v>72.86538913578822</v>
      </c>
      <c r="N175" s="11">
        <f t="shared" si="194"/>
        <v>69.951977529617679</v>
      </c>
      <c r="O175" s="11">
        <f t="shared" si="194"/>
        <v>62.455900666135868</v>
      </c>
      <c r="P175" s="11">
        <f t="shared" si="194"/>
        <v>73.882263636954107</v>
      </c>
      <c r="Q175" s="11">
        <f t="shared" si="194"/>
        <v>70.60322088739909</v>
      </c>
      <c r="S175" s="39">
        <f t="shared" si="149"/>
        <v>-3.0360190855518332</v>
      </c>
      <c r="T175" s="39">
        <f t="shared" si="150"/>
        <v>0.82078375582823604</v>
      </c>
      <c r="W175" s="10" t="str">
        <f t="shared" ref="W175:AB175" si="195">W30</f>
        <v>81 Process, plant and machine operatives</v>
      </c>
      <c r="X175" s="11">
        <f t="shared" si="195"/>
        <v>23.471118169788657</v>
      </c>
      <c r="Y175" s="11">
        <f t="shared" si="195"/>
        <v>25.378254549229929</v>
      </c>
      <c r="Z175" s="11">
        <f t="shared" si="195"/>
        <v>20.525061343465303</v>
      </c>
      <c r="AA175" s="11">
        <f t="shared" si="195"/>
        <v>26.1793665841316</v>
      </c>
      <c r="AB175" s="11">
        <f t="shared" si="195"/>
        <v>28.028672868264309</v>
      </c>
      <c r="AD175" s="39">
        <f t="shared" si="152"/>
        <v>-2.646821204614791</v>
      </c>
      <c r="AE175" s="39">
        <f t="shared" si="153"/>
        <v>2.0989333017408018</v>
      </c>
    </row>
    <row r="176" spans="1:31" x14ac:dyDescent="0.2">
      <c r="A176" s="10" t="str">
        <f t="shared" si="141"/>
        <v>82 Transport and mobile machine drivers and operatives</v>
      </c>
      <c r="B176" s="11">
        <f t="shared" si="141"/>
        <v>92.950932183114759</v>
      </c>
      <c r="C176" s="11">
        <f t="shared" si="145"/>
        <v>104.74957701243308</v>
      </c>
      <c r="D176" s="11">
        <f t="shared" si="145"/>
        <v>105.1667392966642</v>
      </c>
      <c r="E176" s="11">
        <f t="shared" si="145"/>
        <v>109.66622761400357</v>
      </c>
      <c r="F176" s="11">
        <f t="shared" si="145"/>
        <v>107.55840657020045</v>
      </c>
      <c r="H176" s="39">
        <f t="shared" si="146"/>
        <v>2.5002516992214119</v>
      </c>
      <c r="I176" s="39">
        <f t="shared" si="147"/>
        <v>0.15002531237895411</v>
      </c>
      <c r="L176" s="10" t="str">
        <f t="shared" ref="L176:Q176" si="196">L31</f>
        <v>82 Transport and mobile machine drivers and operatives</v>
      </c>
      <c r="M176" s="11">
        <f t="shared" si="196"/>
        <v>88.266925561864383</v>
      </c>
      <c r="N176" s="11">
        <f t="shared" si="196"/>
        <v>99.327102218697163</v>
      </c>
      <c r="O176" s="11">
        <f t="shared" si="196"/>
        <v>99.866578096541502</v>
      </c>
      <c r="P176" s="11">
        <f t="shared" si="196"/>
        <v>102.15903436473926</v>
      </c>
      <c r="Q176" s="11">
        <f t="shared" si="196"/>
        <v>99.233680551748591</v>
      </c>
      <c r="S176" s="39">
        <f t="shared" si="149"/>
        <v>2.5001341653268172</v>
      </c>
      <c r="T176" s="39">
        <f t="shared" si="150"/>
        <v>-4.2375004147321427E-2</v>
      </c>
      <c r="W176" s="10" t="str">
        <f t="shared" ref="W176:AB176" si="197">W31</f>
        <v>82 Transport and mobile machine drivers and operatives</v>
      </c>
      <c r="X176" s="11">
        <f t="shared" si="197"/>
        <v>4.6840066212506333</v>
      </c>
      <c r="Y176" s="11">
        <f t="shared" si="197"/>
        <v>5.422474793735943</v>
      </c>
      <c r="Z176" s="11">
        <f t="shared" si="197"/>
        <v>5.3001612001227141</v>
      </c>
      <c r="AA176" s="11">
        <f t="shared" si="197"/>
        <v>7.5071932492638389</v>
      </c>
      <c r="AB176" s="11">
        <f t="shared" si="197"/>
        <v>8.3247260184519316</v>
      </c>
      <c r="AD176" s="39">
        <f t="shared" si="152"/>
        <v>2.5024664448985101</v>
      </c>
      <c r="AE176" s="39">
        <f t="shared" si="153"/>
        <v>3.0557096035015441</v>
      </c>
    </row>
    <row r="177" spans="1:31" x14ac:dyDescent="0.2">
      <c r="A177" s="10" t="str">
        <f t="shared" si="141"/>
        <v>91 Elementary trades and related occupations</v>
      </c>
      <c r="B177" s="11">
        <f t="shared" si="141"/>
        <v>52.251811311873347</v>
      </c>
      <c r="C177" s="11">
        <f t="shared" si="145"/>
        <v>48.014879756415723</v>
      </c>
      <c r="D177" s="11">
        <f t="shared" si="145"/>
        <v>44.433630888629324</v>
      </c>
      <c r="E177" s="11">
        <f t="shared" si="145"/>
        <v>37.359177856192218</v>
      </c>
      <c r="F177" s="11">
        <f t="shared" si="145"/>
        <v>34.841715927373706</v>
      </c>
      <c r="H177" s="39">
        <f>IF(D$151-B$151 &lt;&gt; 0,(EXP(LN(D177/B177)/(D$151-B$151))-1)*100,0)</f>
        <v>-3.1895830395356151</v>
      </c>
      <c r="I177" s="39">
        <f t="shared" si="147"/>
        <v>-1.6081373684155631</v>
      </c>
      <c r="L177" s="10" t="str">
        <f t="shared" ref="L177:Q178" si="198">L32</f>
        <v>91 Elementary trades and related occupations</v>
      </c>
      <c r="M177" s="11">
        <f t="shared" si="198"/>
        <v>38.340440423440072</v>
      </c>
      <c r="N177" s="11">
        <f t="shared" si="198"/>
        <v>34.596802071016675</v>
      </c>
      <c r="O177" s="11">
        <f t="shared" si="198"/>
        <v>33.996751263540361</v>
      </c>
      <c r="P177" s="11">
        <f t="shared" si="198"/>
        <v>28.25025747594211</v>
      </c>
      <c r="Q177" s="11">
        <f t="shared" si="198"/>
        <v>26.060432656740023</v>
      </c>
      <c r="S177" s="39">
        <f t="shared" si="149"/>
        <v>-2.3761200791949877</v>
      </c>
      <c r="T177" s="39">
        <f t="shared" si="150"/>
        <v>-1.7566988922450788</v>
      </c>
      <c r="W177" s="10" t="str">
        <f t="shared" ref="W177:AB178" si="199">W32</f>
        <v>91 Elementary trades and related occupations</v>
      </c>
      <c r="X177" s="11">
        <f t="shared" si="199"/>
        <v>13.911370888433424</v>
      </c>
      <c r="Y177" s="11">
        <f t="shared" si="199"/>
        <v>13.418077685399052</v>
      </c>
      <c r="Z177" s="11">
        <f t="shared" si="199"/>
        <v>10.436879625088894</v>
      </c>
      <c r="AA177" s="11">
        <f t="shared" si="199"/>
        <v>9.1089203802501277</v>
      </c>
      <c r="AB177" s="11">
        <f t="shared" si="199"/>
        <v>8.7812832706338337</v>
      </c>
      <c r="AD177" s="39">
        <f t="shared" si="152"/>
        <v>-5.5851844523258976</v>
      </c>
      <c r="AE177" s="39">
        <f t="shared" si="153"/>
        <v>-1.1448830644904207</v>
      </c>
    </row>
    <row r="178" spans="1:31" x14ac:dyDescent="0.2">
      <c r="A178" s="10" t="str">
        <f t="shared" si="141"/>
        <v>92 Elementary administration and service occupations</v>
      </c>
      <c r="B178" s="11">
        <f t="shared" si="141"/>
        <v>229.78267131417977</v>
      </c>
      <c r="C178" s="11">
        <f t="shared" si="145"/>
        <v>220.91049410882496</v>
      </c>
      <c r="D178" s="11">
        <f t="shared" si="145"/>
        <v>205.55814968015667</v>
      </c>
      <c r="E178" s="11">
        <f t="shared" si="145"/>
        <v>205.50057562361812</v>
      </c>
      <c r="F178" s="11">
        <f t="shared" si="145"/>
        <v>192.09940795604413</v>
      </c>
      <c r="H178" s="39">
        <f>IF(D$151-B$151 &lt;&gt; 0,(EXP(LN(D178/B178)/(D$151-B$151))-1)*100,0)</f>
        <v>-2.2034610695766399</v>
      </c>
      <c r="I178" s="39">
        <f t="shared" ref="I178" si="200">IF(F$151-D$151 &lt;&gt; 0,(EXP(LN(F178/D178)/(F$151-D$151))-1)*100,0)</f>
        <v>-0.45042236148963299</v>
      </c>
      <c r="L178" s="10" t="str">
        <f t="shared" si="198"/>
        <v>92 Elementary administration and service occupations</v>
      </c>
      <c r="M178" s="11">
        <f t="shared" si="198"/>
        <v>120.2348841355231</v>
      </c>
      <c r="N178" s="11">
        <f t="shared" si="198"/>
        <v>107.73287828852</v>
      </c>
      <c r="O178" s="11">
        <f t="shared" si="198"/>
        <v>103.62165142496671</v>
      </c>
      <c r="P178" s="11">
        <f t="shared" si="198"/>
        <v>108.63711570431265</v>
      </c>
      <c r="Q178" s="11">
        <f t="shared" si="198"/>
        <v>100.82760361559873</v>
      </c>
      <c r="S178" s="39">
        <f t="shared" ref="S178" si="201">IF(O$151-M$151 &lt;&gt; 0,(EXP(LN(O178/M178)/(O$151-M$151))-1)*100,0)</f>
        <v>-2.9302292311488731</v>
      </c>
      <c r="T178" s="39">
        <f t="shared" ref="T178" si="202">IF(Q$151-O$151 &lt;&gt; 0,(EXP(LN(Q178/O178)/(Q$151-O$151))-1)*100,0)</f>
        <v>-0.18206163329063108</v>
      </c>
      <c r="W178" s="10" t="str">
        <f t="shared" si="199"/>
        <v>92 Elementary administration and service occupations</v>
      </c>
      <c r="X178" s="11">
        <f t="shared" si="199"/>
        <v>109.5477871786568</v>
      </c>
      <c r="Y178" s="11">
        <f t="shared" si="199"/>
        <v>113.17761582030495</v>
      </c>
      <c r="Z178" s="11">
        <f t="shared" si="199"/>
        <v>101.93649825519061</v>
      </c>
      <c r="AA178" s="11">
        <f t="shared" si="199"/>
        <v>96.863459919304873</v>
      </c>
      <c r="AB178" s="11">
        <f t="shared" si="199"/>
        <v>91.271804340445513</v>
      </c>
      <c r="AD178" s="39">
        <f t="shared" ref="AD178" si="203">IF(Z$151-X$151 &lt;&gt; 0,(EXP(LN(Z178/X178)/(Z$151-X$151))-1)*100,0)</f>
        <v>-1.4298947628485048</v>
      </c>
      <c r="AE178" s="39">
        <f t="shared" ref="AE178" si="204">IF(AB$151-Z$151 &lt;&gt; 0,(EXP(LN(AB178/Z178)/(AB$151-Z$151))-1)*100,0)</f>
        <v>-0.73401378146915608</v>
      </c>
    </row>
    <row r="179" spans="1:31" x14ac:dyDescent="0.2">
      <c r="A179" s="10"/>
      <c r="B179" s="11"/>
      <c r="C179" s="11"/>
      <c r="D179" s="11"/>
      <c r="E179" s="11"/>
      <c r="F179" s="11"/>
      <c r="H179" s="39"/>
      <c r="I179" s="39"/>
      <c r="L179" s="10"/>
      <c r="M179" s="11"/>
      <c r="N179" s="11"/>
      <c r="O179" s="11"/>
      <c r="P179" s="11"/>
      <c r="Q179" s="11"/>
      <c r="S179" s="39"/>
      <c r="T179" s="39"/>
      <c r="W179" s="10"/>
      <c r="X179" s="11"/>
      <c r="Y179" s="11"/>
      <c r="Z179" s="11"/>
      <c r="AA179" s="11"/>
      <c r="AB179" s="11"/>
      <c r="AD179" s="39"/>
      <c r="AE179" s="39"/>
    </row>
    <row r="180" spans="1:31" x14ac:dyDescent="0.2">
      <c r="A180" s="231" t="str">
        <f t="shared" ref="A180:F180" si="205">A35</f>
        <v>All occupations</v>
      </c>
      <c r="B180" s="33">
        <f>B35</f>
        <v>2274.4909999992287</v>
      </c>
      <c r="C180" s="33">
        <f t="shared" si="205"/>
        <v>2405.3839999988058</v>
      </c>
      <c r="D180" s="33">
        <f t="shared" si="205"/>
        <v>2404.2379999983373</v>
      </c>
      <c r="E180" s="33">
        <f t="shared" si="205"/>
        <v>2442.8000000047</v>
      </c>
      <c r="F180" s="33">
        <f t="shared" si="205"/>
        <v>2510.6939999992719</v>
      </c>
      <c r="H180" s="42">
        <f t="shared" si="146"/>
        <v>1.115712608503272</v>
      </c>
      <c r="I180" s="42">
        <f t="shared" si="147"/>
        <v>0.28925885184052369</v>
      </c>
      <c r="L180" s="231" t="str">
        <f t="shared" ref="L180:Q180" si="206">L35</f>
        <v>All occupations</v>
      </c>
      <c r="M180" s="33">
        <f t="shared" si="206"/>
        <v>1213.5149999998519</v>
      </c>
      <c r="N180" s="33">
        <f t="shared" si="206"/>
        <v>1250.4389999999846</v>
      </c>
      <c r="O180" s="33">
        <f t="shared" si="206"/>
        <v>1262.591999999117</v>
      </c>
      <c r="P180" s="33">
        <f t="shared" si="206"/>
        <v>1276.8599999999924</v>
      </c>
      <c r="Q180" s="33">
        <f t="shared" si="206"/>
        <v>1300.4009999998568</v>
      </c>
      <c r="S180" s="42">
        <f t="shared" ref="S180" si="207">IF(O$151-M$151 &lt;&gt; 0,(EXP(LN(O180/M180)/(O$151-M$151))-1)*100,0)</f>
        <v>0.79606475420928025</v>
      </c>
      <c r="T180" s="42">
        <f t="shared" ref="T180" si="208">IF(Q$151-O$151 &lt;&gt; 0,(EXP(LN(Q180/O180)/(Q$151-O$151))-1)*100,0)</f>
        <v>0.19689977781427448</v>
      </c>
      <c r="W180" s="231" t="str">
        <f t="shared" ref="W180:AB180" si="209">W35</f>
        <v>All occupations</v>
      </c>
      <c r="X180" s="33">
        <f t="shared" si="209"/>
        <v>1060.9759999993769</v>
      </c>
      <c r="Y180" s="33">
        <f t="shared" si="209"/>
        <v>1154.944999998821</v>
      </c>
      <c r="Z180" s="33">
        <f t="shared" si="209"/>
        <v>1141.6459999992212</v>
      </c>
      <c r="AA180" s="33">
        <f t="shared" si="209"/>
        <v>1165.9400000047083</v>
      </c>
      <c r="AB180" s="33">
        <f t="shared" si="209"/>
        <v>1210.2929999994133</v>
      </c>
      <c r="AD180" s="42">
        <f t="shared" ref="AD180" si="210">IF(Z$151-X$151 &lt;&gt; 0,(EXP(LN(Z180/X180)/(Z$151-X$151))-1)*100,0)</f>
        <v>1.4764299511596191</v>
      </c>
      <c r="AE180" s="42">
        <f t="shared" ref="AE180" si="211">IF(AB$151-Z$151 &lt;&gt; 0,(EXP(LN(AB180/Z180)/(AB$151-Z$151))-1)*100,0)</f>
        <v>0.3900346521797049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1" man="1"/>
  </rowBreaks>
  <colBreaks count="2" manualBreakCount="2">
    <brk id="10" max="179" man="1"/>
    <brk id="21" max="179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8" t="str">
        <f>CONCATENATE("Occupation Table 3  Employment Change by Occupation in Occupation Group (SOC 2020), ",B$5,"-",F$5,", ",Info!B5)</f>
        <v>Occupation Table 3  Employment Change by Occupation in Occupation Group (SOC 2020), 2015-2035, East Midlands</v>
      </c>
    </row>
    <row r="2" spans="1:12" ht="12.75" customHeight="1" x14ac:dyDescent="0.2">
      <c r="A2" s="181" t="s">
        <v>538</v>
      </c>
    </row>
    <row r="3" spans="1:12" ht="12.75" customHeight="1" x14ac:dyDescent="0.25">
      <c r="A3" s="18"/>
      <c r="L3" s="37" t="s">
        <v>19</v>
      </c>
    </row>
    <row r="4" spans="1:12" x14ac:dyDescent="0.2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2">
      <c r="A5" s="23"/>
      <c r="B5" s="34">
        <f>'Occ T1'!B6</f>
        <v>2015</v>
      </c>
      <c r="C5" s="34">
        <f>'Occ T1'!C6</f>
        <v>2019</v>
      </c>
      <c r="D5" s="34">
        <f>'Occ T1'!D6</f>
        <v>2020</v>
      </c>
      <c r="E5" s="34">
        <f>'Occ T1'!E6</f>
        <v>2025</v>
      </c>
      <c r="F5" s="34">
        <f>'Occ T1'!F6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x14ac:dyDescent="0.2">
      <c r="A7" s="29" t="str">
        <f>'Occ T1'!A8</f>
        <v>Managers, directors and senior officials</v>
      </c>
      <c r="B7" s="30">
        <f>'Occ T1'!B8</f>
        <v>212.96694651679297</v>
      </c>
      <c r="C7" s="30">
        <f>'Occ T1'!C8</f>
        <v>251.40387626698799</v>
      </c>
      <c r="D7" s="30">
        <f>'Occ T1'!D8</f>
        <v>261.59893790686078</v>
      </c>
      <c r="E7" s="30">
        <f>'Occ T1'!E8</f>
        <v>266.6330838180192</v>
      </c>
      <c r="F7" s="30">
        <f>'Occ T1'!F8</f>
        <v>296.34659036718625</v>
      </c>
      <c r="H7" s="30">
        <f>C7-B7</f>
        <v>38.43692975019502</v>
      </c>
      <c r="I7" s="30">
        <f>D7-C7</f>
        <v>10.19506163987279</v>
      </c>
      <c r="J7" s="30">
        <f>E7-D7</f>
        <v>5.0341459111584186</v>
      </c>
      <c r="K7" s="30">
        <f>F7-E7</f>
        <v>29.71350654916705</v>
      </c>
      <c r="L7" s="30">
        <f>F7-D7</f>
        <v>34.747652460325469</v>
      </c>
    </row>
    <row r="8" spans="1:12" s="29" customFormat="1" x14ac:dyDescent="0.2">
      <c r="A8" s="10" t="str">
        <f>'Occ T2'!A8</f>
        <v>11 Corporate managers and directors</v>
      </c>
      <c r="B8" s="31">
        <f>'Occ T2'!B8</f>
        <v>143.65805606021732</v>
      </c>
      <c r="C8" s="31">
        <f>'Occ T2'!C8</f>
        <v>174.21928226313696</v>
      </c>
      <c r="D8" s="31">
        <f>'Occ T2'!D8</f>
        <v>181.26829746514963</v>
      </c>
      <c r="E8" s="31">
        <f>'Occ T2'!E8</f>
        <v>167.75005991181814</v>
      </c>
      <c r="F8" s="31">
        <f>'Occ T2'!F8</f>
        <v>182.91832107250198</v>
      </c>
      <c r="H8" s="30">
        <f t="shared" ref="H8:H9" si="0">C8-B8</f>
        <v>30.561226202919642</v>
      </c>
      <c r="I8" s="30">
        <f t="shared" ref="I8:I9" si="1">D8-C8</f>
        <v>7.0490152020126686</v>
      </c>
      <c r="J8" s="30">
        <f t="shared" ref="J8:J9" si="2">E8-D8</f>
        <v>-13.518237553331488</v>
      </c>
      <c r="K8" s="30">
        <f t="shared" ref="K8:K9" si="3">F8-E8</f>
        <v>15.168261160683841</v>
      </c>
      <c r="L8" s="30">
        <f t="shared" ref="L8:L49" si="4">F8-D8</f>
        <v>1.6500236073523524</v>
      </c>
    </row>
    <row r="9" spans="1:12" s="29" customFormat="1" x14ac:dyDescent="0.2">
      <c r="A9" s="10" t="str">
        <f>'Occ T2'!A9</f>
        <v>12 Other managers and proprietors</v>
      </c>
      <c r="B9" s="31">
        <f>'Occ T2'!B9</f>
        <v>69.308890456575654</v>
      </c>
      <c r="C9" s="31">
        <f>'Occ T2'!C9</f>
        <v>77.184594003851032</v>
      </c>
      <c r="D9" s="31">
        <f>'Occ T2'!D9</f>
        <v>80.330640441711182</v>
      </c>
      <c r="E9" s="31">
        <f>'Occ T2'!E9</f>
        <v>98.883023906201075</v>
      </c>
      <c r="F9" s="31">
        <f>'Occ T2'!F9</f>
        <v>113.42826929468428</v>
      </c>
      <c r="H9" s="30">
        <f t="shared" si="0"/>
        <v>7.8757035472753785</v>
      </c>
      <c r="I9" s="30">
        <f t="shared" si="1"/>
        <v>3.14604643786015</v>
      </c>
      <c r="J9" s="30">
        <f t="shared" si="2"/>
        <v>18.552383464489893</v>
      </c>
      <c r="K9" s="30">
        <f t="shared" si="3"/>
        <v>14.54524538848321</v>
      </c>
      <c r="L9" s="30">
        <f t="shared" si="4"/>
        <v>33.097628852973102</v>
      </c>
    </row>
    <row r="10" spans="1:12" x14ac:dyDescent="0.2">
      <c r="B10" s="31"/>
      <c r="C10" s="31"/>
      <c r="D10" s="31"/>
      <c r="E10" s="31"/>
      <c r="F10" s="31"/>
      <c r="H10" s="11"/>
      <c r="I10" s="30"/>
      <c r="J10" s="11"/>
      <c r="K10" s="11"/>
      <c r="L10" s="30"/>
    </row>
    <row r="11" spans="1:12" s="29" customFormat="1" x14ac:dyDescent="0.2">
      <c r="A11" s="29" t="str">
        <f>'Occ T1'!A9</f>
        <v>Professional occupations</v>
      </c>
      <c r="B11" s="30">
        <f>'Occ T1'!B9</f>
        <v>401.52149990473055</v>
      </c>
      <c r="C11" s="30">
        <f>'Occ T1'!C9</f>
        <v>466.24681865163171</v>
      </c>
      <c r="D11" s="30">
        <f>'Occ T1'!D9</f>
        <v>495.4961452109377</v>
      </c>
      <c r="E11" s="30">
        <f>'Occ T1'!E9</f>
        <v>527.95954237323895</v>
      </c>
      <c r="F11" s="30">
        <f>'Occ T1'!F9</f>
        <v>581.88225106121695</v>
      </c>
      <c r="H11" s="30">
        <f>C11-B11</f>
        <v>64.725318746901166</v>
      </c>
      <c r="I11" s="30">
        <f t="shared" ref="I11:I49" si="5">D11-C11</f>
        <v>29.249326559305985</v>
      </c>
      <c r="J11" s="30">
        <f>E11-D11</f>
        <v>32.463397162301248</v>
      </c>
      <c r="K11" s="30">
        <f>F11-E11</f>
        <v>53.922708687978002</v>
      </c>
      <c r="L11" s="30">
        <f t="shared" si="4"/>
        <v>86.38610585027925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118.17350877122848</v>
      </c>
      <c r="C12" s="10">
        <f>'Occ T2'!C10</f>
        <v>139.32948990430606</v>
      </c>
      <c r="D12" s="10">
        <f>'Occ T2'!D10</f>
        <v>146.15293795725444</v>
      </c>
      <c r="E12" s="10">
        <f>'Occ T2'!E10</f>
        <v>154.11944030831137</v>
      </c>
      <c r="F12" s="10">
        <f>'Occ T2'!F10</f>
        <v>171.82982594197708</v>
      </c>
      <c r="H12" s="11">
        <f t="shared" ref="H12:K14" si="6">C12-B12</f>
        <v>21.155981133077574</v>
      </c>
      <c r="I12" s="30">
        <f t="shared" si="5"/>
        <v>6.823448052948379</v>
      </c>
      <c r="J12" s="11">
        <f t="shared" si="6"/>
        <v>7.9665023510569313</v>
      </c>
      <c r="K12" s="11">
        <f t="shared" si="6"/>
        <v>17.710385633665709</v>
      </c>
      <c r="L12" s="30">
        <f t="shared" si="4"/>
        <v>25.67688798472264</v>
      </c>
    </row>
    <row r="13" spans="1:12" x14ac:dyDescent="0.2">
      <c r="A13" s="10" t="str">
        <f>'Occ T2'!A11</f>
        <v>22 Health professionals</v>
      </c>
      <c r="B13" s="10">
        <f>'Occ T2'!B11</f>
        <v>84.941490204701466</v>
      </c>
      <c r="C13" s="10">
        <f>'Occ T2'!C11</f>
        <v>97.766943133398073</v>
      </c>
      <c r="D13" s="10">
        <f>'Occ T2'!D11</f>
        <v>97.677408108303439</v>
      </c>
      <c r="E13" s="10">
        <f>'Occ T2'!E11</f>
        <v>105.14697949418867</v>
      </c>
      <c r="F13" s="10">
        <f>'Occ T2'!F11</f>
        <v>114.65304052783871</v>
      </c>
      <c r="H13" s="11">
        <f t="shared" si="6"/>
        <v>12.825452928696606</v>
      </c>
      <c r="I13" s="30">
        <f t="shared" si="5"/>
        <v>-8.9535025094633625E-2</v>
      </c>
      <c r="J13" s="11">
        <f t="shared" si="6"/>
        <v>7.4695713858852315</v>
      </c>
      <c r="K13" s="11">
        <f t="shared" si="6"/>
        <v>9.5060610336500417</v>
      </c>
      <c r="L13" s="30">
        <f t="shared" si="4"/>
        <v>16.975632419535273</v>
      </c>
    </row>
    <row r="14" spans="1:12" x14ac:dyDescent="0.2">
      <c r="A14" s="10" t="str">
        <f>'Occ T2'!A12</f>
        <v>23 Teaching and other educational professionals</v>
      </c>
      <c r="B14" s="10">
        <f>'Occ T2'!B12</f>
        <v>82.340741240666205</v>
      </c>
      <c r="C14" s="10">
        <f>'Occ T2'!C12</f>
        <v>89.482943742768015</v>
      </c>
      <c r="D14" s="10">
        <f>'Occ T2'!D12</f>
        <v>93.288876949246799</v>
      </c>
      <c r="E14" s="10">
        <f>'Occ T2'!E12</f>
        <v>92.704014323923289</v>
      </c>
      <c r="F14" s="10">
        <f>'Occ T2'!F12</f>
        <v>96.576406752618979</v>
      </c>
      <c r="H14" s="11">
        <f t="shared" si="6"/>
        <v>7.1422025021018101</v>
      </c>
      <c r="I14" s="30">
        <f t="shared" si="5"/>
        <v>3.8059332064787839</v>
      </c>
      <c r="J14" s="11">
        <f t="shared" si="6"/>
        <v>-0.58486262532350963</v>
      </c>
      <c r="K14" s="11">
        <f t="shared" si="6"/>
        <v>3.8723924286956901</v>
      </c>
      <c r="L14" s="30">
        <f t="shared" si="4"/>
        <v>3.2875298033721805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116.06575968813439</v>
      </c>
      <c r="C15" s="10">
        <f>'Occ T2'!C13</f>
        <v>139.66744187115961</v>
      </c>
      <c r="D15" s="10">
        <f>'Occ T2'!D13</f>
        <v>158.37692219613299</v>
      </c>
      <c r="E15" s="10">
        <f>'Occ T2'!E13</f>
        <v>175.98910824681568</v>
      </c>
      <c r="F15" s="10">
        <f>'Occ T2'!F13</f>
        <v>198.82297783878221</v>
      </c>
      <c r="H15" s="11">
        <f t="shared" ref="H15" si="7">C15-B15</f>
        <v>23.601682183025218</v>
      </c>
      <c r="I15" s="30">
        <f t="shared" si="5"/>
        <v>18.709480324973384</v>
      </c>
      <c r="J15" s="11">
        <f t="shared" ref="J15" si="8">E15-D15</f>
        <v>17.612186050682681</v>
      </c>
      <c r="K15" s="11">
        <f t="shared" ref="K15" si="9">F15-E15</f>
        <v>22.833869591966533</v>
      </c>
      <c r="L15" s="30">
        <f t="shared" si="4"/>
        <v>40.446055642649213</v>
      </c>
    </row>
    <row r="16" spans="1:12" x14ac:dyDescent="0.2">
      <c r="A16" s="10"/>
      <c r="B16" s="31"/>
      <c r="C16" s="31"/>
      <c r="D16" s="31"/>
      <c r="E16" s="31"/>
      <c r="F16" s="31"/>
      <c r="H16" s="11"/>
      <c r="I16" s="30"/>
      <c r="J16" s="11"/>
      <c r="K16" s="11"/>
      <c r="L16" s="30"/>
    </row>
    <row r="17" spans="1:12" s="29" customFormat="1" x14ac:dyDescent="0.2">
      <c r="A17" s="29" t="str">
        <f>'Occ T1'!A10</f>
        <v>Associate professional occupations</v>
      </c>
      <c r="B17" s="30">
        <f>'Occ T1'!B10</f>
        <v>254.48663957131549</v>
      </c>
      <c r="C17" s="30">
        <f>'Occ T1'!C10</f>
        <v>277.73375952254469</v>
      </c>
      <c r="D17" s="30">
        <f>'Occ T1'!D10</f>
        <v>293.36127893413243</v>
      </c>
      <c r="E17" s="30">
        <f>'Occ T1'!E10</f>
        <v>284.42037280035231</v>
      </c>
      <c r="F17" s="30">
        <f>'Occ T1'!F10</f>
        <v>303.8157247101085</v>
      </c>
      <c r="H17" s="30">
        <f t="shared" ref="H17:K21" si="10">C17-B17</f>
        <v>23.247119951229195</v>
      </c>
      <c r="I17" s="30">
        <f t="shared" si="5"/>
        <v>15.627519411587741</v>
      </c>
      <c r="J17" s="30">
        <f t="shared" si="10"/>
        <v>-8.9409061337801177</v>
      </c>
      <c r="K17" s="30">
        <f t="shared" si="10"/>
        <v>19.395351909756187</v>
      </c>
      <c r="L17" s="30">
        <f t="shared" si="4"/>
        <v>10.454445775976069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36.888897619733804</v>
      </c>
      <c r="C18" s="10">
        <f>'Occ T2'!C14</f>
        <v>44.133048124382675</v>
      </c>
      <c r="D18" s="10">
        <f>'Occ T2'!D14</f>
        <v>48.896441347773603</v>
      </c>
      <c r="E18" s="10">
        <f>'Occ T2'!E14</f>
        <v>42.416594537763693</v>
      </c>
      <c r="F18" s="10">
        <f>'Occ T2'!F14</f>
        <v>45.136963956910328</v>
      </c>
      <c r="H18" s="11">
        <f t="shared" si="10"/>
        <v>7.2441505046488714</v>
      </c>
      <c r="I18" s="30">
        <f t="shared" si="5"/>
        <v>4.7633932233909277</v>
      </c>
      <c r="J18" s="11">
        <f t="shared" si="10"/>
        <v>-6.47984681000991</v>
      </c>
      <c r="K18" s="11">
        <f t="shared" si="10"/>
        <v>2.7203694191466354</v>
      </c>
      <c r="L18" s="30">
        <f t="shared" si="4"/>
        <v>-3.7594773908632746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37.756201665299528</v>
      </c>
      <c r="C19" s="10">
        <f>'Occ T2'!C15</f>
        <v>43.058878031001939</v>
      </c>
      <c r="D19" s="10">
        <f>'Occ T2'!D15</f>
        <v>43.808538911689013</v>
      </c>
      <c r="E19" s="10">
        <f>'Occ T2'!E15</f>
        <v>44.397697953395529</v>
      </c>
      <c r="F19" s="10">
        <f>'Occ T2'!F15</f>
        <v>48.614831201773598</v>
      </c>
      <c r="H19" s="11">
        <f t="shared" si="10"/>
        <v>5.3026763657024105</v>
      </c>
      <c r="I19" s="30">
        <f t="shared" si="5"/>
        <v>0.74966088068707393</v>
      </c>
      <c r="J19" s="11">
        <f t="shared" si="10"/>
        <v>0.58915904170651601</v>
      </c>
      <c r="K19" s="11">
        <f t="shared" si="10"/>
        <v>4.2171332483780688</v>
      </c>
      <c r="L19" s="30">
        <f t="shared" si="4"/>
        <v>4.8062922900845848</v>
      </c>
    </row>
    <row r="20" spans="1:12" x14ac:dyDescent="0.2">
      <c r="A20" s="10" t="str">
        <f>'Occ T2'!A16</f>
        <v>33 Protective service occupations</v>
      </c>
      <c r="B20" s="10">
        <f>'Occ T2'!B16</f>
        <v>24.674740515945114</v>
      </c>
      <c r="C20" s="10">
        <f>'Occ T2'!C16</f>
        <v>25.28536445042619</v>
      </c>
      <c r="D20" s="10">
        <f>'Occ T2'!D16</f>
        <v>26.423145140330963</v>
      </c>
      <c r="E20" s="10">
        <f>'Occ T2'!E16</f>
        <v>31.950231148342091</v>
      </c>
      <c r="F20" s="10">
        <f>'Occ T2'!F16</f>
        <v>36.657574622558613</v>
      </c>
      <c r="H20" s="11">
        <f t="shared" si="10"/>
        <v>0.61062393448107599</v>
      </c>
      <c r="I20" s="30">
        <f t="shared" si="5"/>
        <v>1.1377806899047727</v>
      </c>
      <c r="J20" s="11">
        <f t="shared" si="10"/>
        <v>5.5270860080111284</v>
      </c>
      <c r="K20" s="11">
        <f t="shared" si="10"/>
        <v>4.7073434742165219</v>
      </c>
      <c r="L20" s="30">
        <f t="shared" si="4"/>
        <v>10.23442948222765</v>
      </c>
    </row>
    <row r="21" spans="1:12" x14ac:dyDescent="0.2">
      <c r="A21" s="10" t="str">
        <f>'Occ T2'!A17</f>
        <v>34 Culture, media and sports occupations</v>
      </c>
      <c r="B21" s="10">
        <f>'Occ T2'!B17</f>
        <v>32.171809576694734</v>
      </c>
      <c r="C21" s="10">
        <f>'Occ T2'!C17</f>
        <v>31.492602905030143</v>
      </c>
      <c r="D21" s="10">
        <f>'Occ T2'!D17</f>
        <v>32.531561760617201</v>
      </c>
      <c r="E21" s="10">
        <f>'Occ T2'!E17</f>
        <v>30.025971833268073</v>
      </c>
      <c r="F21" s="10">
        <f>'Occ T2'!F17</f>
        <v>32.44160234152902</v>
      </c>
      <c r="H21" s="11">
        <f t="shared" si="10"/>
        <v>-0.67920667166459125</v>
      </c>
      <c r="I21" s="30">
        <f t="shared" si="5"/>
        <v>1.0389588555870581</v>
      </c>
      <c r="J21" s="11">
        <f t="shared" si="10"/>
        <v>-2.5055899273491278</v>
      </c>
      <c r="K21" s="11">
        <f t="shared" si="10"/>
        <v>2.4156305082609464</v>
      </c>
      <c r="L21" s="30">
        <f t="shared" si="4"/>
        <v>-8.9959419088181392E-2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122.99499019364232</v>
      </c>
      <c r="C22" s="10">
        <f>'Occ T2'!C18</f>
        <v>133.76386601170375</v>
      </c>
      <c r="D22" s="10">
        <f>'Occ T2'!D18</f>
        <v>141.70159177372162</v>
      </c>
      <c r="E22" s="10">
        <f>'Occ T2'!E18</f>
        <v>135.62987732758296</v>
      </c>
      <c r="F22" s="10">
        <f>'Occ T2'!F18</f>
        <v>140.96475258733693</v>
      </c>
      <c r="H22" s="11">
        <f t="shared" ref="H22" si="11">C22-B22</f>
        <v>10.768875818061431</v>
      </c>
      <c r="I22" s="30">
        <f t="shared" si="5"/>
        <v>7.9377257620178625</v>
      </c>
      <c r="J22" s="11">
        <f t="shared" ref="J22" si="12">E22-D22</f>
        <v>-6.0717144461386567</v>
      </c>
      <c r="K22" s="11">
        <f t="shared" ref="K22" si="13">F22-E22</f>
        <v>5.3348752597539715</v>
      </c>
      <c r="L22" s="30">
        <f t="shared" si="4"/>
        <v>-0.73683918638468526</v>
      </c>
    </row>
    <row r="23" spans="1:12" x14ac:dyDescent="0.2">
      <c r="A23" s="10"/>
      <c r="B23" s="31"/>
      <c r="C23" s="31"/>
      <c r="D23" s="31"/>
      <c r="E23" s="31"/>
      <c r="F23" s="31"/>
      <c r="H23" s="11"/>
      <c r="I23" s="30"/>
      <c r="J23" s="11"/>
      <c r="K23" s="11"/>
      <c r="L23" s="30"/>
    </row>
    <row r="24" spans="1:12" s="29" customFormat="1" x14ac:dyDescent="0.2">
      <c r="A24" s="29" t="str">
        <f>'Occ T1'!A11</f>
        <v>Administrative and secretarial occupations</v>
      </c>
      <c r="B24" s="30">
        <f>'Occ T1'!B11</f>
        <v>242.7039493064492</v>
      </c>
      <c r="C24" s="30">
        <f>'Occ T1'!C11</f>
        <v>242.54836775247864</v>
      </c>
      <c r="D24" s="30">
        <f>'Occ T1'!D11</f>
        <v>251.95376092648067</v>
      </c>
      <c r="E24" s="30">
        <f>'Occ T1'!E11</f>
        <v>236.66769336702646</v>
      </c>
      <c r="F24" s="30">
        <f>'Occ T1'!F11</f>
        <v>216.75443729533305</v>
      </c>
      <c r="H24" s="30">
        <f t="shared" ref="H24:K26" si="14">C24-B24</f>
        <v>-0.15558155397056339</v>
      </c>
      <c r="I24" s="30">
        <f t="shared" si="5"/>
        <v>9.4053931740020289</v>
      </c>
      <c r="J24" s="30">
        <f t="shared" si="14"/>
        <v>-15.28606755945421</v>
      </c>
      <c r="K24" s="30">
        <f t="shared" si="14"/>
        <v>-19.913256071693411</v>
      </c>
      <c r="L24" s="30">
        <f t="shared" si="4"/>
        <v>-35.199323631147621</v>
      </c>
    </row>
    <row r="25" spans="1:12" x14ac:dyDescent="0.2">
      <c r="A25" t="str">
        <f>'Occ T2'!A19</f>
        <v>41 Administrative occupations</v>
      </c>
      <c r="B25" s="31">
        <f>'Occ T2'!B19</f>
        <v>195.32738677630536</v>
      </c>
      <c r="C25" s="31">
        <f>'Occ T2'!C19</f>
        <v>196.95581737867408</v>
      </c>
      <c r="D25" s="31">
        <f>'Occ T2'!D19</f>
        <v>206.87406474545989</v>
      </c>
      <c r="E25" s="31">
        <f>'Occ T2'!E19</f>
        <v>189.33593582652153</v>
      </c>
      <c r="F25" s="31">
        <f>'Occ T2'!F19</f>
        <v>179.25383588684116</v>
      </c>
      <c r="H25" s="11">
        <f t="shared" si="14"/>
        <v>1.6284306023687236</v>
      </c>
      <c r="I25" s="30">
        <f t="shared" si="5"/>
        <v>9.9182473667858062</v>
      </c>
      <c r="J25" s="11">
        <f t="shared" si="14"/>
        <v>-17.538128918938355</v>
      </c>
      <c r="K25" s="11">
        <f t="shared" si="14"/>
        <v>-10.082099939680376</v>
      </c>
      <c r="L25" s="30">
        <f t="shared" si="4"/>
        <v>-27.620228858618731</v>
      </c>
    </row>
    <row r="26" spans="1:12" x14ac:dyDescent="0.2">
      <c r="A26" t="str">
        <f>'Occ T2'!A20</f>
        <v>42 Secretarial and related occupations</v>
      </c>
      <c r="B26" s="31">
        <f>'Occ T2'!B20</f>
        <v>47.376562530143858</v>
      </c>
      <c r="C26" s="31">
        <f>'Occ T2'!C20</f>
        <v>45.592550373804556</v>
      </c>
      <c r="D26" s="31">
        <f>'Occ T2'!D20</f>
        <v>45.079696181020772</v>
      </c>
      <c r="E26" s="31">
        <f>'Occ T2'!E20</f>
        <v>47.331757540504917</v>
      </c>
      <c r="F26" s="31">
        <f>'Occ T2'!F20</f>
        <v>37.500601408491903</v>
      </c>
      <c r="H26" s="11">
        <f t="shared" si="14"/>
        <v>-1.7840121563393012</v>
      </c>
      <c r="I26" s="30">
        <f t="shared" si="5"/>
        <v>-0.51285419278378441</v>
      </c>
      <c r="J26" s="11">
        <f t="shared" si="14"/>
        <v>2.252061359484145</v>
      </c>
      <c r="K26" s="11">
        <f t="shared" si="14"/>
        <v>-9.8311561320130139</v>
      </c>
      <c r="L26" s="30">
        <f t="shared" si="4"/>
        <v>-7.5790947725288689</v>
      </c>
    </row>
    <row r="27" spans="1:12" x14ac:dyDescent="0.2">
      <c r="B27" s="31"/>
      <c r="C27" s="31"/>
      <c r="D27" s="31"/>
      <c r="E27" s="31"/>
      <c r="F27" s="31"/>
      <c r="H27" s="11"/>
      <c r="I27" s="30"/>
      <c r="J27" s="11"/>
      <c r="K27" s="11"/>
      <c r="L27" s="30"/>
    </row>
    <row r="28" spans="1:12" s="29" customFormat="1" x14ac:dyDescent="0.2">
      <c r="A28" s="29" t="str">
        <f>'Occ T1'!A12</f>
        <v>Skilled trades occupations</v>
      </c>
      <c r="B28" s="30">
        <f>'Occ T1'!B12</f>
        <v>233.01015943539994</v>
      </c>
      <c r="C28" s="30">
        <f>'Occ T1'!C12</f>
        <v>229.69444665894585</v>
      </c>
      <c r="D28" s="30">
        <f>'Occ T1'!D12</f>
        <v>208.8051550287193</v>
      </c>
      <c r="E28" s="30">
        <f>'Occ T1'!E12</f>
        <v>203.78046369985992</v>
      </c>
      <c r="F28" s="30">
        <f>'Occ T1'!F12</f>
        <v>189.72476518084494</v>
      </c>
      <c r="H28" s="30">
        <f t="shared" ref="H28:K30" si="15">C28-B28</f>
        <v>-3.3157127764540917</v>
      </c>
      <c r="I28" s="30">
        <f t="shared" si="5"/>
        <v>-20.889291630226552</v>
      </c>
      <c r="J28" s="30">
        <f t="shared" si="15"/>
        <v>-5.024691328859376</v>
      </c>
      <c r="K28" s="30">
        <f t="shared" si="15"/>
        <v>-14.055698519014982</v>
      </c>
      <c r="L28" s="30">
        <f t="shared" si="4"/>
        <v>-19.080389847874358</v>
      </c>
    </row>
    <row r="29" spans="1:12" x14ac:dyDescent="0.2">
      <c r="A29" s="10" t="str">
        <f>'Occ T2'!A21</f>
        <v>51 Skilled agricultural and related trades</v>
      </c>
      <c r="B29" s="10">
        <f>'Occ T2'!B21</f>
        <v>27.425453405239896</v>
      </c>
      <c r="C29" s="10">
        <f>'Occ T2'!C21</f>
        <v>28.29610204825973</v>
      </c>
      <c r="D29" s="10">
        <f>'Occ T2'!D21</f>
        <v>34.109425717301711</v>
      </c>
      <c r="E29" s="10">
        <f>'Occ T2'!E21</f>
        <v>32.649710758365593</v>
      </c>
      <c r="F29" s="10">
        <f>'Occ T2'!F21</f>
        <v>33.27556971091218</v>
      </c>
      <c r="H29" s="11">
        <f t="shared" si="15"/>
        <v>0.87064864301983391</v>
      </c>
      <c r="I29" s="30">
        <f t="shared" si="5"/>
        <v>5.8133236690419814</v>
      </c>
      <c r="J29" s="11">
        <f t="shared" si="15"/>
        <v>-1.459714958936118</v>
      </c>
      <c r="K29" s="11">
        <f t="shared" si="15"/>
        <v>0.62585895254658652</v>
      </c>
      <c r="L29" s="30">
        <f t="shared" si="4"/>
        <v>-0.8338560063895315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97.618362867403548</v>
      </c>
      <c r="C30" s="10">
        <f>'Occ T2'!C22</f>
        <v>99.211343361153794</v>
      </c>
      <c r="D30" s="10">
        <f>'Occ T2'!D22</f>
        <v>86.576735172954471</v>
      </c>
      <c r="E30" s="10">
        <f>'Occ T2'!E22</f>
        <v>84.192599870846522</v>
      </c>
      <c r="F30" s="10">
        <f>'Occ T2'!F22</f>
        <v>78.437017532423042</v>
      </c>
      <c r="H30" s="11">
        <f t="shared" si="15"/>
        <v>1.5929804937502468</v>
      </c>
      <c r="I30" s="30">
        <f t="shared" si="5"/>
        <v>-12.634608188199323</v>
      </c>
      <c r="J30" s="11">
        <f t="shared" si="15"/>
        <v>-2.3841353021079499</v>
      </c>
      <c r="K30" s="11">
        <f t="shared" si="15"/>
        <v>-5.7555823384234799</v>
      </c>
      <c r="L30" s="30">
        <f t="shared" si="4"/>
        <v>-8.1397176405314298</v>
      </c>
    </row>
    <row r="31" spans="1:12" x14ac:dyDescent="0.2">
      <c r="A31" s="10" t="str">
        <f>'Occ T2'!A23</f>
        <v>53 Skilled construction and building trades</v>
      </c>
      <c r="B31" s="10">
        <f>'Occ T2'!B23</f>
        <v>62.851513007293811</v>
      </c>
      <c r="C31" s="10">
        <f>'Occ T2'!C23</f>
        <v>62.508631996104207</v>
      </c>
      <c r="D31" s="10">
        <f>'Occ T2'!D23</f>
        <v>49.830413162678838</v>
      </c>
      <c r="E31" s="10">
        <f>'Occ T2'!E23</f>
        <v>50.552266960065431</v>
      </c>
      <c r="F31" s="10">
        <f>'Occ T2'!F23</f>
        <v>44.458264470819856</v>
      </c>
      <c r="H31" s="11">
        <f t="shared" ref="H31:H32" si="16">C31-B31</f>
        <v>-0.34288101118960412</v>
      </c>
      <c r="I31" s="30">
        <f t="shared" si="5"/>
        <v>-12.678218833425369</v>
      </c>
      <c r="J31" s="11">
        <f t="shared" ref="J31:J32" si="17">E31-D31</f>
        <v>0.7218537973865935</v>
      </c>
      <c r="K31" s="11">
        <f t="shared" ref="K31:K32" si="18">F31-E31</f>
        <v>-6.0940024892455753</v>
      </c>
      <c r="L31" s="30">
        <f t="shared" si="4"/>
        <v>-5.3721486918589818</v>
      </c>
    </row>
    <row r="32" spans="1:12" x14ac:dyDescent="0.2">
      <c r="A32" s="10" t="str">
        <f>'Occ T2'!A24</f>
        <v>54 Textiles, printing and other skilled trades</v>
      </c>
      <c r="B32" s="10">
        <f>'Occ T2'!B24</f>
        <v>45.114830155462691</v>
      </c>
      <c r="C32" s="10">
        <f>'Occ T2'!C24</f>
        <v>39.678369253428116</v>
      </c>
      <c r="D32" s="10">
        <f>'Occ T2'!D24</f>
        <v>38.288580975784285</v>
      </c>
      <c r="E32" s="10">
        <f>'Occ T2'!E24</f>
        <v>36.385886110582405</v>
      </c>
      <c r="F32" s="10">
        <f>'Occ T2'!F24</f>
        <v>33.55391346668987</v>
      </c>
      <c r="H32" s="11">
        <f t="shared" si="16"/>
        <v>-5.4364609020345753</v>
      </c>
      <c r="I32" s="30">
        <f t="shared" si="5"/>
        <v>-1.3897882776438308</v>
      </c>
      <c r="J32" s="11">
        <f t="shared" si="17"/>
        <v>-1.9026948652018802</v>
      </c>
      <c r="K32" s="11">
        <f t="shared" si="18"/>
        <v>-2.8319726438925343</v>
      </c>
      <c r="L32" s="30">
        <f t="shared" si="4"/>
        <v>-4.7346675090944146</v>
      </c>
    </row>
    <row r="33" spans="1:12" x14ac:dyDescent="0.2">
      <c r="A33" s="10"/>
      <c r="B33" s="31"/>
      <c r="C33" s="31"/>
      <c r="D33" s="31"/>
      <c r="E33" s="31"/>
      <c r="F33" s="31"/>
      <c r="H33" s="11"/>
      <c r="I33" s="30"/>
      <c r="J33" s="11"/>
      <c r="K33" s="11"/>
      <c r="L33" s="30"/>
    </row>
    <row r="34" spans="1:12" s="29" customFormat="1" x14ac:dyDescent="0.2">
      <c r="A34" s="29" t="str">
        <f>'Occ T1'!A13</f>
        <v>Caring, leisure and other service occupations</v>
      </c>
      <c r="B34" s="30">
        <f>'Occ T1'!B13</f>
        <v>248.90155334327181</v>
      </c>
      <c r="C34" s="30">
        <f>'Occ T1'!C13</f>
        <v>266.0076197428105</v>
      </c>
      <c r="D34" s="30">
        <f>'Occ T1'!D13</f>
        <v>256.70113447063756</v>
      </c>
      <c r="E34" s="30">
        <f>'Occ T1'!E13</f>
        <v>272.49511517294417</v>
      </c>
      <c r="F34" s="30">
        <f>'Occ T1'!F13</f>
        <v>292.00776633195545</v>
      </c>
      <c r="H34" s="30">
        <f t="shared" ref="H34:K36" si="19">C34-B34</f>
        <v>17.10606639953869</v>
      </c>
      <c r="I34" s="30">
        <f t="shared" si="5"/>
        <v>-9.3064852721729494</v>
      </c>
      <c r="J34" s="30">
        <f t="shared" si="19"/>
        <v>15.793980702306612</v>
      </c>
      <c r="K34" s="30">
        <f t="shared" si="19"/>
        <v>19.512651159011284</v>
      </c>
      <c r="L34" s="30">
        <f t="shared" si="4"/>
        <v>35.306631861317896</v>
      </c>
    </row>
    <row r="35" spans="1:12" x14ac:dyDescent="0.2">
      <c r="A35" s="10" t="str">
        <f>'Occ T2'!A25</f>
        <v>61 Caring personal service occupations</v>
      </c>
      <c r="B35" s="10">
        <f>'Occ T2'!B25</f>
        <v>197.12063317402581</v>
      </c>
      <c r="C35" s="10">
        <f>'Occ T2'!C25</f>
        <v>202.10183802163635</v>
      </c>
      <c r="D35" s="10">
        <f>'Occ T2'!D25</f>
        <v>195.15909339215122</v>
      </c>
      <c r="E35" s="10">
        <f>'Occ T2'!E25</f>
        <v>211.46434592725529</v>
      </c>
      <c r="F35" s="10">
        <f>'Occ T2'!F25</f>
        <v>229.27082671852793</v>
      </c>
      <c r="G35" s="10"/>
      <c r="H35" s="11">
        <f t="shared" si="19"/>
        <v>4.9812048476105417</v>
      </c>
      <c r="I35" s="30">
        <f t="shared" si="5"/>
        <v>-6.9427446294851336</v>
      </c>
      <c r="J35" s="11">
        <f t="shared" si="19"/>
        <v>16.305252535104074</v>
      </c>
      <c r="K35" s="11">
        <f t="shared" si="19"/>
        <v>17.806480791272634</v>
      </c>
      <c r="L35" s="30">
        <f t="shared" si="4"/>
        <v>34.111733326376708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49.385317241689229</v>
      </c>
      <c r="C36" s="10">
        <f>'Occ T2'!C26</f>
        <v>61.937701893020744</v>
      </c>
      <c r="D36" s="10">
        <f>'Occ T2'!D26</f>
        <v>58.98916926833904</v>
      </c>
      <c r="E36" s="10">
        <f>'Occ T2'!E26</f>
        <v>58.928533381600666</v>
      </c>
      <c r="F36" s="10">
        <f>'Occ T2'!F26</f>
        <v>60.404116039923224</v>
      </c>
      <c r="G36" s="10"/>
      <c r="H36" s="11">
        <f t="shared" si="19"/>
        <v>12.552384651331515</v>
      </c>
      <c r="I36" s="30">
        <f t="shared" si="5"/>
        <v>-2.9485326246817039</v>
      </c>
      <c r="J36" s="11">
        <f t="shared" si="19"/>
        <v>-6.0635886738374722E-2</v>
      </c>
      <c r="K36" s="11">
        <f t="shared" si="19"/>
        <v>1.4755826583225584</v>
      </c>
      <c r="L36" s="30">
        <f t="shared" si="4"/>
        <v>1.4149467715841837</v>
      </c>
    </row>
    <row r="37" spans="1:12" x14ac:dyDescent="0.2">
      <c r="A37" s="10" t="str">
        <f>'Occ T2'!A27</f>
        <v>63 Community and civil enforcement occupations</v>
      </c>
      <c r="B37" s="10">
        <f>'Occ T2'!B27</f>
        <v>2.3956029275567663</v>
      </c>
      <c r="C37" s="10">
        <f>'Occ T2'!C27</f>
        <v>1.9680798281533916</v>
      </c>
      <c r="D37" s="10">
        <f>'Occ T2'!D27</f>
        <v>2.5528718101472609</v>
      </c>
      <c r="E37" s="10">
        <f>'Occ T2'!E27</f>
        <v>2.1022358640882035</v>
      </c>
      <c r="F37" s="10">
        <f>'Occ T2'!F27</f>
        <v>2.3328235735043159</v>
      </c>
      <c r="G37" s="10"/>
      <c r="H37" s="11">
        <f t="shared" ref="H37" si="20">C37-B37</f>
        <v>-0.42752309940337474</v>
      </c>
      <c r="I37" s="30">
        <f t="shared" ref="I37" si="21">D37-C37</f>
        <v>0.58479198199386939</v>
      </c>
      <c r="J37" s="11">
        <f t="shared" ref="J37" si="22">E37-D37</f>
        <v>-0.45063594605905744</v>
      </c>
      <c r="K37" s="11">
        <f>F37-E37</f>
        <v>0.2305877094161124</v>
      </c>
      <c r="L37" s="30">
        <f t="shared" ref="L37" si="23">F37-D37</f>
        <v>-0.22004823664294504</v>
      </c>
    </row>
    <row r="38" spans="1:12" x14ac:dyDescent="0.2">
      <c r="I38" s="30"/>
      <c r="L38" s="30"/>
    </row>
    <row r="39" spans="1:12" s="29" customFormat="1" x14ac:dyDescent="0.2">
      <c r="A39" s="29" t="str">
        <f>'Occ T1'!A14</f>
        <v>Sales and customer service occupations</v>
      </c>
      <c r="B39" s="30">
        <f>'Occ T1'!B14</f>
        <v>209.5783298065233</v>
      </c>
      <c r="C39" s="30">
        <f>'Occ T1'!C14</f>
        <v>202.74392844688504</v>
      </c>
      <c r="D39" s="30">
        <f>'Occ T1'!D14</f>
        <v>198.18210564551759</v>
      </c>
      <c r="E39" s="30">
        <f>'Occ T1'!E14</f>
        <v>198.25611745835891</v>
      </c>
      <c r="F39" s="30">
        <f>'Occ T1'!F14</f>
        <v>197.03104084334427</v>
      </c>
      <c r="H39" s="30">
        <f>C39-B39</f>
        <v>-6.8344013596382638</v>
      </c>
      <c r="I39" s="30">
        <f t="shared" si="5"/>
        <v>-4.5618228013674411</v>
      </c>
      <c r="J39" s="30">
        <f>E39-D39</f>
        <v>7.4011812841320079E-2</v>
      </c>
      <c r="K39" s="30">
        <f>F39-E39</f>
        <v>-1.2250766150146433</v>
      </c>
      <c r="L39" s="30">
        <f t="shared" si="4"/>
        <v>-1.1510648021733232</v>
      </c>
    </row>
    <row r="40" spans="1:12" s="29" customFormat="1" x14ac:dyDescent="0.2">
      <c r="A40" s="125" t="str">
        <f>'Occ T2'!A28</f>
        <v>71 Sales occupations</v>
      </c>
      <c r="B40" s="125">
        <f>'Occ T2'!B28</f>
        <v>173.30397212646142</v>
      </c>
      <c r="C40" s="125">
        <f>'Occ T2'!C28</f>
        <v>163.81103916015377</v>
      </c>
      <c r="D40" s="125">
        <f>'Occ T2'!D28</f>
        <v>158.17137533328778</v>
      </c>
      <c r="E40" s="125">
        <f>'Occ T2'!E28</f>
        <v>147.19149086294414</v>
      </c>
      <c r="F40" s="125">
        <f>'Occ T2'!F28</f>
        <v>139.15870740517505</v>
      </c>
      <c r="G40"/>
      <c r="H40" s="11">
        <f t="shared" ref="H40" si="24">C40-B40</f>
        <v>-9.4929329663076487</v>
      </c>
      <c r="I40" s="30">
        <f t="shared" si="5"/>
        <v>-5.6396638268659842</v>
      </c>
      <c r="J40" s="11">
        <f t="shared" ref="J40" si="25">E40-D40</f>
        <v>-10.979884470343649</v>
      </c>
      <c r="K40" s="11">
        <f t="shared" ref="K40" si="26">F40-E40</f>
        <v>-8.0327834577690851</v>
      </c>
      <c r="L40" s="30">
        <f t="shared" si="4"/>
        <v>-19.012667928112734</v>
      </c>
    </row>
    <row r="41" spans="1:12" s="29" customFormat="1" x14ac:dyDescent="0.2">
      <c r="A41" s="125" t="str">
        <f>'Occ T2'!A29</f>
        <v>72 Customer service occupations</v>
      </c>
      <c r="B41" s="125">
        <f>'Occ T2'!B29</f>
        <v>36.274357680061875</v>
      </c>
      <c r="C41" s="125">
        <f>'Occ T2'!C29</f>
        <v>38.932889286731253</v>
      </c>
      <c r="D41" s="125">
        <f>'Occ T2'!D29</f>
        <v>40.010730312229803</v>
      </c>
      <c r="E41" s="125">
        <f>'Occ T2'!E29</f>
        <v>51.064626595414765</v>
      </c>
      <c r="F41" s="125">
        <f>'Occ T2'!F29</f>
        <v>57.872333438169207</v>
      </c>
      <c r="G41"/>
      <c r="H41" s="11">
        <f t="shared" ref="H41" si="27">C41-B41</f>
        <v>2.6585316066693778</v>
      </c>
      <c r="I41" s="30">
        <f t="shared" si="5"/>
        <v>1.0778410254985502</v>
      </c>
      <c r="J41" s="11">
        <f t="shared" ref="J41" si="28">E41-D41</f>
        <v>11.053896283184962</v>
      </c>
      <c r="K41" s="11">
        <f t="shared" ref="K41" si="29">F41-E41</f>
        <v>6.8077068427544418</v>
      </c>
      <c r="L41" s="30">
        <f t="shared" si="4"/>
        <v>17.861603125939403</v>
      </c>
    </row>
    <row r="42" spans="1:12" x14ac:dyDescent="0.2">
      <c r="B42" s="31"/>
      <c r="C42" s="31"/>
      <c r="D42" s="31"/>
      <c r="E42" s="31"/>
      <c r="F42" s="31"/>
      <c r="H42" s="11"/>
      <c r="I42" s="30"/>
      <c r="J42" s="11"/>
      <c r="K42" s="11"/>
      <c r="L42" s="30"/>
    </row>
    <row r="43" spans="1:12" s="29" customFormat="1" x14ac:dyDescent="0.2">
      <c r="A43" s="29" t="str">
        <f>'Occ T1'!A15</f>
        <v>Process, plant and machine operatives</v>
      </c>
      <c r="B43" s="30">
        <f>'Occ T1'!B15</f>
        <v>189.28743948869192</v>
      </c>
      <c r="C43" s="30">
        <f>'Occ T1'!C15</f>
        <v>200.07980909128071</v>
      </c>
      <c r="D43" s="30">
        <f>'Occ T1'!D15</f>
        <v>188.14770130626522</v>
      </c>
      <c r="E43" s="30">
        <f>'Occ T1'!E15</f>
        <v>209.72785783508925</v>
      </c>
      <c r="F43" s="30">
        <f>'Occ T1'!F15</f>
        <v>206.19030032586417</v>
      </c>
      <c r="H43" s="30">
        <f t="shared" ref="H43:K45" si="30">C43-B43</f>
        <v>10.792369602588792</v>
      </c>
      <c r="I43" s="30">
        <f t="shared" si="5"/>
        <v>-11.932107785015489</v>
      </c>
      <c r="J43" s="30">
        <f t="shared" si="30"/>
        <v>21.580156528824034</v>
      </c>
      <c r="K43" s="30">
        <f t="shared" si="30"/>
        <v>-3.5375575092250813</v>
      </c>
      <c r="L43" s="30">
        <f t="shared" si="4"/>
        <v>18.042599019598953</v>
      </c>
    </row>
    <row r="44" spans="1:12" x14ac:dyDescent="0.2">
      <c r="A44" s="10" t="str">
        <f>'Occ T2'!A30</f>
        <v>81 Process, plant and machine operatives</v>
      </c>
      <c r="B44" s="10">
        <f>'Occ T2'!B30</f>
        <v>96.336507305577143</v>
      </c>
      <c r="C44" s="10">
        <f>'Occ T2'!C30</f>
        <v>95.330232078847629</v>
      </c>
      <c r="D44" s="10">
        <f>'Occ T2'!D30</f>
        <v>82.980962009601029</v>
      </c>
      <c r="E44" s="10">
        <f>'Occ T2'!E30</f>
        <v>100.06163022108568</v>
      </c>
      <c r="F44" s="10">
        <f>'Occ T2'!F30</f>
        <v>98.631893755663725</v>
      </c>
      <c r="H44" s="11">
        <f t="shared" si="30"/>
        <v>-1.0062752267295139</v>
      </c>
      <c r="I44" s="30">
        <f t="shared" si="5"/>
        <v>-12.3492700692466</v>
      </c>
      <c r="J44" s="11">
        <f t="shared" si="30"/>
        <v>17.08066821148465</v>
      </c>
      <c r="K44" s="11">
        <f t="shared" si="30"/>
        <v>-1.4297364654219535</v>
      </c>
      <c r="L44" s="30">
        <f t="shared" si="4"/>
        <v>15.650931746062696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92.950932183114759</v>
      </c>
      <c r="C45" s="10">
        <f>'Occ T2'!C31</f>
        <v>104.74957701243308</v>
      </c>
      <c r="D45" s="10">
        <f>'Occ T2'!D31</f>
        <v>105.1667392966642</v>
      </c>
      <c r="E45" s="10">
        <f>'Occ T2'!E31</f>
        <v>109.66622761400357</v>
      </c>
      <c r="F45" s="10">
        <f>'Occ T2'!F31</f>
        <v>107.55840657020045</v>
      </c>
      <c r="H45" s="11">
        <f t="shared" si="30"/>
        <v>11.79864482931832</v>
      </c>
      <c r="I45" s="30">
        <f t="shared" si="5"/>
        <v>0.41716228423112511</v>
      </c>
      <c r="J45" s="11">
        <f t="shared" si="30"/>
        <v>4.4994883173393703</v>
      </c>
      <c r="K45" s="11">
        <f t="shared" si="30"/>
        <v>-2.1078210438031277</v>
      </c>
      <c r="L45" s="30">
        <f t="shared" si="4"/>
        <v>2.3916672735362425</v>
      </c>
    </row>
    <row r="46" spans="1:12" x14ac:dyDescent="0.2">
      <c r="B46" s="31"/>
      <c r="C46" s="31"/>
      <c r="D46" s="31"/>
      <c r="E46" s="31"/>
      <c r="F46" s="31"/>
      <c r="H46" s="11"/>
      <c r="I46" s="30"/>
      <c r="J46" s="11"/>
      <c r="K46" s="11"/>
      <c r="L46" s="30"/>
    </row>
    <row r="47" spans="1:12" s="29" customFormat="1" x14ac:dyDescent="0.2">
      <c r="A47" s="29" t="str">
        <f>'Occ T1'!A16</f>
        <v>Elementary occupations</v>
      </c>
      <c r="B47" s="30">
        <f>'Occ T1'!B16</f>
        <v>282.03448262605309</v>
      </c>
      <c r="C47" s="30">
        <f>'Occ T1'!C16</f>
        <v>268.92537386524066</v>
      </c>
      <c r="D47" s="30">
        <f>'Occ T1'!D16</f>
        <v>249.991780568786</v>
      </c>
      <c r="E47" s="30">
        <f>'Occ T1'!E16</f>
        <v>242.85975347981034</v>
      </c>
      <c r="F47" s="30">
        <f>'Occ T1'!F16</f>
        <v>226.94112388341784</v>
      </c>
      <c r="H47" s="30">
        <f t="shared" ref="H47:K49" si="31">C47-B47</f>
        <v>-13.109108760812433</v>
      </c>
      <c r="I47" s="30">
        <f t="shared" si="5"/>
        <v>-18.93359329645466</v>
      </c>
      <c r="J47" s="30">
        <f t="shared" si="31"/>
        <v>-7.1320270889756614</v>
      </c>
      <c r="K47" s="30">
        <f t="shared" si="31"/>
        <v>-15.918629596392492</v>
      </c>
      <c r="L47" s="30">
        <f t="shared" si="4"/>
        <v>-23.050656685368153</v>
      </c>
    </row>
    <row r="48" spans="1:12" x14ac:dyDescent="0.2">
      <c r="A48" s="10" t="str">
        <f>'Occ T2'!A32</f>
        <v>91 Elementary trades and related occupations</v>
      </c>
      <c r="B48" s="10">
        <f>'Occ T2'!B32</f>
        <v>52.251811311873347</v>
      </c>
      <c r="C48" s="10">
        <f>'Occ T2'!C32</f>
        <v>48.014879756415723</v>
      </c>
      <c r="D48" s="10">
        <f>'Occ T2'!D32</f>
        <v>44.433630888629324</v>
      </c>
      <c r="E48" s="10">
        <f>'Occ T2'!E32</f>
        <v>37.359177856192218</v>
      </c>
      <c r="F48" s="10">
        <f>'Occ T2'!F32</f>
        <v>34.841715927373706</v>
      </c>
      <c r="H48" s="11">
        <f>C48-B48</f>
        <v>-4.2369315554576232</v>
      </c>
      <c r="I48" s="30">
        <f t="shared" si="5"/>
        <v>-3.5812488677863996</v>
      </c>
      <c r="J48" s="11">
        <f t="shared" si="31"/>
        <v>-7.0744530324371055</v>
      </c>
      <c r="K48" s="11">
        <f t="shared" si="31"/>
        <v>-2.5174619288185127</v>
      </c>
      <c r="L48" s="30">
        <f t="shared" si="4"/>
        <v>-9.5919149612556183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229.78267131417977</v>
      </c>
      <c r="C49" s="10">
        <f>'Occ T2'!C33</f>
        <v>220.91049410882496</v>
      </c>
      <c r="D49" s="10">
        <f>'Occ T2'!D33</f>
        <v>205.55814968015667</v>
      </c>
      <c r="E49" s="10">
        <f>'Occ T2'!E33</f>
        <v>205.50057562361812</v>
      </c>
      <c r="F49" s="10">
        <f>'Occ T2'!F33</f>
        <v>192.09940795604413</v>
      </c>
      <c r="H49" s="11">
        <f t="shared" si="31"/>
        <v>-8.8721772053548023</v>
      </c>
      <c r="I49" s="30">
        <f t="shared" si="5"/>
        <v>-15.352344428668289</v>
      </c>
      <c r="J49" s="11">
        <f t="shared" si="31"/>
        <v>-5.7574056538555851E-2</v>
      </c>
      <c r="K49" s="11">
        <f t="shared" si="31"/>
        <v>-13.401167667573986</v>
      </c>
      <c r="L49" s="30">
        <f t="shared" si="4"/>
        <v>-13.458741724112542</v>
      </c>
    </row>
    <row r="50" spans="1:12" x14ac:dyDescent="0.2">
      <c r="B50" s="31"/>
      <c r="C50" s="31"/>
      <c r="D50" s="31"/>
      <c r="E50" s="31"/>
      <c r="F50" s="31"/>
      <c r="H50" s="11"/>
      <c r="I50" s="30"/>
      <c r="J50" s="11"/>
      <c r="K50" s="11"/>
      <c r="L50" s="30"/>
    </row>
    <row r="51" spans="1:12" x14ac:dyDescent="0.2">
      <c r="A51" s="38" t="str">
        <f>'Occ T1'!A18</f>
        <v>All occupations</v>
      </c>
      <c r="B51" s="33">
        <f>'Occ T1'!B18</f>
        <v>2274.4909999992283</v>
      </c>
      <c r="C51" s="33">
        <f>'Occ T1'!C18</f>
        <v>2405.3839999988058</v>
      </c>
      <c r="D51" s="33">
        <f>'Occ T1'!D18</f>
        <v>2404.2379999983373</v>
      </c>
      <c r="E51" s="33">
        <f>'Occ T1'!E18</f>
        <v>2442.8000000046995</v>
      </c>
      <c r="F51" s="33">
        <f>'Occ T1'!F18</f>
        <v>2510.6939999992715</v>
      </c>
      <c r="G51" s="23"/>
      <c r="H51" s="33">
        <f>C51-B51</f>
        <v>130.89299999957757</v>
      </c>
      <c r="I51" s="205">
        <f>D51-C51</f>
        <v>-1.1460000004685753</v>
      </c>
      <c r="J51" s="33">
        <f>E51-D51</f>
        <v>38.562000006362268</v>
      </c>
      <c r="K51" s="33">
        <f>F51-E51</f>
        <v>67.893999994571914</v>
      </c>
      <c r="L51" s="205">
        <f>F51-D51</f>
        <v>106.45600000093418</v>
      </c>
    </row>
    <row r="53" spans="1:12" ht="15.75" x14ac:dyDescent="0.25">
      <c r="A53" s="18" t="str">
        <f>CONCATENATE(A1," (Continued)")</f>
        <v>Occupation Table 3  Employment Change by Occupation in Occupation Group (SOC 2020), 2015-2035, East Midlands (Continued)</v>
      </c>
    </row>
    <row r="55" spans="1:12" x14ac:dyDescent="0.2">
      <c r="L55" s="15" t="s">
        <v>21</v>
      </c>
    </row>
    <row r="56" spans="1:12" x14ac:dyDescent="0.2">
      <c r="A56" s="35"/>
      <c r="B56" s="27" t="s">
        <v>14</v>
      </c>
      <c r="C56" s="27"/>
      <c r="D56" s="27"/>
      <c r="E56" s="27"/>
      <c r="F56" s="27"/>
      <c r="G56" s="27"/>
      <c r="H56" s="27" t="s">
        <v>463</v>
      </c>
      <c r="I56" s="27"/>
      <c r="J56" s="27"/>
      <c r="K56" s="27"/>
      <c r="L56" s="27"/>
    </row>
    <row r="57" spans="1:12" x14ac:dyDescent="0.2">
      <c r="A57" s="23"/>
      <c r="B57" s="36" t="str">
        <f>H5</f>
        <v>2015-2019</v>
      </c>
      <c r="C57" s="36" t="str">
        <f>I5</f>
        <v>2019-2020</v>
      </c>
      <c r="D57" s="36" t="str">
        <f>J5</f>
        <v>2020-2025</v>
      </c>
      <c r="E57" s="36" t="str">
        <f>K5</f>
        <v>2025-2035</v>
      </c>
      <c r="F57" s="36" t="str">
        <f>L5</f>
        <v>2020-2035</v>
      </c>
      <c r="G57" s="1"/>
      <c r="H57" s="41">
        <f>B5</f>
        <v>2015</v>
      </c>
      <c r="I57" s="41">
        <f>C5</f>
        <v>2019</v>
      </c>
      <c r="J57" s="41">
        <f>D5</f>
        <v>2020</v>
      </c>
      <c r="K57" s="41">
        <f>E5</f>
        <v>2025</v>
      </c>
      <c r="L57" s="41">
        <f>F5</f>
        <v>2035</v>
      </c>
    </row>
    <row r="59" spans="1:12" s="29" customFormat="1" x14ac:dyDescent="0.2">
      <c r="A59" s="29" t="str">
        <f>A7</f>
        <v>Managers, directors and senior officials</v>
      </c>
      <c r="B59" s="43">
        <f>IF(AND(C$5-B$5 &lt;&gt; 0,C7 &lt;&gt; 0,B7 &lt;&gt; 0),(EXP(LN(C7/B7)/(C$5-B$5))-1)*100,0)</f>
        <v>4.2353289656532622</v>
      </c>
      <c r="C59" s="43">
        <f>IF(AND(D$5-C$5 &lt;&gt; 0,D7 &lt;&gt; 0,C7 &lt;&gt; 0),(EXP(LN(D7/C7)/(D$5-C$5))-1)*100,0)</f>
        <v>4.0552523657374939</v>
      </c>
      <c r="D59" s="43">
        <f>IF(AND(E$5-D$5 &lt;&gt; 0,E7 &lt;&gt; 0,D7 &lt;&gt; 0),(EXP(LN(E7/D7)/(E$5-D$5))-1)*100,0)</f>
        <v>0.38194627881038556</v>
      </c>
      <c r="E59" s="43">
        <f>IF(AND(F$5-E$5 &lt;&gt; 0,F7 &lt;&gt; 0,E7 &lt;&gt; 0),(EXP(LN(F7/E7)/(F$5-E$5))-1)*100,0)</f>
        <v>1.0621631982902002</v>
      </c>
      <c r="F59" s="43">
        <f>IF(AND(F$5-D$5 &lt;&gt; 0,F7 &lt;&gt; 0,D7 &lt;&gt; 0),(EXP(LN(F7/D7)/(F$5-D$5))-1)*100,0)</f>
        <v>0.83491361200913605</v>
      </c>
      <c r="H59" s="43">
        <f>(B7/B$51)*100</f>
        <v>9.3632793674217751</v>
      </c>
      <c r="I59" s="43">
        <f>(C7/C$51)*100</f>
        <v>10.451714830859139</v>
      </c>
      <c r="J59" s="43">
        <f>(D7/D$51)*100</f>
        <v>10.880742168913464</v>
      </c>
      <c r="K59" s="43">
        <f>(E7/E$51)*100</f>
        <v>10.915059923755782</v>
      </c>
      <c r="L59" s="43">
        <f>(F7/F$51)*100</f>
        <v>11.80337350418937</v>
      </c>
    </row>
    <row r="60" spans="1:12" s="29" customFormat="1" x14ac:dyDescent="0.2">
      <c r="A60" s="29" t="str">
        <f>A8</f>
        <v>11 Corporate managers and directors</v>
      </c>
      <c r="B60" s="43">
        <f t="shared" ref="B60:E60" si="32">IF(AND(C$5-B$5 &lt;&gt; 0,C8 &lt;&gt; 0,B8 &lt;&gt; 0),(EXP(LN(C8/B8)/(C$5-B$5))-1)*100,0)</f>
        <v>4.9401205383735824</v>
      </c>
      <c r="C60" s="43">
        <f t="shared" si="32"/>
        <v>4.0460591448000516</v>
      </c>
      <c r="D60" s="43">
        <f t="shared" si="32"/>
        <v>-1.5381105124158023</v>
      </c>
      <c r="E60" s="43">
        <f t="shared" si="32"/>
        <v>0.86940342108186019</v>
      </c>
      <c r="F60" s="43">
        <f>IF(AND(F$5-D$5 &lt;&gt; 0,F8 &lt;&gt; 0,D8 &lt;&gt; 0),(EXP(LN(F8/D8)/(F$5-D$5))-1)*100,0)</f>
        <v>6.0428117746491594E-2</v>
      </c>
      <c r="H60" s="43">
        <f t="shared" ref="H60:L60" si="33">(B8/B$51)*100</f>
        <v>6.3160529569150219</v>
      </c>
      <c r="I60" s="43">
        <f t="shared" si="33"/>
        <v>7.2428885476590628</v>
      </c>
      <c r="J60" s="43">
        <f t="shared" si="33"/>
        <v>7.5395321704953915</v>
      </c>
      <c r="K60" s="43">
        <f t="shared" si="33"/>
        <v>6.8671221512811282</v>
      </c>
      <c r="L60" s="43">
        <f t="shared" si="33"/>
        <v>7.2855680968112821</v>
      </c>
    </row>
    <row r="61" spans="1:12" s="29" customFormat="1" x14ac:dyDescent="0.2">
      <c r="A61" s="29" t="str">
        <f>A9</f>
        <v>12 Other managers and proprietors</v>
      </c>
      <c r="B61" s="43">
        <f t="shared" ref="B61:E61" si="34">IF(AND(C$5-B$5 &lt;&gt; 0,C9 &lt;&gt; 0,B9 &lt;&gt; 0),(EXP(LN(C9/B9)/(C$5-B$5))-1)*100,0)</f>
        <v>2.7271925619354098</v>
      </c>
      <c r="C61" s="43">
        <f>IF(AND(D$5-C$5 &lt;&gt; 0,D9 &lt;&gt; 0,C9 &lt;&gt; 0),(EXP(LN(D9/C9)/(D$5-C$5))-1)*100,0)</f>
        <v>4.0760030916314527</v>
      </c>
      <c r="D61" s="43">
        <f t="shared" si="34"/>
        <v>4.2432881543622791</v>
      </c>
      <c r="E61" s="43">
        <f t="shared" si="34"/>
        <v>1.3817904186542718</v>
      </c>
      <c r="F61" s="43">
        <f>IF(AND(F$5-D$5 &lt;&gt; 0,F9 &lt;&gt; 0,D9 &lt;&gt; 0),(EXP(LN(F9/D9)/(F$5-D$5))-1)*100,0)</f>
        <v>2.3267871551273966</v>
      </c>
      <c r="H61" s="43">
        <f t="shared" ref="H61:L61" si="35">(B9/B$51)*100</f>
        <v>3.0472264105067537</v>
      </c>
      <c r="I61" s="43">
        <f t="shared" si="35"/>
        <v>3.2088262832000773</v>
      </c>
      <c r="J61" s="43">
        <f t="shared" si="35"/>
        <v>3.3412099984180745</v>
      </c>
      <c r="K61" s="43">
        <f t="shared" si="35"/>
        <v>4.0479377724746541</v>
      </c>
      <c r="L61" s="43">
        <f t="shared" si="35"/>
        <v>4.5178054073780869</v>
      </c>
    </row>
    <row r="62" spans="1:12" x14ac:dyDescent="0.2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x14ac:dyDescent="0.2">
      <c r="A63" s="29" t="str">
        <f>A11</f>
        <v>Professional occupations</v>
      </c>
      <c r="B63" s="43">
        <f t="shared" ref="B63:E67" si="36">IF(AND(C$5-B$5 &lt;&gt; 0,C11 &lt;&gt; 0,B11 &lt;&gt; 0),(EXP(LN(C11/B11)/(C$5-B$5))-1)*100,0)</f>
        <v>3.8070308141573417</v>
      </c>
      <c r="C63" s="43">
        <f t="shared" si="36"/>
        <v>6.273356812148112</v>
      </c>
      <c r="D63" s="43">
        <f t="shared" si="36"/>
        <v>1.2772901945105497</v>
      </c>
      <c r="E63" s="43">
        <f t="shared" si="36"/>
        <v>0.97722852675612426</v>
      </c>
      <c r="F63" s="43">
        <f>IF(AND(F$5-D$5 &lt;&gt; 0,F11 &lt;&gt; 0,D11 &lt;&gt; 0),(EXP(LN(F11/D11)/(F$5-D$5))-1)*100,0)</f>
        <v>1.0771501729611943</v>
      </c>
      <c r="H63" s="43">
        <f>(B11/B$51)*100</f>
        <v>17.653246370500774</v>
      </c>
      <c r="I63" s="43">
        <f>(C11/C$51)*100</f>
        <v>19.3834671990777</v>
      </c>
      <c r="J63" s="43">
        <f>(D11/D$51)*100</f>
        <v>20.609280163248414</v>
      </c>
      <c r="K63" s="43">
        <f>(E11/E$51)*100</f>
        <v>21.612884492067433</v>
      </c>
      <c r="L63" s="43">
        <f>(F11/F$51)*100</f>
        <v>23.176151735790416</v>
      </c>
    </row>
    <row r="64" spans="1:12" x14ac:dyDescent="0.2">
      <c r="A64" t="str">
        <f>A12</f>
        <v>21 Science, research, engineering and technology professionals</v>
      </c>
      <c r="B64" s="48">
        <f t="shared" si="36"/>
        <v>4.2031215648683062</v>
      </c>
      <c r="C64" s="43">
        <f t="shared" si="36"/>
        <v>4.8973466117150366</v>
      </c>
      <c r="D64" s="48">
        <f t="shared" si="36"/>
        <v>1.0671396388005849</v>
      </c>
      <c r="E64" s="48">
        <f t="shared" si="36"/>
        <v>1.0937048444684017</v>
      </c>
      <c r="F64" s="43">
        <f>IF(AND(F$5-D$5 &lt;&gt; 0,F12 &lt;&gt; 0,D12 &lt;&gt; 0),(EXP(LN(F12/D12)/(F$5-D$5))-1)*100,0)</f>
        <v>1.0848490001600153</v>
      </c>
      <c r="H64" s="39">
        <f t="shared" ref="H64:L67" si="37">(B12/B$11)*100</f>
        <v>29.431427407814436</v>
      </c>
      <c r="I64" s="39">
        <f t="shared" si="37"/>
        <v>29.88320441675971</v>
      </c>
      <c r="J64" s="39">
        <f t="shared" si="37"/>
        <v>29.496281529099615</v>
      </c>
      <c r="K64" s="39">
        <f t="shared" si="37"/>
        <v>29.191524717126377</v>
      </c>
      <c r="L64" s="39">
        <f t="shared" si="37"/>
        <v>29.529999519421622</v>
      </c>
    </row>
    <row r="65" spans="1:12" x14ac:dyDescent="0.2">
      <c r="A65" t="str">
        <f>A13</f>
        <v>22 Health professionals</v>
      </c>
      <c r="B65" s="48">
        <f t="shared" si="36"/>
        <v>3.5781238249942504</v>
      </c>
      <c r="C65" s="43">
        <f t="shared" si="36"/>
        <v>-9.1580059910911782E-2</v>
      </c>
      <c r="D65" s="48">
        <f t="shared" si="36"/>
        <v>1.4846912731679041</v>
      </c>
      <c r="E65" s="48">
        <f t="shared" si="36"/>
        <v>0.86926992778104673</v>
      </c>
      <c r="F65" s="43">
        <f>IF(AND(F$5-D$5 &lt;&gt; 0,F13 &lt;&gt; 0,D13 &lt;&gt; 0),(EXP(LN(F13/D13)/(F$5-D$5))-1)*100,0)</f>
        <v>1.0739945851860222</v>
      </c>
      <c r="H65" s="39">
        <f t="shared" si="37"/>
        <v>21.154904587887728</v>
      </c>
      <c r="I65" s="39">
        <f t="shared" si="37"/>
        <v>20.968924445669444</v>
      </c>
      <c r="J65" s="39">
        <f t="shared" si="37"/>
        <v>19.713051060512527</v>
      </c>
      <c r="K65" s="39">
        <f t="shared" si="37"/>
        <v>19.915726690257532</v>
      </c>
      <c r="L65" s="39">
        <f t="shared" si="37"/>
        <v>19.703821575368284</v>
      </c>
    </row>
    <row r="66" spans="1:12" x14ac:dyDescent="0.2">
      <c r="A66" t="str">
        <f>A14</f>
        <v>23 Teaching and other educational professionals</v>
      </c>
      <c r="B66" s="48">
        <f t="shared" si="36"/>
        <v>2.1013237143422625</v>
      </c>
      <c r="C66" s="43">
        <f t="shared" si="36"/>
        <v>4.2532498901908022</v>
      </c>
      <c r="D66" s="48">
        <f t="shared" si="36"/>
        <v>-0.12570305793832004</v>
      </c>
      <c r="E66" s="48">
        <f t="shared" si="36"/>
        <v>0.41006546473691952</v>
      </c>
      <c r="F66" s="43">
        <f>IF(AND(F$5-D$5 &lt;&gt; 0,F14 &lt;&gt; 0,D14 &lt;&gt; 0),(EXP(LN(F14/D14)/(F$5-D$5))-1)*100,0)</f>
        <v>0.2311573726335725</v>
      </c>
      <c r="H66" s="39">
        <f t="shared" si="37"/>
        <v>20.507181124847186</v>
      </c>
      <c r="I66" s="39">
        <f t="shared" si="37"/>
        <v>19.192183230665108</v>
      </c>
      <c r="J66" s="39">
        <f t="shared" si="37"/>
        <v>18.827366842487297</v>
      </c>
      <c r="K66" s="39">
        <f t="shared" si="37"/>
        <v>17.558923910572403</v>
      </c>
      <c r="L66" s="39">
        <f t="shared" si="37"/>
        <v>16.597242238697991</v>
      </c>
    </row>
    <row r="67" spans="1:12" x14ac:dyDescent="0.2">
      <c r="A67" t="str">
        <f>A15</f>
        <v>24 Business, media and public service professionals</v>
      </c>
      <c r="B67" s="48">
        <f t="shared" si="36"/>
        <v>4.7364296269085893</v>
      </c>
      <c r="C67" s="43">
        <f t="shared" si="36"/>
        <v>13.395734950334749</v>
      </c>
      <c r="D67" s="48">
        <f t="shared" si="36"/>
        <v>2.1312808120383719</v>
      </c>
      <c r="E67" s="48">
        <f t="shared" si="36"/>
        <v>1.2273990889697828</v>
      </c>
      <c r="F67" s="43">
        <f>IF(AND(F$5-D$5 &lt;&gt; 0,F15 &lt;&gt; 0,D15 &lt;&gt; 0),(EXP(LN(F15/D15)/(F$5-D$5))-1)*100,0)</f>
        <v>1.5278006457507542</v>
      </c>
      <c r="H67" s="39">
        <f t="shared" si="37"/>
        <v>28.90648687945065</v>
      </c>
      <c r="I67" s="39">
        <f t="shared" si="37"/>
        <v>29.955687906905748</v>
      </c>
      <c r="J67" s="39">
        <f t="shared" si="37"/>
        <v>31.963300567900554</v>
      </c>
      <c r="K67" s="39">
        <f t="shared" si="37"/>
        <v>33.333824682043698</v>
      </c>
      <c r="L67" s="39">
        <f t="shared" si="37"/>
        <v>34.16893666651211</v>
      </c>
    </row>
    <row r="68" spans="1:12" x14ac:dyDescent="0.2">
      <c r="B68" s="39"/>
      <c r="C68" s="43"/>
      <c r="D68" s="39"/>
      <c r="E68" s="39"/>
      <c r="F68" s="43"/>
      <c r="H68" s="39"/>
      <c r="I68" s="39"/>
      <c r="J68" s="39"/>
      <c r="K68" s="39"/>
      <c r="L68" s="39"/>
    </row>
    <row r="69" spans="1:12" s="29" customFormat="1" x14ac:dyDescent="0.2">
      <c r="A69" s="29" t="str">
        <f t="shared" ref="A69:A74" si="38">A17</f>
        <v>Associate professional occupations</v>
      </c>
      <c r="B69" s="43">
        <f t="shared" ref="B69:E74" si="39">IF(AND(C$5-B$5 &lt;&gt; 0,C17 &lt;&gt; 0,B17 &lt;&gt; 0),(EXP(LN(C17/B17)/(C$5-B$5))-1)*100,0)</f>
        <v>2.2094194486671936</v>
      </c>
      <c r="C69" s="43">
        <f t="shared" si="39"/>
        <v>5.6267986428632843</v>
      </c>
      <c r="D69" s="43">
        <f t="shared" si="39"/>
        <v>-0.61711902362656668</v>
      </c>
      <c r="E69" s="43">
        <f t="shared" si="39"/>
        <v>0.66186087444228825</v>
      </c>
      <c r="F69" s="43">
        <f t="shared" ref="F69:F74" si="40">IF(AND(F$5-D$5 &lt;&gt; 0,F17 &lt;&gt; 0,D17 &lt;&gt; 0),(EXP(LN(F17/D17)/(F$5-D$5))-1)*100,0)</f>
        <v>0.23371579413067334</v>
      </c>
      <c r="H69" s="43">
        <f>(B17/B$51)*100</f>
        <v>11.188729239702502</v>
      </c>
      <c r="I69" s="43">
        <f>(C17/C$51)*100</f>
        <v>11.546337695880682</v>
      </c>
      <c r="J69" s="43">
        <f>(D17/D$51)*100</f>
        <v>12.201840206100032</v>
      </c>
      <c r="K69" s="43">
        <f>(E17/E$51)*100</f>
        <v>11.643211593245665</v>
      </c>
      <c r="L69" s="43">
        <f>(F17/F$51)*100</f>
        <v>12.100866322626201</v>
      </c>
    </row>
    <row r="70" spans="1:12" x14ac:dyDescent="0.2">
      <c r="A70" t="str">
        <f t="shared" si="38"/>
        <v>31 Science, engineering and technology associate professionals</v>
      </c>
      <c r="B70" s="48">
        <f t="shared" si="39"/>
        <v>4.5844367183293544</v>
      </c>
      <c r="C70" s="43">
        <f t="shared" si="39"/>
        <v>10.793256812821973</v>
      </c>
      <c r="D70" s="48">
        <f t="shared" si="39"/>
        <v>-2.8032577175948314</v>
      </c>
      <c r="E70" s="48">
        <f t="shared" si="39"/>
        <v>0.6235545017582389</v>
      </c>
      <c r="F70" s="43">
        <f t="shared" si="40"/>
        <v>-0.53193425260152916</v>
      </c>
      <c r="H70" s="39">
        <f t="shared" ref="H70:L74" si="41">(B18/B$17)*100</f>
        <v>14.495416215905641</v>
      </c>
      <c r="I70" s="39">
        <f t="shared" si="41"/>
        <v>15.8904154108785</v>
      </c>
      <c r="J70" s="39">
        <f t="shared" si="41"/>
        <v>16.667653456321403</v>
      </c>
      <c r="K70" s="39">
        <f t="shared" si="41"/>
        <v>14.913346087039217</v>
      </c>
      <c r="L70" s="39">
        <f t="shared" si="41"/>
        <v>14.856691173565363</v>
      </c>
    </row>
    <row r="71" spans="1:12" x14ac:dyDescent="0.2">
      <c r="A71" t="str">
        <f t="shared" si="38"/>
        <v>32 Health and social care associate professionals</v>
      </c>
      <c r="B71" s="48">
        <f t="shared" si="39"/>
        <v>3.3400347078089698</v>
      </c>
      <c r="C71" s="43">
        <f t="shared" si="39"/>
        <v>1.7410135028305351</v>
      </c>
      <c r="D71" s="48">
        <f t="shared" si="39"/>
        <v>0.26753462675352946</v>
      </c>
      <c r="E71" s="48">
        <f t="shared" si="39"/>
        <v>0.91153977757556515</v>
      </c>
      <c r="F71" s="43">
        <f t="shared" si="40"/>
        <v>0.69641310546697532</v>
      </c>
      <c r="H71" s="39">
        <f t="shared" si="41"/>
        <v>14.83622155131606</v>
      </c>
      <c r="I71" s="39">
        <f t="shared" si="41"/>
        <v>15.503652888660332</v>
      </c>
      <c r="J71" s="39">
        <f t="shared" si="41"/>
        <v>14.933306491865009</v>
      </c>
      <c r="K71" s="39">
        <f t="shared" si="41"/>
        <v>15.609886702652032</v>
      </c>
      <c r="L71" s="39">
        <f t="shared" si="41"/>
        <v>16.001420350497117</v>
      </c>
    </row>
    <row r="72" spans="1:12" x14ac:dyDescent="0.2">
      <c r="A72" t="str">
        <f t="shared" si="38"/>
        <v>33 Protective service occupations</v>
      </c>
      <c r="B72" s="48">
        <f t="shared" si="39"/>
        <v>0.61301325607556745</v>
      </c>
      <c r="C72" s="43">
        <f t="shared" si="39"/>
        <v>4.4997598991917798</v>
      </c>
      <c r="D72" s="48">
        <f t="shared" si="39"/>
        <v>3.8718576962764262</v>
      </c>
      <c r="E72" s="48">
        <f t="shared" si="39"/>
        <v>1.3838950486823709</v>
      </c>
      <c r="F72" s="43">
        <f t="shared" si="40"/>
        <v>2.206523081509415</v>
      </c>
      <c r="H72" s="39">
        <f t="shared" si="41"/>
        <v>9.6958883804312421</v>
      </c>
      <c r="I72" s="39">
        <f t="shared" si="41"/>
        <v>9.1041739016151837</v>
      </c>
      <c r="J72" s="39">
        <f t="shared" si="41"/>
        <v>9.0070322969459351</v>
      </c>
      <c r="K72" s="39">
        <f t="shared" si="41"/>
        <v>11.233453790164821</v>
      </c>
      <c r="L72" s="39">
        <f t="shared" si="41"/>
        <v>12.065726570781065</v>
      </c>
    </row>
    <row r="73" spans="1:12" x14ac:dyDescent="0.2">
      <c r="A73" t="str">
        <f t="shared" si="38"/>
        <v>34 Culture, media and sports occupations</v>
      </c>
      <c r="B73" s="48">
        <f t="shared" si="39"/>
        <v>-0.53202720210792087</v>
      </c>
      <c r="C73" s="43">
        <f t="shared" si="39"/>
        <v>3.2990567934958248</v>
      </c>
      <c r="D73" s="48">
        <f t="shared" si="39"/>
        <v>-1.5901812492311596</v>
      </c>
      <c r="E73" s="48">
        <f t="shared" si="39"/>
        <v>0.77679035401441165</v>
      </c>
      <c r="F73" s="43">
        <f t="shared" si="40"/>
        <v>-1.8459143798976729E-2</v>
      </c>
      <c r="H73" s="39">
        <f t="shared" si="41"/>
        <v>12.641846200998359</v>
      </c>
      <c r="I73" s="39">
        <f t="shared" si="41"/>
        <v>11.339133909816884</v>
      </c>
      <c r="J73" s="39">
        <f t="shared" si="41"/>
        <v>11.089248682993851</v>
      </c>
      <c r="K73" s="39">
        <f t="shared" si="41"/>
        <v>10.556899120002447</v>
      </c>
      <c r="L73" s="39">
        <f t="shared" si="41"/>
        <v>10.678052418940391</v>
      </c>
    </row>
    <row r="74" spans="1:12" x14ac:dyDescent="0.2">
      <c r="A74" t="str">
        <f t="shared" si="38"/>
        <v>35 Business and public service associate professionals</v>
      </c>
      <c r="B74" s="48">
        <f t="shared" si="39"/>
        <v>2.1204800051458417</v>
      </c>
      <c r="C74" s="43">
        <f t="shared" si="39"/>
        <v>5.93413303509287</v>
      </c>
      <c r="D74" s="48">
        <f t="shared" si="39"/>
        <v>-0.87204928960566974</v>
      </c>
      <c r="E74" s="48">
        <f t="shared" si="39"/>
        <v>0.38654709326575443</v>
      </c>
      <c r="F74" s="43">
        <f t="shared" si="40"/>
        <v>-3.475064431593955E-2</v>
      </c>
      <c r="H74" s="39">
        <f t="shared" si="41"/>
        <v>48.330627651348706</v>
      </c>
      <c r="I74" s="39">
        <f t="shared" si="41"/>
        <v>48.162623889029106</v>
      </c>
      <c r="J74" s="39">
        <f t="shared" si="41"/>
        <v>48.302759071873787</v>
      </c>
      <c r="K74" s="39">
        <f t="shared" si="41"/>
        <v>47.686414300141493</v>
      </c>
      <c r="L74" s="39">
        <f t="shared" si="41"/>
        <v>46.398109486216065</v>
      </c>
    </row>
    <row r="75" spans="1:12" x14ac:dyDescent="0.2">
      <c r="A75" s="29"/>
      <c r="B75" s="39"/>
      <c r="C75" s="43"/>
      <c r="D75" s="39"/>
      <c r="E75" s="39"/>
      <c r="F75" s="43"/>
      <c r="H75" s="39"/>
      <c r="I75" s="39"/>
      <c r="J75" s="39"/>
      <c r="K75" s="39"/>
      <c r="L75" s="39"/>
    </row>
    <row r="76" spans="1:12" s="29" customFormat="1" x14ac:dyDescent="0.2">
      <c r="A76" s="29" t="str">
        <f>A24</f>
        <v>Administrative and secretarial occupations</v>
      </c>
      <c r="B76" s="43">
        <f t="shared" ref="B76:E78" si="42">IF(AND(C$5-B$5 &lt;&gt; 0,C24 &lt;&gt; 0,B24 &lt;&gt; 0),(EXP(LN(C24/B24)/(C$5-B$5))-1)*100,0)</f>
        <v>-1.6029711127829582E-2</v>
      </c>
      <c r="C76" s="43">
        <f t="shared" si="42"/>
        <v>3.877739215957221</v>
      </c>
      <c r="D76" s="43">
        <f t="shared" si="42"/>
        <v>-1.2439691874348568</v>
      </c>
      <c r="E76" s="43">
        <f t="shared" si="42"/>
        <v>-0.87506811665138962</v>
      </c>
      <c r="F76" s="43">
        <f>IF(AND(F$5-D$5 &lt;&gt; 0,F24 &lt;&gt; 0,D24 &lt;&gt; 0),(EXP(LN(F24/D24)/(F$5-D$5))-1)*100,0)</f>
        <v>-0.99818800017190679</v>
      </c>
      <c r="H76" s="43">
        <f>(B24/B$51)*100</f>
        <v>10.670692884980927</v>
      </c>
      <c r="I76" s="43">
        <f>(C24/C$51)*100</f>
        <v>10.083561200731319</v>
      </c>
      <c r="J76" s="43">
        <f>(D24/D$51)*100</f>
        <v>10.479568201095519</v>
      </c>
      <c r="K76" s="43">
        <f>(E24/E$51)*100</f>
        <v>9.688377819165348</v>
      </c>
      <c r="L76" s="43">
        <f>(F24/F$51)*100</f>
        <v>8.6332479105536546</v>
      </c>
    </row>
    <row r="77" spans="1:12" x14ac:dyDescent="0.2">
      <c r="A77" t="str">
        <f>A25</f>
        <v>41 Administrative occupations</v>
      </c>
      <c r="B77" s="48">
        <f t="shared" si="42"/>
        <v>0.20777477820912438</v>
      </c>
      <c r="C77" s="43">
        <f t="shared" si="42"/>
        <v>5.035772742734812</v>
      </c>
      <c r="D77" s="48">
        <f t="shared" si="42"/>
        <v>-1.7561438429268494</v>
      </c>
      <c r="E77" s="48">
        <f t="shared" si="42"/>
        <v>-0.54570555426233236</v>
      </c>
      <c r="F77" s="43">
        <f>IF(AND(F$5-D$5 &lt;&gt; 0,F25 &lt;&gt; 0,D25 &lt;&gt; 0),(EXP(LN(F25/D25)/(F$5-D$5))-1)*100,0)</f>
        <v>-0.95083303144160025</v>
      </c>
      <c r="H77" s="39">
        <f t="shared" ref="H77:L78" si="43">(B25/B$24)*100</f>
        <v>80.479690311786385</v>
      </c>
      <c r="I77" s="39">
        <f t="shared" si="43"/>
        <v>81.202697508840018</v>
      </c>
      <c r="J77" s="39">
        <f t="shared" si="43"/>
        <v>82.107948690563546</v>
      </c>
      <c r="K77" s="39">
        <f t="shared" si="43"/>
        <v>80.000752588101491</v>
      </c>
      <c r="L77" s="39">
        <f t="shared" si="43"/>
        <v>82.699038655713224</v>
      </c>
    </row>
    <row r="78" spans="1:12" x14ac:dyDescent="0.2">
      <c r="A78" t="str">
        <f>A26</f>
        <v>42 Secretarial and related occupations</v>
      </c>
      <c r="B78" s="48">
        <f t="shared" si="42"/>
        <v>-0.95499346681502395</v>
      </c>
      <c r="C78" s="43">
        <f t="shared" si="42"/>
        <v>-1.1248640152371148</v>
      </c>
      <c r="D78" s="48">
        <f t="shared" si="42"/>
        <v>0.97975906544858216</v>
      </c>
      <c r="E78" s="48">
        <f t="shared" si="42"/>
        <v>-2.3013505679146617</v>
      </c>
      <c r="F78" s="43">
        <f>IF(AND(F$5-D$5 &lt;&gt; 0,F26 &lt;&gt; 0,D26 &lt;&gt; 0),(EXP(LN(F26/D26)/(F$5-D$5))-1)*100,0)</f>
        <v>-1.2196675458392203</v>
      </c>
      <c r="H78" s="39">
        <f t="shared" si="43"/>
        <v>19.520309688213612</v>
      </c>
      <c r="I78" s="39">
        <f t="shared" si="43"/>
        <v>18.797302491159986</v>
      </c>
      <c r="J78" s="39">
        <f t="shared" si="43"/>
        <v>17.892051309436454</v>
      </c>
      <c r="K78" s="39">
        <f t="shared" si="43"/>
        <v>19.999247411898498</v>
      </c>
      <c r="L78" s="39">
        <f t="shared" si="43"/>
        <v>17.300961344286783</v>
      </c>
    </row>
    <row r="79" spans="1:12" x14ac:dyDescent="0.2">
      <c r="B79" s="39"/>
      <c r="C79" s="43"/>
      <c r="D79" s="39"/>
      <c r="E79" s="39"/>
      <c r="F79" s="43"/>
      <c r="H79" s="39"/>
      <c r="I79" s="39"/>
      <c r="J79" s="39"/>
      <c r="K79" s="39"/>
      <c r="L79" s="39"/>
    </row>
    <row r="80" spans="1:12" s="29" customFormat="1" x14ac:dyDescent="0.2">
      <c r="A80" s="29" t="str">
        <f>A28</f>
        <v>Skilled trades occupations</v>
      </c>
      <c r="B80" s="43">
        <f t="shared" ref="B80:E84" si="44">IF(AND(C$5-B$5 &lt;&gt; 0,C28 &lt;&gt; 0,B28 &lt;&gt; 0),(EXP(LN(C28/B28)/(C$5-B$5))-1)*100,0)</f>
        <v>-0.35766192142807629</v>
      </c>
      <c r="C80" s="43">
        <f t="shared" si="44"/>
        <v>-9.0943825303897441</v>
      </c>
      <c r="D80" s="43">
        <f t="shared" si="44"/>
        <v>-0.48598104225680006</v>
      </c>
      <c r="E80" s="43">
        <f t="shared" si="44"/>
        <v>-0.71214056013283455</v>
      </c>
      <c r="F80" s="43">
        <f>IF(AND(F$5-D$5 &lt;&gt; 0,F28 &lt;&gt; 0,D28 &lt;&gt; 0),(EXP(LN(F28/D28)/(F$5-D$5))-1)*100,0)</f>
        <v>-0.6368112207248644</v>
      </c>
      <c r="H80" s="43">
        <f>(B28/B$51)*100</f>
        <v>10.244496875805575</v>
      </c>
      <c r="I80" s="43">
        <f>(C28/C$51)*100</f>
        <v>9.5491799504386776</v>
      </c>
      <c r="J80" s="43">
        <f>(D28/D$51)*100</f>
        <v>8.6848787444863493</v>
      </c>
      <c r="K80" s="43">
        <f>(E28/E$51)*100</f>
        <v>8.3420854633808705</v>
      </c>
      <c r="L80" s="43">
        <f>(F28/F$51)*100</f>
        <v>7.5566662118481984</v>
      </c>
    </row>
    <row r="81" spans="1:12" x14ac:dyDescent="0.2">
      <c r="A81" t="str">
        <f>A29</f>
        <v>51 Skilled agricultural and related trades</v>
      </c>
      <c r="B81" s="48">
        <f t="shared" si="44"/>
        <v>0.78437320911877162</v>
      </c>
      <c r="C81" s="43">
        <f t="shared" si="44"/>
        <v>20.544609498252477</v>
      </c>
      <c r="D81" s="48">
        <f t="shared" si="44"/>
        <v>-0.87094041304652814</v>
      </c>
      <c r="E81" s="48">
        <f t="shared" si="44"/>
        <v>0.19005526247277693</v>
      </c>
      <c r="F81" s="43">
        <f>IF(AND(F$5-D$5 &lt;&gt; 0,F29 &lt;&gt; 0,D29 &lt;&gt; 0),(EXP(LN(F29/D29)/(F$5-D$5))-1)*100,0)</f>
        <v>-0.16486577793266566</v>
      </c>
      <c r="H81" s="39">
        <f t="shared" ref="H81:L84" si="45">(B29/B$28)*100</f>
        <v>11.770067653570859</v>
      </c>
      <c r="I81" s="39">
        <f t="shared" si="45"/>
        <v>12.319018792071301</v>
      </c>
      <c r="J81" s="39">
        <f t="shared" si="45"/>
        <v>16.335528551778459</v>
      </c>
      <c r="K81" s="39">
        <f t="shared" si="45"/>
        <v>16.022002387065935</v>
      </c>
      <c r="L81" s="39">
        <f t="shared" si="45"/>
        <v>17.538864617486301</v>
      </c>
    </row>
    <row r="82" spans="1:12" x14ac:dyDescent="0.2">
      <c r="A82" t="str">
        <f>A30</f>
        <v>52 Skilled metal, electrical and electronic trades</v>
      </c>
      <c r="B82" s="48">
        <f t="shared" si="44"/>
        <v>0.40548829559166055</v>
      </c>
      <c r="C82" s="43">
        <f t="shared" si="44"/>
        <v>-12.735043957832758</v>
      </c>
      <c r="D82" s="48">
        <f t="shared" si="44"/>
        <v>-0.55692544105915287</v>
      </c>
      <c r="E82" s="48">
        <f t="shared" si="44"/>
        <v>-0.70560932011610733</v>
      </c>
      <c r="F82" s="43">
        <f>IF(AND(F$5-D$5 &lt;&gt; 0,F30 &lt;&gt; 0,D30 &lt;&gt; 0),(EXP(LN(F30/D30)/(F$5-D$5))-1)*100,0)</f>
        <v>-0.65607274430817819</v>
      </c>
      <c r="H82" s="39">
        <f t="shared" si="45"/>
        <v>41.894466363157612</v>
      </c>
      <c r="I82" s="39">
        <f t="shared" si="45"/>
        <v>43.19274793285031</v>
      </c>
      <c r="J82" s="39">
        <f t="shared" si="45"/>
        <v>41.462929955463316</v>
      </c>
      <c r="K82" s="39">
        <f t="shared" si="45"/>
        <v>41.315344141551478</v>
      </c>
      <c r="L82" s="39">
        <f t="shared" si="45"/>
        <v>41.342529773410007</v>
      </c>
    </row>
    <row r="83" spans="1:12" x14ac:dyDescent="0.2">
      <c r="A83" t="str">
        <f>A31</f>
        <v>53 Skilled construction and building trades</v>
      </c>
      <c r="B83" s="48">
        <f t="shared" si="44"/>
        <v>-0.136665250605017</v>
      </c>
      <c r="C83" s="43">
        <f t="shared" si="44"/>
        <v>-20.282348898973712</v>
      </c>
      <c r="D83" s="48">
        <f t="shared" si="44"/>
        <v>0.28805983036706007</v>
      </c>
      <c r="E83" s="48">
        <f t="shared" si="44"/>
        <v>-1.2763538083555126</v>
      </c>
      <c r="F83" s="43">
        <f>IF(AND(F$5-D$5 &lt;&gt; 0,F31 &lt;&gt; 0,D31 &lt;&gt; 0),(EXP(LN(F31/D31)/(F$5-D$5))-1)*100,0)</f>
        <v>-0.75761307864201655</v>
      </c>
      <c r="H83" s="39">
        <f t="shared" si="45"/>
        <v>26.973722158547702</v>
      </c>
      <c r="I83" s="39">
        <f t="shared" si="45"/>
        <v>27.213819448111458</v>
      </c>
      <c r="J83" s="39">
        <f t="shared" si="45"/>
        <v>23.864551215617787</v>
      </c>
      <c r="K83" s="39">
        <f t="shared" si="45"/>
        <v>24.807219515665562</v>
      </c>
      <c r="L83" s="39">
        <f t="shared" si="45"/>
        <v>23.433031754416671</v>
      </c>
    </row>
    <row r="84" spans="1:12" x14ac:dyDescent="0.2">
      <c r="A84" t="str">
        <f>A32</f>
        <v>54 Textiles, printing and other skilled trades</v>
      </c>
      <c r="B84" s="48">
        <f t="shared" si="44"/>
        <v>-3.1591434690725673</v>
      </c>
      <c r="C84" s="43">
        <f t="shared" si="44"/>
        <v>-3.5026345683895732</v>
      </c>
      <c r="D84" s="48">
        <f t="shared" si="44"/>
        <v>-1.0142365698378564</v>
      </c>
      <c r="E84" s="48">
        <f t="shared" si="44"/>
        <v>-0.80700065254875053</v>
      </c>
      <c r="F84" s="43">
        <f>IF(AND(F$5-D$5 &lt;&gt; 0,F32 &lt;&gt; 0,D32 &lt;&gt; 0),(EXP(LN(F32/D32)/(F$5-D$5))-1)*100,0)</f>
        <v>-0.8761274543655162</v>
      </c>
      <c r="H84" s="39">
        <f t="shared" si="45"/>
        <v>19.361743824723828</v>
      </c>
      <c r="I84" s="39">
        <f t="shared" si="45"/>
        <v>17.274413826966928</v>
      </c>
      <c r="J84" s="39">
        <f t="shared" si="45"/>
        <v>18.33699027714044</v>
      </c>
      <c r="K84" s="39">
        <f t="shared" si="45"/>
        <v>17.855433955717029</v>
      </c>
      <c r="L84" s="39">
        <f t="shared" si="45"/>
        <v>17.685573854687028</v>
      </c>
    </row>
    <row r="85" spans="1:12" x14ac:dyDescent="0.2">
      <c r="A85" s="29"/>
      <c r="B85" s="39"/>
      <c r="C85" s="43"/>
      <c r="D85" s="39"/>
      <c r="E85" s="39"/>
      <c r="F85" s="43"/>
      <c r="H85" s="39"/>
      <c r="I85" s="39"/>
      <c r="J85" s="39"/>
      <c r="K85" s="39"/>
      <c r="L85" s="39"/>
    </row>
    <row r="86" spans="1:12" s="29" customFormat="1" x14ac:dyDescent="0.2">
      <c r="A86" s="29" t="str">
        <f>A34</f>
        <v>Caring, leisure and other service occupations</v>
      </c>
      <c r="B86" s="43">
        <f t="shared" ref="B86:E89" si="46">IF(AND(C$5-B$5 &lt;&gt; 0,C34 &lt;&gt; 0,B34 &lt;&gt; 0),(EXP(LN(C34/B34)/(C$5-B$5))-1)*100,0)</f>
        <v>1.6755704139437499</v>
      </c>
      <c r="C86" s="43">
        <f t="shared" si="46"/>
        <v>-3.4985784546964993</v>
      </c>
      <c r="D86" s="43">
        <f t="shared" si="46"/>
        <v>1.2013222136895818</v>
      </c>
      <c r="E86" s="43">
        <f t="shared" si="46"/>
        <v>0.69399416531410463</v>
      </c>
      <c r="F86" s="43">
        <f>IF(AND(F$5-D$5 &lt;&gt; 0,F34 &lt;&gt; 0,D34 &lt;&gt; 0),(EXP(LN(F34/D34)/(F$5-D$5))-1)*100,0)</f>
        <v>0.86282029835396123</v>
      </c>
      <c r="H86" s="43">
        <f>(B34/B$51)*100</f>
        <v>10.943176004800909</v>
      </c>
      <c r="I86" s="43">
        <f>(C34/C$51)*100</f>
        <v>11.058842153391831</v>
      </c>
      <c r="J86" s="43">
        <f>(D34/D$51)*100</f>
        <v>10.677026753208921</v>
      </c>
      <c r="K86" s="43">
        <f>(E34/E$51)*100</f>
        <v>11.155031732946616</v>
      </c>
      <c r="L86" s="43">
        <f>(F34/F$51)*100</f>
        <v>11.630559770806007</v>
      </c>
    </row>
    <row r="87" spans="1:12" x14ac:dyDescent="0.2">
      <c r="A87" t="str">
        <f>A35</f>
        <v>61 Caring personal service occupations</v>
      </c>
      <c r="B87" s="48">
        <f t="shared" si="46"/>
        <v>0.62584594574723873</v>
      </c>
      <c r="C87" s="43">
        <f t="shared" si="46"/>
        <v>-3.4352704049835814</v>
      </c>
      <c r="D87" s="48">
        <f t="shared" si="46"/>
        <v>1.6177728541188152</v>
      </c>
      <c r="E87" s="48">
        <f t="shared" si="46"/>
        <v>0.8117524592151204</v>
      </c>
      <c r="F87" s="43">
        <f>IF(AND(F$5-D$5 &lt;&gt; 0,F35 &lt;&gt; 0,D35 &lt;&gt; 0),(EXP(LN(F35/D35)/(F$5-D$5))-1)*100,0)</f>
        <v>1.0797130460473703</v>
      </c>
      <c r="H87" s="39">
        <f t="shared" ref="H87:L89" si="47">(B35/B$34)*100</f>
        <v>79.196224582081058</v>
      </c>
      <c r="I87" s="39">
        <f t="shared" si="47"/>
        <v>75.975958213918275</v>
      </c>
      <c r="J87" s="39">
        <f t="shared" si="47"/>
        <v>76.025800896674355</v>
      </c>
      <c r="K87" s="39">
        <f t="shared" si="47"/>
        <v>77.602985944553708</v>
      </c>
      <c r="L87" s="39">
        <f t="shared" si="47"/>
        <v>78.515318136399173</v>
      </c>
    </row>
    <row r="88" spans="1:12" x14ac:dyDescent="0.2">
      <c r="A88" t="str">
        <f>A36</f>
        <v>62 Leisure, travel and related personal service occupations</v>
      </c>
      <c r="B88" s="48">
        <f t="shared" si="46"/>
        <v>5.8252516481200445</v>
      </c>
      <c r="C88" s="43">
        <f t="shared" si="46"/>
        <v>-4.7604811521332007</v>
      </c>
      <c r="D88" s="48">
        <f t="shared" si="46"/>
        <v>-2.0566769902885529E-2</v>
      </c>
      <c r="E88" s="48">
        <f t="shared" si="46"/>
        <v>0.24762446320119036</v>
      </c>
      <c r="F88" s="43">
        <f>IF(AND(F$5-D$5 &lt;&gt; 0,F36 &lt;&gt; 0,D36 &lt;&gt; 0),(EXP(LN(F36/D36)/(F$5-D$5))-1)*100,0)</f>
        <v>0.15814754583474144</v>
      </c>
      <c r="H88" s="39">
        <f t="shared" si="47"/>
        <v>19.841305358821774</v>
      </c>
      <c r="I88" s="39">
        <f t="shared" si="47"/>
        <v>23.284183345163274</v>
      </c>
      <c r="J88" s="39">
        <f t="shared" si="47"/>
        <v>22.979707273201182</v>
      </c>
      <c r="K88" s="39">
        <f t="shared" si="47"/>
        <v>21.625537523562784</v>
      </c>
      <c r="L88" s="39">
        <f t="shared" si="47"/>
        <v>20.685790929017831</v>
      </c>
    </row>
    <row r="89" spans="1:12" x14ac:dyDescent="0.2">
      <c r="A89" t="str">
        <f>A37</f>
        <v>63 Community and civil enforcement occupations</v>
      </c>
      <c r="B89" s="48">
        <f t="shared" si="46"/>
        <v>-4.795611317042292</v>
      </c>
      <c r="C89" s="43">
        <f t="shared" si="46"/>
        <v>29.713834450636469</v>
      </c>
      <c r="D89" s="48">
        <f t="shared" si="46"/>
        <v>-3.8098755473066959</v>
      </c>
      <c r="E89" s="48">
        <f t="shared" si="46"/>
        <v>1.0462138676861299</v>
      </c>
      <c r="F89" s="43">
        <f>IF(AND(F$5-D$5 &lt;&gt; 0,F37 &lt;&gt; 0,D37 &lt;&gt; 0),(EXP(LN(F37/D37)/(F$5-D$5))-1)*100,0)</f>
        <v>-0.59912840817828439</v>
      </c>
      <c r="H89" s="39">
        <f t="shared" si="47"/>
        <v>0.96247005909717154</v>
      </c>
      <c r="I89" s="39">
        <f t="shared" si="47"/>
        <v>0.739858440918433</v>
      </c>
      <c r="J89" s="39">
        <f t="shared" si="47"/>
        <v>0.99449183012444686</v>
      </c>
      <c r="K89" s="39">
        <f t="shared" si="47"/>
        <v>0.77147653188350918</v>
      </c>
      <c r="L89" s="39">
        <f t="shared" si="47"/>
        <v>0.79889093458300497</v>
      </c>
    </row>
    <row r="90" spans="1:12" x14ac:dyDescent="0.2">
      <c r="B90" s="39"/>
      <c r="C90" s="43"/>
      <c r="D90" s="39"/>
      <c r="E90" s="39"/>
      <c r="F90" s="43"/>
      <c r="H90" s="39"/>
      <c r="I90" s="39"/>
      <c r="J90" s="39"/>
      <c r="K90" s="39"/>
      <c r="L90" s="39"/>
    </row>
    <row r="91" spans="1:12" s="29" customFormat="1" x14ac:dyDescent="0.2">
      <c r="A91" s="29" t="str">
        <f>A39</f>
        <v>Sales and customer service occupations</v>
      </c>
      <c r="B91" s="43">
        <f t="shared" ref="B91:E93" si="48">IF(AND(C$5-B$5 &lt;&gt; 0,C39 &lt;&gt; 0,B39 &lt;&gt; 0),(EXP(LN(C39/B39)/(C$5-B$5))-1)*100,0)</f>
        <v>-0.8254198536059576</v>
      </c>
      <c r="C91" s="43">
        <f t="shared" si="48"/>
        <v>-2.2500416344465535</v>
      </c>
      <c r="D91" s="43">
        <f t="shared" si="48"/>
        <v>7.4679557053869416E-3</v>
      </c>
      <c r="E91" s="43">
        <f t="shared" si="48"/>
        <v>-6.1965126418794814E-2</v>
      </c>
      <c r="F91" s="43">
        <f t="shared" ref="F91:F103" si="49">IF(AND(F$5-D$5 &lt;&gt; 0,F39 &lt;&gt; 0,D39 &lt;&gt; 0),(EXP(LN(F39/D39)/(F$5-D$5))-1)*100,0)</f>
        <v>-3.8826123578483696E-2</v>
      </c>
      <c r="H91" s="43">
        <f>(B39/B$51)*100</f>
        <v>9.2142958493392317</v>
      </c>
      <c r="I91" s="43">
        <f>(C39/C$51)*100</f>
        <v>8.4287551778421115</v>
      </c>
      <c r="J91" s="43">
        <f>(D39/D$51)*100</f>
        <v>8.2430319147128799</v>
      </c>
      <c r="K91" s="43">
        <f>(E39/E$51)*100</f>
        <v>8.1159373447673779</v>
      </c>
      <c r="L91" s="43">
        <f>(F39/F$51)*100</f>
        <v>7.8476724301488527</v>
      </c>
    </row>
    <row r="92" spans="1:12" s="29" customFormat="1" x14ac:dyDescent="0.2">
      <c r="A92" s="10" t="str">
        <f>A40</f>
        <v>71 Sales occupations</v>
      </c>
      <c r="B92" s="48">
        <f t="shared" si="48"/>
        <v>-1.3984681428058865</v>
      </c>
      <c r="C92" s="43">
        <f t="shared" si="48"/>
        <v>-3.4427861857052489</v>
      </c>
      <c r="D92" s="48">
        <f t="shared" si="48"/>
        <v>-1.4285914183853388</v>
      </c>
      <c r="E92" s="48">
        <f t="shared" si="48"/>
        <v>-0.55962161457568937</v>
      </c>
      <c r="F92" s="43">
        <f t="shared" si="49"/>
        <v>-0.85012606715892947</v>
      </c>
      <c r="G92"/>
      <c r="H92" s="39">
        <f t="shared" ref="H92:L93" si="50">(B40/B$34)*100</f>
        <v>69.627517304984337</v>
      </c>
      <c r="I92" s="39">
        <f t="shared" si="50"/>
        <v>61.581333391327099</v>
      </c>
      <c r="J92" s="39">
        <f t="shared" si="50"/>
        <v>61.616936621439052</v>
      </c>
      <c r="K92" s="39">
        <f t="shared" si="50"/>
        <v>54.016194297474385</v>
      </c>
      <c r="L92" s="39">
        <f t="shared" si="50"/>
        <v>47.655824073863485</v>
      </c>
    </row>
    <row r="93" spans="1:12" s="29" customFormat="1" x14ac:dyDescent="0.2">
      <c r="A93" t="str">
        <f>A41</f>
        <v>72 Customer service occupations</v>
      </c>
      <c r="B93" s="48">
        <f t="shared" si="48"/>
        <v>1.7839324482899155</v>
      </c>
      <c r="C93" s="43">
        <f t="shared" si="48"/>
        <v>2.7684588666423204</v>
      </c>
      <c r="D93" s="48">
        <f t="shared" si="48"/>
        <v>4.9998639594062366</v>
      </c>
      <c r="E93" s="48">
        <f t="shared" si="48"/>
        <v>1.2593378897705065</v>
      </c>
      <c r="F93" s="43">
        <f t="shared" si="49"/>
        <v>2.4911346256979661</v>
      </c>
      <c r="G93"/>
      <c r="H93" s="39">
        <f t="shared" si="50"/>
        <v>14.573777139122232</v>
      </c>
      <c r="I93" s="39">
        <f t="shared" si="50"/>
        <v>14.636005286004034</v>
      </c>
      <c r="J93" s="39">
        <f t="shared" si="50"/>
        <v>15.586503111775841</v>
      </c>
      <c r="K93" s="39">
        <f t="shared" si="50"/>
        <v>18.739648438470404</v>
      </c>
      <c r="L93" s="39">
        <f t="shared" si="50"/>
        <v>19.818765153108885</v>
      </c>
    </row>
    <row r="94" spans="1:12" x14ac:dyDescent="0.2">
      <c r="C94" s="43"/>
      <c r="F94" s="43"/>
    </row>
    <row r="95" spans="1:12" s="29" customFormat="1" x14ac:dyDescent="0.2">
      <c r="A95" s="29" t="str">
        <f>A43</f>
        <v>Process, plant and machine operatives</v>
      </c>
      <c r="B95" s="43">
        <f t="shared" ref="B95:E97" si="51">IF(AND(C$5-B$5 &lt;&gt; 0,C43 &lt;&gt; 0,B43 &lt;&gt; 0),(EXP(LN(C43/B43)/(C$5-B$5))-1)*100,0)</f>
        <v>1.3958935891872581</v>
      </c>
      <c r="C95" s="43">
        <f t="shared" si="51"/>
        <v>-5.9636741154485033</v>
      </c>
      <c r="D95" s="43">
        <f t="shared" si="51"/>
        <v>2.1954218838182715</v>
      </c>
      <c r="E95" s="43">
        <f t="shared" si="51"/>
        <v>-0.16996783951183092</v>
      </c>
      <c r="F95" s="43">
        <f t="shared" si="49"/>
        <v>0.61234877452847059</v>
      </c>
      <c r="H95" s="43">
        <f>(B43/B$51)*100</f>
        <v>8.322188985964603</v>
      </c>
      <c r="I95" s="43">
        <f>(C43/C$51)*100</f>
        <v>8.3179986684612537</v>
      </c>
      <c r="J95" s="43">
        <f>(D43/D$51)*100</f>
        <v>7.8256687277380745</v>
      </c>
      <c r="K95" s="43">
        <f>(E43/E$51)*100</f>
        <v>8.5855517371330343</v>
      </c>
      <c r="L95" s="43">
        <f>(F43/F$51)*100</f>
        <v>8.2124822987558019</v>
      </c>
    </row>
    <row r="96" spans="1:12" x14ac:dyDescent="0.2">
      <c r="A96" t="str">
        <f>A44</f>
        <v>81 Process, plant and machine operatives</v>
      </c>
      <c r="B96" s="48">
        <f t="shared" si="51"/>
        <v>-0.26216463993167238</v>
      </c>
      <c r="C96" s="43">
        <f t="shared" si="51"/>
        <v>-12.954201201390681</v>
      </c>
      <c r="D96" s="48">
        <f t="shared" si="51"/>
        <v>3.8144534234640037</v>
      </c>
      <c r="E96" s="48">
        <f t="shared" si="51"/>
        <v>-0.14381272001815493</v>
      </c>
      <c r="F96" s="43">
        <f t="shared" si="49"/>
        <v>1.1585495788117628</v>
      </c>
      <c r="H96" s="39">
        <f t="shared" ref="H96:L97" si="52">(B44/B$43)*100</f>
        <v>50.894294711684928</v>
      </c>
      <c r="I96" s="39">
        <f t="shared" si="52"/>
        <v>47.646103078475015</v>
      </c>
      <c r="J96" s="39">
        <f t="shared" si="52"/>
        <v>44.104159356443759</v>
      </c>
      <c r="K96" s="39">
        <f t="shared" si="52"/>
        <v>47.71022374136151</v>
      </c>
      <c r="L96" s="39">
        <f t="shared" si="52"/>
        <v>47.835370334969873</v>
      </c>
    </row>
    <row r="97" spans="1:12" x14ac:dyDescent="0.2">
      <c r="A97" t="str">
        <f>A45</f>
        <v>82 Transport and mobile machine drivers and operatives</v>
      </c>
      <c r="B97" s="48">
        <f t="shared" si="51"/>
        <v>3.0325935519104119</v>
      </c>
      <c r="C97" s="43">
        <f t="shared" si="51"/>
        <v>0.39824722555357184</v>
      </c>
      <c r="D97" s="48">
        <f t="shared" si="51"/>
        <v>0.84140759465316517</v>
      </c>
      <c r="E97" s="48">
        <f t="shared" si="51"/>
        <v>-0.19388621350490132</v>
      </c>
      <c r="F97" s="43">
        <f t="shared" si="49"/>
        <v>0.15002531237895411</v>
      </c>
      <c r="H97" s="39">
        <f t="shared" si="52"/>
        <v>49.105705288315058</v>
      </c>
      <c r="I97" s="39">
        <f t="shared" si="52"/>
        <v>52.353896921524992</v>
      </c>
      <c r="J97" s="39">
        <f t="shared" si="52"/>
        <v>55.895840643556248</v>
      </c>
      <c r="K97" s="39">
        <f t="shared" si="52"/>
        <v>52.28977625863849</v>
      </c>
      <c r="L97" s="39">
        <f t="shared" si="52"/>
        <v>52.164629665030127</v>
      </c>
    </row>
    <row r="98" spans="1:12" x14ac:dyDescent="0.2">
      <c r="C98" s="43"/>
      <c r="F98" s="43"/>
    </row>
    <row r="99" spans="1:12" s="29" customFormat="1" x14ac:dyDescent="0.2">
      <c r="A99" s="29" t="str">
        <f>A47</f>
        <v>Elementary occupations</v>
      </c>
      <c r="B99" s="43">
        <f t="shared" ref="B99:E101" si="53">IF(AND(C$5-B$5 &lt;&gt; 0,C47 &lt;&gt; 0,B47 &lt;&gt; 0),(EXP(LN(C47/B47)/(C$5-B$5))-1)*100,0)</f>
        <v>-1.1828344000250457</v>
      </c>
      <c r="C99" s="43">
        <f t="shared" si="53"/>
        <v>-7.0404636886150946</v>
      </c>
      <c r="D99" s="43">
        <f t="shared" si="53"/>
        <v>-0.5772059094781512</v>
      </c>
      <c r="E99" s="43">
        <f t="shared" si="53"/>
        <v>-0.67564233261694362</v>
      </c>
      <c r="F99" s="43">
        <f t="shared" si="49"/>
        <v>-0.64284102520940634</v>
      </c>
      <c r="H99" s="43">
        <f>(B47/B$51)*100</f>
        <v>12.399894421483697</v>
      </c>
      <c r="I99" s="43">
        <f>(C47/C$51)*100</f>
        <v>11.180143123317283</v>
      </c>
      <c r="J99" s="43">
        <f>(D47/D$51)*100</f>
        <v>10.397963120496344</v>
      </c>
      <c r="K99" s="43">
        <f>(E47/E$51)*100</f>
        <v>9.9418598935378721</v>
      </c>
      <c r="L99" s="43">
        <f>(F47/F$51)*100</f>
        <v>9.0389798152815004</v>
      </c>
    </row>
    <row r="100" spans="1:12" x14ac:dyDescent="0.2">
      <c r="A100" t="str">
        <f>A48</f>
        <v>91 Elementary trades and related occupations</v>
      </c>
      <c r="B100" s="48">
        <f t="shared" si="53"/>
        <v>-2.0918997346074164</v>
      </c>
      <c r="C100" s="43">
        <f t="shared" si="53"/>
        <v>-7.4586230059398906</v>
      </c>
      <c r="D100" s="48">
        <f t="shared" si="53"/>
        <v>-3.408902326652552</v>
      </c>
      <c r="E100" s="48">
        <f t="shared" si="53"/>
        <v>-0.6952042437232131</v>
      </c>
      <c r="F100" s="43">
        <f t="shared" si="49"/>
        <v>-1.6081373684155631</v>
      </c>
      <c r="H100" s="39">
        <f t="shared" ref="H100:L101" si="54">(B48/B$47)*100</f>
        <v>18.526745674979587</v>
      </c>
      <c r="I100" s="39">
        <f t="shared" si="54"/>
        <v>17.854350843247737</v>
      </c>
      <c r="J100" s="39">
        <f t="shared" si="54"/>
        <v>17.774036725340768</v>
      </c>
      <c r="K100" s="39">
        <f t="shared" si="54"/>
        <v>15.383025520240428</v>
      </c>
      <c r="L100" s="39">
        <f t="shared" si="54"/>
        <v>15.352755521415448</v>
      </c>
    </row>
    <row r="101" spans="1:12" x14ac:dyDescent="0.2">
      <c r="A101" t="str">
        <f>A49</f>
        <v>92 Elementary administration and service occupations</v>
      </c>
      <c r="B101" s="48">
        <f t="shared" si="53"/>
        <v>-0.97957904574987875</v>
      </c>
      <c r="C101" s="43">
        <f t="shared" si="53"/>
        <v>-6.949576791542289</v>
      </c>
      <c r="D101" s="48">
        <f t="shared" si="53"/>
        <v>-5.6023570943808387E-3</v>
      </c>
      <c r="E101" s="48">
        <f t="shared" si="53"/>
        <v>-0.67208977790924607</v>
      </c>
      <c r="F101" s="43">
        <f t="shared" si="49"/>
        <v>-0.45042236148963299</v>
      </c>
      <c r="H101" s="39">
        <f t="shared" si="54"/>
        <v>81.47325432502042</v>
      </c>
      <c r="I101" s="39">
        <f t="shared" si="54"/>
        <v>82.14564915675227</v>
      </c>
      <c r="J101" s="39">
        <f t="shared" si="54"/>
        <v>82.225963274659236</v>
      </c>
      <c r="K101" s="39">
        <f t="shared" si="54"/>
        <v>84.616974479759563</v>
      </c>
      <c r="L101" s="39">
        <f t="shared" si="54"/>
        <v>84.647244478584554</v>
      </c>
    </row>
    <row r="102" spans="1:12" x14ac:dyDescent="0.2">
      <c r="A102" s="13"/>
      <c r="C102" s="43"/>
      <c r="F102" s="43"/>
    </row>
    <row r="103" spans="1:12" x14ac:dyDescent="0.2">
      <c r="A103" s="38" t="str">
        <f t="shared" ref="A103" si="55">A51</f>
        <v>All occupations</v>
      </c>
      <c r="B103" s="49">
        <f>IF(AND(C$5-B$5 &lt;&gt; 0,C51 &lt;&gt; 0,B51 &lt;&gt; 0),(EXP(LN(C51/B51)/(C$5-B$5))-1)*100,0)</f>
        <v>1.4086611058431231</v>
      </c>
      <c r="C103" s="206">
        <f t="shared" ref="C103" si="56">IF(AND(D$5-C$5 &lt;&gt; 0,D51 &lt;&gt; 0,C51 &lt;&gt; 0),(EXP(LN(D51/C51)/(D$5-C$5))-1)*100,0)</f>
        <v>-4.764312061895648E-2</v>
      </c>
      <c r="D103" s="49">
        <f>IF(AND(E$5-D$5 &lt;&gt; 0,E51 &lt;&gt; 0,D51 &lt;&gt; 0),(EXP(LN(E51/D51)/(E$5-D$5))-1)*100,0)</f>
        <v>0.31874509394069772</v>
      </c>
      <c r="E103" s="49">
        <f>IF(AND(F$5-E$5 &lt;&gt; 0,F51 &lt;&gt; 0,E51 &lt;&gt; 0),(EXP(LN(F51/E51)/(F$5-E$5))-1)*100,0)</f>
        <v>0.27451898098460603</v>
      </c>
      <c r="F103" s="206">
        <f t="shared" si="49"/>
        <v>0.28925885184052369</v>
      </c>
      <c r="G103" s="23"/>
      <c r="H103" s="42">
        <f>(B51/B$51)*100</f>
        <v>100</v>
      </c>
      <c r="I103" s="42">
        <f>(C51/C$51)*100</f>
        <v>100</v>
      </c>
      <c r="J103" s="42">
        <f>(D51/D$51)*100</f>
        <v>100</v>
      </c>
      <c r="K103" s="42">
        <f>(E51/E$51)*100</f>
        <v>100</v>
      </c>
      <c r="L103" s="42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0"/>
  <dimension ref="A1:Y1312"/>
  <sheetViews>
    <sheetView showGridLines="0" zoomScale="85" zoomScaleNormal="85" workbookViewId="0"/>
  </sheetViews>
  <sheetFormatPr defaultRowHeight="12.75" x14ac:dyDescent="0.2"/>
  <cols>
    <col min="1" max="1" width="35.5703125" style="90" customWidth="1"/>
    <col min="2" max="4" width="5.7109375" style="90" bestFit="1" customWidth="1"/>
    <col min="5" max="5" width="5" style="90" customWidth="1"/>
    <col min="6" max="8" width="5.7109375" style="90" bestFit="1" customWidth="1"/>
    <col min="9" max="9" width="5" style="90" customWidth="1"/>
    <col min="10" max="12" width="5.7109375" style="90" bestFit="1" customWidth="1"/>
    <col min="13" max="13" width="5" style="90" customWidth="1"/>
    <col min="14" max="14" width="8.85546875" style="90" customWidth="1"/>
    <col min="15" max="15" width="7.140625" style="90" customWidth="1"/>
    <col min="16" max="16" width="2.85546875" style="90" customWidth="1"/>
    <col min="17" max="17" width="7.42578125" style="90" customWidth="1"/>
    <col min="18" max="18" width="7.28515625" style="90" customWidth="1"/>
    <col min="19" max="19" width="2.7109375" style="90" customWidth="1"/>
    <col min="20" max="20" width="8.140625" style="90" customWidth="1"/>
    <col min="21" max="21" width="7.42578125" style="90" customWidth="1"/>
    <col min="22" max="254" width="9.140625" style="90"/>
    <col min="255" max="255" width="33.140625" style="90" bestFit="1" customWidth="1"/>
    <col min="256" max="258" width="7.140625" style="90" customWidth="1"/>
    <col min="259" max="259" width="5" style="90" customWidth="1"/>
    <col min="260" max="262" width="7.140625" style="90" customWidth="1"/>
    <col min="263" max="263" width="5" style="90" customWidth="1"/>
    <col min="264" max="266" width="7.140625" style="90" customWidth="1"/>
    <col min="267" max="510" width="9.140625" style="90"/>
    <col min="511" max="511" width="33.140625" style="90" bestFit="1" customWidth="1"/>
    <col min="512" max="514" width="7.140625" style="90" customWidth="1"/>
    <col min="515" max="515" width="5" style="90" customWidth="1"/>
    <col min="516" max="518" width="7.140625" style="90" customWidth="1"/>
    <col min="519" max="519" width="5" style="90" customWidth="1"/>
    <col min="520" max="522" width="7.140625" style="90" customWidth="1"/>
    <col min="523" max="766" width="9.140625" style="90"/>
    <col min="767" max="767" width="33.140625" style="90" bestFit="1" customWidth="1"/>
    <col min="768" max="770" width="7.140625" style="90" customWidth="1"/>
    <col min="771" max="771" width="5" style="90" customWidth="1"/>
    <col min="772" max="774" width="7.140625" style="90" customWidth="1"/>
    <col min="775" max="775" width="5" style="90" customWidth="1"/>
    <col min="776" max="778" width="7.140625" style="90" customWidth="1"/>
    <col min="779" max="1022" width="9.140625" style="90"/>
    <col min="1023" max="1023" width="33.140625" style="90" bestFit="1" customWidth="1"/>
    <col min="1024" max="1026" width="7.140625" style="90" customWidth="1"/>
    <col min="1027" max="1027" width="5" style="90" customWidth="1"/>
    <col min="1028" max="1030" width="7.140625" style="90" customWidth="1"/>
    <col min="1031" max="1031" width="5" style="90" customWidth="1"/>
    <col min="1032" max="1034" width="7.140625" style="90" customWidth="1"/>
    <col min="1035" max="1278" width="9.140625" style="90"/>
    <col min="1279" max="1279" width="33.140625" style="90" bestFit="1" customWidth="1"/>
    <col min="1280" max="1282" width="7.140625" style="90" customWidth="1"/>
    <col min="1283" max="1283" width="5" style="90" customWidth="1"/>
    <col min="1284" max="1286" width="7.140625" style="90" customWidth="1"/>
    <col min="1287" max="1287" width="5" style="90" customWidth="1"/>
    <col min="1288" max="1290" width="7.140625" style="90" customWidth="1"/>
    <col min="1291" max="1534" width="9.140625" style="90"/>
    <col min="1535" max="1535" width="33.140625" style="90" bestFit="1" customWidth="1"/>
    <col min="1536" max="1538" width="7.140625" style="90" customWidth="1"/>
    <col min="1539" max="1539" width="5" style="90" customWidth="1"/>
    <col min="1540" max="1542" width="7.140625" style="90" customWidth="1"/>
    <col min="1543" max="1543" width="5" style="90" customWidth="1"/>
    <col min="1544" max="1546" width="7.140625" style="90" customWidth="1"/>
    <col min="1547" max="1790" width="9.140625" style="90"/>
    <col min="1791" max="1791" width="33.140625" style="90" bestFit="1" customWidth="1"/>
    <col min="1792" max="1794" width="7.140625" style="90" customWidth="1"/>
    <col min="1795" max="1795" width="5" style="90" customWidth="1"/>
    <col min="1796" max="1798" width="7.140625" style="90" customWidth="1"/>
    <col min="1799" max="1799" width="5" style="90" customWidth="1"/>
    <col min="1800" max="1802" width="7.140625" style="90" customWidth="1"/>
    <col min="1803" max="2046" width="9.140625" style="90"/>
    <col min="2047" max="2047" width="33.140625" style="90" bestFit="1" customWidth="1"/>
    <col min="2048" max="2050" width="7.140625" style="90" customWidth="1"/>
    <col min="2051" max="2051" width="5" style="90" customWidth="1"/>
    <col min="2052" max="2054" width="7.140625" style="90" customWidth="1"/>
    <col min="2055" max="2055" width="5" style="90" customWidth="1"/>
    <col min="2056" max="2058" width="7.140625" style="90" customWidth="1"/>
    <col min="2059" max="2302" width="9.140625" style="90"/>
    <col min="2303" max="2303" width="33.140625" style="90" bestFit="1" customWidth="1"/>
    <col min="2304" max="2306" width="7.140625" style="90" customWidth="1"/>
    <col min="2307" max="2307" width="5" style="90" customWidth="1"/>
    <col min="2308" max="2310" width="7.140625" style="90" customWidth="1"/>
    <col min="2311" max="2311" width="5" style="90" customWidth="1"/>
    <col min="2312" max="2314" width="7.140625" style="90" customWidth="1"/>
    <col min="2315" max="2558" width="9.140625" style="90"/>
    <col min="2559" max="2559" width="33.140625" style="90" bestFit="1" customWidth="1"/>
    <col min="2560" max="2562" width="7.140625" style="90" customWidth="1"/>
    <col min="2563" max="2563" width="5" style="90" customWidth="1"/>
    <col min="2564" max="2566" width="7.140625" style="90" customWidth="1"/>
    <col min="2567" max="2567" width="5" style="90" customWidth="1"/>
    <col min="2568" max="2570" width="7.140625" style="90" customWidth="1"/>
    <col min="2571" max="2814" width="9.140625" style="90"/>
    <col min="2815" max="2815" width="33.140625" style="90" bestFit="1" customWidth="1"/>
    <col min="2816" max="2818" width="7.140625" style="90" customWidth="1"/>
    <col min="2819" max="2819" width="5" style="90" customWidth="1"/>
    <col min="2820" max="2822" width="7.140625" style="90" customWidth="1"/>
    <col min="2823" max="2823" width="5" style="90" customWidth="1"/>
    <col min="2824" max="2826" width="7.140625" style="90" customWidth="1"/>
    <col min="2827" max="3070" width="9.140625" style="90"/>
    <col min="3071" max="3071" width="33.140625" style="90" bestFit="1" customWidth="1"/>
    <col min="3072" max="3074" width="7.140625" style="90" customWidth="1"/>
    <col min="3075" max="3075" width="5" style="90" customWidth="1"/>
    <col min="3076" max="3078" width="7.140625" style="90" customWidth="1"/>
    <col min="3079" max="3079" width="5" style="90" customWidth="1"/>
    <col min="3080" max="3082" width="7.140625" style="90" customWidth="1"/>
    <col min="3083" max="3326" width="9.140625" style="90"/>
    <col min="3327" max="3327" width="33.140625" style="90" bestFit="1" customWidth="1"/>
    <col min="3328" max="3330" width="7.140625" style="90" customWidth="1"/>
    <col min="3331" max="3331" width="5" style="90" customWidth="1"/>
    <col min="3332" max="3334" width="7.140625" style="90" customWidth="1"/>
    <col min="3335" max="3335" width="5" style="90" customWidth="1"/>
    <col min="3336" max="3338" width="7.140625" style="90" customWidth="1"/>
    <col min="3339" max="3582" width="9.140625" style="90"/>
    <col min="3583" max="3583" width="33.140625" style="90" bestFit="1" customWidth="1"/>
    <col min="3584" max="3586" width="7.140625" style="90" customWidth="1"/>
    <col min="3587" max="3587" width="5" style="90" customWidth="1"/>
    <col min="3588" max="3590" width="7.140625" style="90" customWidth="1"/>
    <col min="3591" max="3591" width="5" style="90" customWidth="1"/>
    <col min="3592" max="3594" width="7.140625" style="90" customWidth="1"/>
    <col min="3595" max="3838" width="9.140625" style="90"/>
    <col min="3839" max="3839" width="33.140625" style="90" bestFit="1" customWidth="1"/>
    <col min="3840" max="3842" width="7.140625" style="90" customWidth="1"/>
    <col min="3843" max="3843" width="5" style="90" customWidth="1"/>
    <col min="3844" max="3846" width="7.140625" style="90" customWidth="1"/>
    <col min="3847" max="3847" width="5" style="90" customWidth="1"/>
    <col min="3848" max="3850" width="7.140625" style="90" customWidth="1"/>
    <col min="3851" max="4094" width="9.140625" style="90"/>
    <col min="4095" max="4095" width="33.140625" style="90" bestFit="1" customWidth="1"/>
    <col min="4096" max="4098" width="7.140625" style="90" customWidth="1"/>
    <col min="4099" max="4099" width="5" style="90" customWidth="1"/>
    <col min="4100" max="4102" width="7.140625" style="90" customWidth="1"/>
    <col min="4103" max="4103" width="5" style="90" customWidth="1"/>
    <col min="4104" max="4106" width="7.140625" style="90" customWidth="1"/>
    <col min="4107" max="4350" width="9.140625" style="90"/>
    <col min="4351" max="4351" width="33.140625" style="90" bestFit="1" customWidth="1"/>
    <col min="4352" max="4354" width="7.140625" style="90" customWidth="1"/>
    <col min="4355" max="4355" width="5" style="90" customWidth="1"/>
    <col min="4356" max="4358" width="7.140625" style="90" customWidth="1"/>
    <col min="4359" max="4359" width="5" style="90" customWidth="1"/>
    <col min="4360" max="4362" width="7.140625" style="90" customWidth="1"/>
    <col min="4363" max="4606" width="9.140625" style="90"/>
    <col min="4607" max="4607" width="33.140625" style="90" bestFit="1" customWidth="1"/>
    <col min="4608" max="4610" width="7.140625" style="90" customWidth="1"/>
    <col min="4611" max="4611" width="5" style="90" customWidth="1"/>
    <col min="4612" max="4614" width="7.140625" style="90" customWidth="1"/>
    <col min="4615" max="4615" width="5" style="90" customWidth="1"/>
    <col min="4616" max="4618" width="7.140625" style="90" customWidth="1"/>
    <col min="4619" max="4862" width="9.140625" style="90"/>
    <col min="4863" max="4863" width="33.140625" style="90" bestFit="1" customWidth="1"/>
    <col min="4864" max="4866" width="7.140625" style="90" customWidth="1"/>
    <col min="4867" max="4867" width="5" style="90" customWidth="1"/>
    <col min="4868" max="4870" width="7.140625" style="90" customWidth="1"/>
    <col min="4871" max="4871" width="5" style="90" customWidth="1"/>
    <col min="4872" max="4874" width="7.140625" style="90" customWidth="1"/>
    <col min="4875" max="5118" width="9.140625" style="90"/>
    <col min="5119" max="5119" width="33.140625" style="90" bestFit="1" customWidth="1"/>
    <col min="5120" max="5122" width="7.140625" style="90" customWidth="1"/>
    <col min="5123" max="5123" width="5" style="90" customWidth="1"/>
    <col min="5124" max="5126" width="7.140625" style="90" customWidth="1"/>
    <col min="5127" max="5127" width="5" style="90" customWidth="1"/>
    <col min="5128" max="5130" width="7.140625" style="90" customWidth="1"/>
    <col min="5131" max="5374" width="9.140625" style="90"/>
    <col min="5375" max="5375" width="33.140625" style="90" bestFit="1" customWidth="1"/>
    <col min="5376" max="5378" width="7.140625" style="90" customWidth="1"/>
    <col min="5379" max="5379" width="5" style="90" customWidth="1"/>
    <col min="5380" max="5382" width="7.140625" style="90" customWidth="1"/>
    <col min="5383" max="5383" width="5" style="90" customWidth="1"/>
    <col min="5384" max="5386" width="7.140625" style="90" customWidth="1"/>
    <col min="5387" max="5630" width="9.140625" style="90"/>
    <col min="5631" max="5631" width="33.140625" style="90" bestFit="1" customWidth="1"/>
    <col min="5632" max="5634" width="7.140625" style="90" customWidth="1"/>
    <col min="5635" max="5635" width="5" style="90" customWidth="1"/>
    <col min="5636" max="5638" width="7.140625" style="90" customWidth="1"/>
    <col min="5639" max="5639" width="5" style="90" customWidth="1"/>
    <col min="5640" max="5642" width="7.140625" style="90" customWidth="1"/>
    <col min="5643" max="5886" width="9.140625" style="90"/>
    <col min="5887" max="5887" width="33.140625" style="90" bestFit="1" customWidth="1"/>
    <col min="5888" max="5890" width="7.140625" style="90" customWidth="1"/>
    <col min="5891" max="5891" width="5" style="90" customWidth="1"/>
    <col min="5892" max="5894" width="7.140625" style="90" customWidth="1"/>
    <col min="5895" max="5895" width="5" style="90" customWidth="1"/>
    <col min="5896" max="5898" width="7.140625" style="90" customWidth="1"/>
    <col min="5899" max="6142" width="9.140625" style="90"/>
    <col min="6143" max="6143" width="33.140625" style="90" bestFit="1" customWidth="1"/>
    <col min="6144" max="6146" width="7.140625" style="90" customWidth="1"/>
    <col min="6147" max="6147" width="5" style="90" customWidth="1"/>
    <col min="6148" max="6150" width="7.140625" style="90" customWidth="1"/>
    <col min="6151" max="6151" width="5" style="90" customWidth="1"/>
    <col min="6152" max="6154" width="7.140625" style="90" customWidth="1"/>
    <col min="6155" max="6398" width="9.140625" style="90"/>
    <col min="6399" max="6399" width="33.140625" style="90" bestFit="1" customWidth="1"/>
    <col min="6400" max="6402" width="7.140625" style="90" customWidth="1"/>
    <col min="6403" max="6403" width="5" style="90" customWidth="1"/>
    <col min="6404" max="6406" width="7.140625" style="90" customWidth="1"/>
    <col min="6407" max="6407" width="5" style="90" customWidth="1"/>
    <col min="6408" max="6410" width="7.140625" style="90" customWidth="1"/>
    <col min="6411" max="6654" width="9.140625" style="90"/>
    <col min="6655" max="6655" width="33.140625" style="90" bestFit="1" customWidth="1"/>
    <col min="6656" max="6658" width="7.140625" style="90" customWidth="1"/>
    <col min="6659" max="6659" width="5" style="90" customWidth="1"/>
    <col min="6660" max="6662" width="7.140625" style="90" customWidth="1"/>
    <col min="6663" max="6663" width="5" style="90" customWidth="1"/>
    <col min="6664" max="6666" width="7.140625" style="90" customWidth="1"/>
    <col min="6667" max="6910" width="9.140625" style="90"/>
    <col min="6911" max="6911" width="33.140625" style="90" bestFit="1" customWidth="1"/>
    <col min="6912" max="6914" width="7.140625" style="90" customWidth="1"/>
    <col min="6915" max="6915" width="5" style="90" customWidth="1"/>
    <col min="6916" max="6918" width="7.140625" style="90" customWidth="1"/>
    <col min="6919" max="6919" width="5" style="90" customWidth="1"/>
    <col min="6920" max="6922" width="7.140625" style="90" customWidth="1"/>
    <col min="6923" max="7166" width="9.140625" style="90"/>
    <col min="7167" max="7167" width="33.140625" style="90" bestFit="1" customWidth="1"/>
    <col min="7168" max="7170" width="7.140625" style="90" customWidth="1"/>
    <col min="7171" max="7171" width="5" style="90" customWidth="1"/>
    <col min="7172" max="7174" width="7.140625" style="90" customWidth="1"/>
    <col min="7175" max="7175" width="5" style="90" customWidth="1"/>
    <col min="7176" max="7178" width="7.140625" style="90" customWidth="1"/>
    <col min="7179" max="7422" width="9.140625" style="90"/>
    <col min="7423" max="7423" width="33.140625" style="90" bestFit="1" customWidth="1"/>
    <col min="7424" max="7426" width="7.140625" style="90" customWidth="1"/>
    <col min="7427" max="7427" width="5" style="90" customWidth="1"/>
    <col min="7428" max="7430" width="7.140625" style="90" customWidth="1"/>
    <col min="7431" max="7431" width="5" style="90" customWidth="1"/>
    <col min="7432" max="7434" width="7.140625" style="90" customWidth="1"/>
    <col min="7435" max="7678" width="9.140625" style="90"/>
    <col min="7679" max="7679" width="33.140625" style="90" bestFit="1" customWidth="1"/>
    <col min="7680" max="7682" width="7.140625" style="90" customWidth="1"/>
    <col min="7683" max="7683" width="5" style="90" customWidth="1"/>
    <col min="7684" max="7686" width="7.140625" style="90" customWidth="1"/>
    <col min="7687" max="7687" width="5" style="90" customWidth="1"/>
    <col min="7688" max="7690" width="7.140625" style="90" customWidth="1"/>
    <col min="7691" max="7934" width="9.140625" style="90"/>
    <col min="7935" max="7935" width="33.140625" style="90" bestFit="1" customWidth="1"/>
    <col min="7936" max="7938" width="7.140625" style="90" customWidth="1"/>
    <col min="7939" max="7939" width="5" style="90" customWidth="1"/>
    <col min="7940" max="7942" width="7.140625" style="90" customWidth="1"/>
    <col min="7943" max="7943" width="5" style="90" customWidth="1"/>
    <col min="7944" max="7946" width="7.140625" style="90" customWidth="1"/>
    <col min="7947" max="8190" width="9.140625" style="90"/>
    <col min="8191" max="8191" width="33.140625" style="90" bestFit="1" customWidth="1"/>
    <col min="8192" max="8194" width="7.140625" style="90" customWidth="1"/>
    <col min="8195" max="8195" width="5" style="90" customWidth="1"/>
    <col min="8196" max="8198" width="7.140625" style="90" customWidth="1"/>
    <col min="8199" max="8199" width="5" style="90" customWidth="1"/>
    <col min="8200" max="8202" width="7.140625" style="90" customWidth="1"/>
    <col min="8203" max="8446" width="9.140625" style="90"/>
    <col min="8447" max="8447" width="33.140625" style="90" bestFit="1" customWidth="1"/>
    <col min="8448" max="8450" width="7.140625" style="90" customWidth="1"/>
    <col min="8451" max="8451" width="5" style="90" customWidth="1"/>
    <col min="8452" max="8454" width="7.140625" style="90" customWidth="1"/>
    <col min="8455" max="8455" width="5" style="90" customWidth="1"/>
    <col min="8456" max="8458" width="7.140625" style="90" customWidth="1"/>
    <col min="8459" max="8702" width="9.140625" style="90"/>
    <col min="8703" max="8703" width="33.140625" style="90" bestFit="1" customWidth="1"/>
    <col min="8704" max="8706" width="7.140625" style="90" customWidth="1"/>
    <col min="8707" max="8707" width="5" style="90" customWidth="1"/>
    <col min="8708" max="8710" width="7.140625" style="90" customWidth="1"/>
    <col min="8711" max="8711" width="5" style="90" customWidth="1"/>
    <col min="8712" max="8714" width="7.140625" style="90" customWidth="1"/>
    <col min="8715" max="8958" width="9.140625" style="90"/>
    <col min="8959" max="8959" width="33.140625" style="90" bestFit="1" customWidth="1"/>
    <col min="8960" max="8962" width="7.140625" style="90" customWidth="1"/>
    <col min="8963" max="8963" width="5" style="90" customWidth="1"/>
    <col min="8964" max="8966" width="7.140625" style="90" customWidth="1"/>
    <col min="8967" max="8967" width="5" style="90" customWidth="1"/>
    <col min="8968" max="8970" width="7.140625" style="90" customWidth="1"/>
    <col min="8971" max="9214" width="9.140625" style="90"/>
    <col min="9215" max="9215" width="33.140625" style="90" bestFit="1" customWidth="1"/>
    <col min="9216" max="9218" width="7.140625" style="90" customWidth="1"/>
    <col min="9219" max="9219" width="5" style="90" customWidth="1"/>
    <col min="9220" max="9222" width="7.140625" style="90" customWidth="1"/>
    <col min="9223" max="9223" width="5" style="90" customWidth="1"/>
    <col min="9224" max="9226" width="7.140625" style="90" customWidth="1"/>
    <col min="9227" max="9470" width="9.140625" style="90"/>
    <col min="9471" max="9471" width="33.140625" style="90" bestFit="1" customWidth="1"/>
    <col min="9472" max="9474" width="7.140625" style="90" customWidth="1"/>
    <col min="9475" max="9475" width="5" style="90" customWidth="1"/>
    <col min="9476" max="9478" width="7.140625" style="90" customWidth="1"/>
    <col min="9479" max="9479" width="5" style="90" customWidth="1"/>
    <col min="9480" max="9482" width="7.140625" style="90" customWidth="1"/>
    <col min="9483" max="9726" width="9.140625" style="90"/>
    <col min="9727" max="9727" width="33.140625" style="90" bestFit="1" customWidth="1"/>
    <col min="9728" max="9730" width="7.140625" style="90" customWidth="1"/>
    <col min="9731" max="9731" width="5" style="90" customWidth="1"/>
    <col min="9732" max="9734" width="7.140625" style="90" customWidth="1"/>
    <col min="9735" max="9735" width="5" style="90" customWidth="1"/>
    <col min="9736" max="9738" width="7.140625" style="90" customWidth="1"/>
    <col min="9739" max="9982" width="9.140625" style="90"/>
    <col min="9983" max="9983" width="33.140625" style="90" bestFit="1" customWidth="1"/>
    <col min="9984" max="9986" width="7.140625" style="90" customWidth="1"/>
    <col min="9987" max="9987" width="5" style="90" customWidth="1"/>
    <col min="9988" max="9990" width="7.140625" style="90" customWidth="1"/>
    <col min="9991" max="9991" width="5" style="90" customWidth="1"/>
    <col min="9992" max="9994" width="7.140625" style="90" customWidth="1"/>
    <col min="9995" max="10238" width="9.140625" style="90"/>
    <col min="10239" max="10239" width="33.140625" style="90" bestFit="1" customWidth="1"/>
    <col min="10240" max="10242" width="7.140625" style="90" customWidth="1"/>
    <col min="10243" max="10243" width="5" style="90" customWidth="1"/>
    <col min="10244" max="10246" width="7.140625" style="90" customWidth="1"/>
    <col min="10247" max="10247" width="5" style="90" customWidth="1"/>
    <col min="10248" max="10250" width="7.140625" style="90" customWidth="1"/>
    <col min="10251" max="10494" width="9.140625" style="90"/>
    <col min="10495" max="10495" width="33.140625" style="90" bestFit="1" customWidth="1"/>
    <col min="10496" max="10498" width="7.140625" style="90" customWidth="1"/>
    <col min="10499" max="10499" width="5" style="90" customWidth="1"/>
    <col min="10500" max="10502" width="7.140625" style="90" customWidth="1"/>
    <col min="10503" max="10503" width="5" style="90" customWidth="1"/>
    <col min="10504" max="10506" width="7.140625" style="90" customWidth="1"/>
    <col min="10507" max="10750" width="9.140625" style="90"/>
    <col min="10751" max="10751" width="33.140625" style="90" bestFit="1" customWidth="1"/>
    <col min="10752" max="10754" width="7.140625" style="90" customWidth="1"/>
    <col min="10755" max="10755" width="5" style="90" customWidth="1"/>
    <col min="10756" max="10758" width="7.140625" style="90" customWidth="1"/>
    <col min="10759" max="10759" width="5" style="90" customWidth="1"/>
    <col min="10760" max="10762" width="7.140625" style="90" customWidth="1"/>
    <col min="10763" max="11006" width="9.140625" style="90"/>
    <col min="11007" max="11007" width="33.140625" style="90" bestFit="1" customWidth="1"/>
    <col min="11008" max="11010" width="7.140625" style="90" customWidth="1"/>
    <col min="11011" max="11011" width="5" style="90" customWidth="1"/>
    <col min="11012" max="11014" width="7.140625" style="90" customWidth="1"/>
    <col min="11015" max="11015" width="5" style="90" customWidth="1"/>
    <col min="11016" max="11018" width="7.140625" style="90" customWidth="1"/>
    <col min="11019" max="11262" width="9.140625" style="90"/>
    <col min="11263" max="11263" width="33.140625" style="90" bestFit="1" customWidth="1"/>
    <col min="11264" max="11266" width="7.140625" style="90" customWidth="1"/>
    <col min="11267" max="11267" width="5" style="90" customWidth="1"/>
    <col min="11268" max="11270" width="7.140625" style="90" customWidth="1"/>
    <col min="11271" max="11271" width="5" style="90" customWidth="1"/>
    <col min="11272" max="11274" width="7.140625" style="90" customWidth="1"/>
    <col min="11275" max="11518" width="9.140625" style="90"/>
    <col min="11519" max="11519" width="33.140625" style="90" bestFit="1" customWidth="1"/>
    <col min="11520" max="11522" width="7.140625" style="90" customWidth="1"/>
    <col min="11523" max="11523" width="5" style="90" customWidth="1"/>
    <col min="11524" max="11526" width="7.140625" style="90" customWidth="1"/>
    <col min="11527" max="11527" width="5" style="90" customWidth="1"/>
    <col min="11528" max="11530" width="7.140625" style="90" customWidth="1"/>
    <col min="11531" max="11774" width="9.140625" style="90"/>
    <col min="11775" max="11775" width="33.140625" style="90" bestFit="1" customWidth="1"/>
    <col min="11776" max="11778" width="7.140625" style="90" customWidth="1"/>
    <col min="11779" max="11779" width="5" style="90" customWidth="1"/>
    <col min="11780" max="11782" width="7.140625" style="90" customWidth="1"/>
    <col min="11783" max="11783" width="5" style="90" customWidth="1"/>
    <col min="11784" max="11786" width="7.140625" style="90" customWidth="1"/>
    <col min="11787" max="12030" width="9.140625" style="90"/>
    <col min="12031" max="12031" width="33.140625" style="90" bestFit="1" customWidth="1"/>
    <col min="12032" max="12034" width="7.140625" style="90" customWidth="1"/>
    <col min="12035" max="12035" width="5" style="90" customWidth="1"/>
    <col min="12036" max="12038" width="7.140625" style="90" customWidth="1"/>
    <col min="12039" max="12039" width="5" style="90" customWidth="1"/>
    <col min="12040" max="12042" width="7.140625" style="90" customWidth="1"/>
    <col min="12043" max="12286" width="9.140625" style="90"/>
    <col min="12287" max="12287" width="33.140625" style="90" bestFit="1" customWidth="1"/>
    <col min="12288" max="12290" width="7.140625" style="90" customWidth="1"/>
    <col min="12291" max="12291" width="5" style="90" customWidth="1"/>
    <col min="12292" max="12294" width="7.140625" style="90" customWidth="1"/>
    <col min="12295" max="12295" width="5" style="90" customWidth="1"/>
    <col min="12296" max="12298" width="7.140625" style="90" customWidth="1"/>
    <col min="12299" max="12542" width="9.140625" style="90"/>
    <col min="12543" max="12543" width="33.140625" style="90" bestFit="1" customWidth="1"/>
    <col min="12544" max="12546" width="7.140625" style="90" customWidth="1"/>
    <col min="12547" max="12547" width="5" style="90" customWidth="1"/>
    <col min="12548" max="12550" width="7.140625" style="90" customWidth="1"/>
    <col min="12551" max="12551" width="5" style="90" customWidth="1"/>
    <col min="12552" max="12554" width="7.140625" style="90" customWidth="1"/>
    <col min="12555" max="12798" width="9.140625" style="90"/>
    <col min="12799" max="12799" width="33.140625" style="90" bestFit="1" customWidth="1"/>
    <col min="12800" max="12802" width="7.140625" style="90" customWidth="1"/>
    <col min="12803" max="12803" width="5" style="90" customWidth="1"/>
    <col min="12804" max="12806" width="7.140625" style="90" customWidth="1"/>
    <col min="12807" max="12807" width="5" style="90" customWidth="1"/>
    <col min="12808" max="12810" width="7.140625" style="90" customWidth="1"/>
    <col min="12811" max="13054" width="9.140625" style="90"/>
    <col min="13055" max="13055" width="33.140625" style="90" bestFit="1" customWidth="1"/>
    <col min="13056" max="13058" width="7.140625" style="90" customWidth="1"/>
    <col min="13059" max="13059" width="5" style="90" customWidth="1"/>
    <col min="13060" max="13062" width="7.140625" style="90" customWidth="1"/>
    <col min="13063" max="13063" width="5" style="90" customWidth="1"/>
    <col min="13064" max="13066" width="7.140625" style="90" customWidth="1"/>
    <col min="13067" max="13310" width="9.140625" style="90"/>
    <col min="13311" max="13311" width="33.140625" style="90" bestFit="1" customWidth="1"/>
    <col min="13312" max="13314" width="7.140625" style="90" customWidth="1"/>
    <col min="13315" max="13315" width="5" style="90" customWidth="1"/>
    <col min="13316" max="13318" width="7.140625" style="90" customWidth="1"/>
    <col min="13319" max="13319" width="5" style="90" customWidth="1"/>
    <col min="13320" max="13322" width="7.140625" style="90" customWidth="1"/>
    <col min="13323" max="13566" width="9.140625" style="90"/>
    <col min="13567" max="13567" width="33.140625" style="90" bestFit="1" customWidth="1"/>
    <col min="13568" max="13570" width="7.140625" style="90" customWidth="1"/>
    <col min="13571" max="13571" width="5" style="90" customWidth="1"/>
    <col min="13572" max="13574" width="7.140625" style="90" customWidth="1"/>
    <col min="13575" max="13575" width="5" style="90" customWidth="1"/>
    <col min="13576" max="13578" width="7.140625" style="90" customWidth="1"/>
    <col min="13579" max="13822" width="9.140625" style="90"/>
    <col min="13823" max="13823" width="33.140625" style="90" bestFit="1" customWidth="1"/>
    <col min="13824" max="13826" width="7.140625" style="90" customWidth="1"/>
    <col min="13827" max="13827" width="5" style="90" customWidth="1"/>
    <col min="13828" max="13830" width="7.140625" style="90" customWidth="1"/>
    <col min="13831" max="13831" width="5" style="90" customWidth="1"/>
    <col min="13832" max="13834" width="7.140625" style="90" customWidth="1"/>
    <col min="13835" max="14078" width="9.140625" style="90"/>
    <col min="14079" max="14079" width="33.140625" style="90" bestFit="1" customWidth="1"/>
    <col min="14080" max="14082" width="7.140625" style="90" customWidth="1"/>
    <col min="14083" max="14083" width="5" style="90" customWidth="1"/>
    <col min="14084" max="14086" width="7.140625" style="90" customWidth="1"/>
    <col min="14087" max="14087" width="5" style="90" customWidth="1"/>
    <col min="14088" max="14090" width="7.140625" style="90" customWidth="1"/>
    <col min="14091" max="14334" width="9.140625" style="90"/>
    <col min="14335" max="14335" width="33.140625" style="90" bestFit="1" customWidth="1"/>
    <col min="14336" max="14338" width="7.140625" style="90" customWidth="1"/>
    <col min="14339" max="14339" width="5" style="90" customWidth="1"/>
    <col min="14340" max="14342" width="7.140625" style="90" customWidth="1"/>
    <col min="14343" max="14343" width="5" style="90" customWidth="1"/>
    <col min="14344" max="14346" width="7.140625" style="90" customWidth="1"/>
    <col min="14347" max="14590" width="9.140625" style="90"/>
    <col min="14591" max="14591" width="33.140625" style="90" bestFit="1" customWidth="1"/>
    <col min="14592" max="14594" width="7.140625" style="90" customWidth="1"/>
    <col min="14595" max="14595" width="5" style="90" customWidth="1"/>
    <col min="14596" max="14598" width="7.140625" style="90" customWidth="1"/>
    <col min="14599" max="14599" width="5" style="90" customWidth="1"/>
    <col min="14600" max="14602" width="7.140625" style="90" customWidth="1"/>
    <col min="14603" max="14846" width="9.140625" style="90"/>
    <col min="14847" max="14847" width="33.140625" style="90" bestFit="1" customWidth="1"/>
    <col min="14848" max="14850" width="7.140625" style="90" customWidth="1"/>
    <col min="14851" max="14851" width="5" style="90" customWidth="1"/>
    <col min="14852" max="14854" width="7.140625" style="90" customWidth="1"/>
    <col min="14855" max="14855" width="5" style="90" customWidth="1"/>
    <col min="14856" max="14858" width="7.140625" style="90" customWidth="1"/>
    <col min="14859" max="15102" width="9.140625" style="90"/>
    <col min="15103" max="15103" width="33.140625" style="90" bestFit="1" customWidth="1"/>
    <col min="15104" max="15106" width="7.140625" style="90" customWidth="1"/>
    <col min="15107" max="15107" width="5" style="90" customWidth="1"/>
    <col min="15108" max="15110" width="7.140625" style="90" customWidth="1"/>
    <col min="15111" max="15111" width="5" style="90" customWidth="1"/>
    <col min="15112" max="15114" width="7.140625" style="90" customWidth="1"/>
    <col min="15115" max="15358" width="9.140625" style="90"/>
    <col min="15359" max="15359" width="33.140625" style="90" bestFit="1" customWidth="1"/>
    <col min="15360" max="15362" width="7.140625" style="90" customWidth="1"/>
    <col min="15363" max="15363" width="5" style="90" customWidth="1"/>
    <col min="15364" max="15366" width="7.140625" style="90" customWidth="1"/>
    <col min="15367" max="15367" width="5" style="90" customWidth="1"/>
    <col min="15368" max="15370" width="7.140625" style="90" customWidth="1"/>
    <col min="15371" max="15614" width="9.140625" style="90"/>
    <col min="15615" max="15615" width="33.140625" style="90" bestFit="1" customWidth="1"/>
    <col min="15616" max="15618" width="7.140625" style="90" customWidth="1"/>
    <col min="15619" max="15619" width="5" style="90" customWidth="1"/>
    <col min="15620" max="15622" width="7.140625" style="90" customWidth="1"/>
    <col min="15623" max="15623" width="5" style="90" customWidth="1"/>
    <col min="15624" max="15626" width="7.140625" style="90" customWidth="1"/>
    <col min="15627" max="15870" width="9.140625" style="90"/>
    <col min="15871" max="15871" width="33.140625" style="90" bestFit="1" customWidth="1"/>
    <col min="15872" max="15874" width="7.140625" style="90" customWidth="1"/>
    <col min="15875" max="15875" width="5" style="90" customWidth="1"/>
    <col min="15876" max="15878" width="7.140625" style="90" customWidth="1"/>
    <col min="15879" max="15879" width="5" style="90" customWidth="1"/>
    <col min="15880" max="15882" width="7.140625" style="90" customWidth="1"/>
    <col min="15883" max="16126" width="9.140625" style="90"/>
    <col min="16127" max="16127" width="33.140625" style="90" bestFit="1" customWidth="1"/>
    <col min="16128" max="16130" width="7.140625" style="90" customWidth="1"/>
    <col min="16131" max="16131" width="5" style="90" customWidth="1"/>
    <col min="16132" max="16134" width="7.140625" style="90" customWidth="1"/>
    <col min="16135" max="16135" width="5" style="90" customWidth="1"/>
    <col min="16136" max="16138" width="7.140625" style="90" customWidth="1"/>
    <col min="16139" max="16384" width="9.140625" style="90"/>
  </cols>
  <sheetData>
    <row r="1" spans="1:25" ht="15.75" x14ac:dyDescent="0.25">
      <c r="A1" s="18" t="str">
        <f>CONCATENATE("Occupation Table 4  Occuptation composition (SOC2020) by gender, ",B$6,"-",J$6,", ",Info!B5)</f>
        <v>Occupation Table 4  Occuptation composition (SOC2020) by gender, 2015-2035, East Midlands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5" x14ac:dyDescent="0.2">
      <c r="A2" s="181" t="s">
        <v>537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5" x14ac:dyDescent="0.2">
      <c r="B3" s="121"/>
      <c r="D3" s="121"/>
      <c r="F3" s="121"/>
      <c r="H3" s="121"/>
      <c r="J3" s="121"/>
      <c r="K3" s="236"/>
      <c r="L3" s="248"/>
      <c r="M3" s="236"/>
    </row>
    <row r="4" spans="1:25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91"/>
      <c r="O4" s="91"/>
      <c r="P4" s="91"/>
      <c r="Q4" s="91"/>
      <c r="R4" s="91"/>
      <c r="S4" s="91"/>
      <c r="T4" s="91" t="s">
        <v>380</v>
      </c>
      <c r="U4" s="91"/>
    </row>
    <row r="5" spans="1:25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5" ht="14.25" customHeight="1" x14ac:dyDescent="0.2">
      <c r="A6" s="241" t="s">
        <v>0</v>
      </c>
      <c r="B6" s="372">
        <v>2015</v>
      </c>
      <c r="C6" s="373"/>
      <c r="D6" s="373"/>
      <c r="E6" s="325"/>
      <c r="F6" s="372">
        <v>2020</v>
      </c>
      <c r="G6" s="373"/>
      <c r="H6" s="373"/>
      <c r="I6" s="325"/>
      <c r="J6" s="372">
        <v>2035</v>
      </c>
      <c r="K6" s="373"/>
      <c r="L6" s="373"/>
      <c r="M6" s="324"/>
      <c r="N6" s="373" t="s">
        <v>99</v>
      </c>
      <c r="O6" s="373"/>
      <c r="P6" s="326"/>
      <c r="Q6" s="373" t="s">
        <v>98</v>
      </c>
      <c r="R6" s="373"/>
      <c r="S6" s="326"/>
      <c r="T6" s="373" t="s">
        <v>32</v>
      </c>
      <c r="U6" s="373"/>
    </row>
    <row r="7" spans="1:25" ht="15" customHeight="1" x14ac:dyDescent="0.2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79"/>
      <c r="T7" s="321" t="str">
        <f>CONCATENATE(B6,"-",RIGHT(F6,2))</f>
        <v>2015-20</v>
      </c>
      <c r="U7" s="321" t="str">
        <f>CONCATENATE(F6,"-",RIGHT(J6,2))</f>
        <v>2020-35</v>
      </c>
    </row>
    <row r="8" spans="1:25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5" x14ac:dyDescent="0.2">
      <c r="A9" s="329" t="str">
        <f>name!D4</f>
        <v>11 Corporate managers and directors</v>
      </c>
      <c r="B9" s="330">
        <v>39.692875068432016</v>
      </c>
      <c r="C9" s="330">
        <v>103.9651809917853</v>
      </c>
      <c r="D9" s="330">
        <f>SUM(B9:C9)</f>
        <v>143.65805606021732</v>
      </c>
      <c r="E9" s="331"/>
      <c r="F9" s="330">
        <v>55.636362694551103</v>
      </c>
      <c r="G9" s="330">
        <v>125.63193477059873</v>
      </c>
      <c r="H9" s="330">
        <f>SUM(F9:G9)</f>
        <v>181.26829746514983</v>
      </c>
      <c r="I9" s="331"/>
      <c r="J9" s="330">
        <v>64.516732223699307</v>
      </c>
      <c r="K9" s="330">
        <v>118.40158884880256</v>
      </c>
      <c r="L9" s="330">
        <f>SUM(J9:K9)</f>
        <v>182.91832107250187</v>
      </c>
      <c r="M9" s="236"/>
      <c r="N9" s="328">
        <f>IF(B9&gt;0,(EXP(LN(F9/B9)/($F$6-$B$6))-1)*100,0)</f>
        <v>6.9865626739979536</v>
      </c>
      <c r="O9" s="328">
        <f>IF(F9&gt;0,(EXP(LN(J9/F9)/($J$6-$F$6))-1)*100,0)</f>
        <v>0.99214014175155185</v>
      </c>
      <c r="P9" s="328"/>
      <c r="Q9" s="328">
        <f>IF(C9&gt;0,(EXP(LN(G9/C9)/($F$6-$B$6))-1)*100,0)</f>
        <v>3.8585910941364876</v>
      </c>
      <c r="R9" s="328">
        <f>IF(G9&gt;0,(EXP(LN(K9/G9)/($J$6-$F$6))-1)*100,0)</f>
        <v>-0.39438251307527539</v>
      </c>
      <c r="S9" s="327"/>
      <c r="T9" s="328">
        <f>IF(D9&gt;0,(EXP(LN(H9/D9)/($F$6-$B$6))-1)*100,0)</f>
        <v>4.7606957530791361</v>
      </c>
      <c r="U9" s="328">
        <f>IF(H9&gt;0,(EXP(LN(L9/H9)/($J$6-$F$6))-1)*100,0)</f>
        <v>6.0428117746491594E-2</v>
      </c>
      <c r="W9" s="93"/>
      <c r="X9" s="93"/>
      <c r="Y9" s="93"/>
    </row>
    <row r="10" spans="1:25" x14ac:dyDescent="0.2">
      <c r="A10" s="329" t="str">
        <f>name!D5</f>
        <v>12 Other managers and proprietors</v>
      </c>
      <c r="B10" s="330">
        <v>24.774354273889305</v>
      </c>
      <c r="C10" s="330">
        <v>44.534536182686395</v>
      </c>
      <c r="D10" s="330">
        <f t="shared" ref="D10:D34" si="0">SUM(B10:C10)</f>
        <v>69.308890456575696</v>
      </c>
      <c r="E10" s="331"/>
      <c r="F10" s="330">
        <v>28.998470496023625</v>
      </c>
      <c r="G10" s="330">
        <v>51.332169945687767</v>
      </c>
      <c r="H10" s="330">
        <f t="shared" ref="H10:H34" si="1">SUM(F10:G10)</f>
        <v>80.330640441711395</v>
      </c>
      <c r="I10" s="331"/>
      <c r="J10" s="330">
        <v>38.595461003726243</v>
      </c>
      <c r="K10" s="330">
        <v>74.83280829095817</v>
      </c>
      <c r="L10" s="330">
        <f t="shared" ref="L10:L34" si="2">SUM(J10:K10)</f>
        <v>113.42826929468441</v>
      </c>
      <c r="M10" s="236"/>
      <c r="N10" s="328">
        <f t="shared" ref="N10:N36" si="3">IF(B10&gt;0,(EXP(LN(F10/B10)/($F$6-$B$6))-1)*100,0)</f>
        <v>3.1987767884419815</v>
      </c>
      <c r="O10" s="328">
        <f t="shared" ref="O10:O36" si="4">IF(F10&gt;0,(EXP(LN(J10/F10)/($J$6-$F$6))-1)*100,0)</f>
        <v>1.9242230024707041</v>
      </c>
      <c r="P10" s="328"/>
      <c r="Q10" s="328">
        <f t="shared" ref="Q10:Q36" si="5">IF(C10&gt;0,(EXP(LN(G10/C10)/($F$6-$B$6))-1)*100,0)</f>
        <v>2.8817962063856672</v>
      </c>
      <c r="R10" s="328">
        <f t="shared" ref="R10:R36" si="6">IF(G10&gt;0,(EXP(LN(K10/G10)/($J$6-$F$6))-1)*100,0)</f>
        <v>2.5447651221500056</v>
      </c>
      <c r="S10" s="327"/>
      <c r="T10" s="328">
        <f t="shared" ref="T10:T36" si="7">IF(D10&gt;0,(EXP(LN(H10/D10)/($F$6-$B$6))-1)*100,0)</f>
        <v>2.9955489346221054</v>
      </c>
      <c r="U10" s="328">
        <f t="shared" ref="U10:U36" si="8">IF(H10&gt;0,(EXP(LN(L10/H10)/($J$6-$F$6))-1)*100,0)</f>
        <v>2.3267871551273966</v>
      </c>
    </row>
    <row r="11" spans="1:25" x14ac:dyDescent="0.2">
      <c r="A11" s="329" t="str">
        <f>name!D6</f>
        <v>21 Science, research, engineering and technology professionals</v>
      </c>
      <c r="B11" s="330">
        <v>19.301157007705772</v>
      </c>
      <c r="C11" s="330">
        <v>98.872351763522474</v>
      </c>
      <c r="D11" s="330">
        <f t="shared" si="0"/>
        <v>118.17350877122824</v>
      </c>
      <c r="E11" s="331"/>
      <c r="F11" s="330">
        <v>27.9137762911419</v>
      </c>
      <c r="G11" s="330">
        <v>118.2391616661123</v>
      </c>
      <c r="H11" s="330">
        <f t="shared" si="1"/>
        <v>146.15293795725421</v>
      </c>
      <c r="I11" s="331"/>
      <c r="J11" s="330">
        <v>39.694714168804857</v>
      </c>
      <c r="K11" s="330">
        <v>132.13511177317218</v>
      </c>
      <c r="L11" s="330">
        <f t="shared" si="2"/>
        <v>171.82982594197705</v>
      </c>
      <c r="M11" s="236"/>
      <c r="N11" s="328">
        <f t="shared" si="3"/>
        <v>7.6581840584088123</v>
      </c>
      <c r="O11" s="328">
        <f t="shared" si="4"/>
        <v>2.3750842945978956</v>
      </c>
      <c r="P11" s="328"/>
      <c r="Q11" s="328">
        <f t="shared" si="5"/>
        <v>3.6423604588435854</v>
      </c>
      <c r="R11" s="328">
        <f t="shared" si="6"/>
        <v>0.74352120069136607</v>
      </c>
      <c r="S11" s="327"/>
      <c r="T11" s="328">
        <f t="shared" si="7"/>
        <v>4.3415980395241416</v>
      </c>
      <c r="U11" s="328">
        <f t="shared" si="8"/>
        <v>1.0848490001600375</v>
      </c>
    </row>
    <row r="12" spans="1:25" x14ac:dyDescent="0.2">
      <c r="A12" s="329" t="str">
        <f>name!D7</f>
        <v>22 Health professionals</v>
      </c>
      <c r="B12" s="330">
        <v>62.600267332643789</v>
      </c>
      <c r="C12" s="330">
        <v>22.341222872057834</v>
      </c>
      <c r="D12" s="330">
        <f t="shared" si="0"/>
        <v>84.941490204701623</v>
      </c>
      <c r="E12" s="331"/>
      <c r="F12" s="330">
        <v>71.132478544799042</v>
      </c>
      <c r="G12" s="330">
        <v>26.544929563504692</v>
      </c>
      <c r="H12" s="330">
        <f t="shared" si="1"/>
        <v>97.677408108303737</v>
      </c>
      <c r="I12" s="331"/>
      <c r="J12" s="330">
        <v>84.795845309644989</v>
      </c>
      <c r="K12" s="330">
        <v>29.857195218193809</v>
      </c>
      <c r="L12" s="330">
        <f t="shared" si="2"/>
        <v>114.6530405278388</v>
      </c>
      <c r="M12" s="236"/>
      <c r="N12" s="328">
        <f t="shared" si="3"/>
        <v>2.5884222656403999</v>
      </c>
      <c r="O12" s="328">
        <f t="shared" si="4"/>
        <v>1.178237264500015</v>
      </c>
      <c r="P12" s="328"/>
      <c r="Q12" s="328">
        <f t="shared" si="5"/>
        <v>3.508240743485791</v>
      </c>
      <c r="R12" s="328">
        <f t="shared" si="6"/>
        <v>0.78699467776781606</v>
      </c>
      <c r="S12" s="327"/>
      <c r="T12" s="328">
        <f t="shared" si="7"/>
        <v>2.8335550947052868</v>
      </c>
      <c r="U12" s="328">
        <f t="shared" si="8"/>
        <v>1.073994585186</v>
      </c>
    </row>
    <row r="13" spans="1:25" x14ac:dyDescent="0.2">
      <c r="A13" s="329" t="str">
        <f>name!D8</f>
        <v>23 Teaching and other educational professionals</v>
      </c>
      <c r="B13" s="330">
        <v>48.888406634724433</v>
      </c>
      <c r="C13" s="330">
        <v>33.452334605941729</v>
      </c>
      <c r="D13" s="330">
        <f t="shared" si="0"/>
        <v>82.340741240666162</v>
      </c>
      <c r="E13" s="331"/>
      <c r="F13" s="330">
        <v>58.308318309901694</v>
      </c>
      <c r="G13" s="330">
        <v>34.980558639345006</v>
      </c>
      <c r="H13" s="330">
        <f t="shared" si="1"/>
        <v>93.288876949246699</v>
      </c>
      <c r="I13" s="331"/>
      <c r="J13" s="330">
        <v>59.370733073429577</v>
      </c>
      <c r="K13" s="330">
        <v>37.205673679189239</v>
      </c>
      <c r="L13" s="330">
        <f t="shared" si="2"/>
        <v>96.576406752618823</v>
      </c>
      <c r="M13" s="236"/>
      <c r="N13" s="328">
        <f t="shared" si="3"/>
        <v>3.586921530393572</v>
      </c>
      <c r="O13" s="328">
        <f t="shared" si="4"/>
        <v>0.12045002576004382</v>
      </c>
      <c r="P13" s="328"/>
      <c r="Q13" s="328">
        <f t="shared" si="5"/>
        <v>0.89742011719406989</v>
      </c>
      <c r="R13" s="328">
        <f t="shared" si="6"/>
        <v>0.41197180162677594</v>
      </c>
      <c r="S13" s="327"/>
      <c r="T13" s="328">
        <f t="shared" si="7"/>
        <v>2.5281257822568071</v>
      </c>
      <c r="U13" s="328">
        <f t="shared" si="8"/>
        <v>0.2311573726335725</v>
      </c>
    </row>
    <row r="14" spans="1:25" x14ac:dyDescent="0.2">
      <c r="A14" s="329" t="str">
        <f>name!D9</f>
        <v>24 Business, media and public service professionals</v>
      </c>
      <c r="B14" s="330">
        <v>47.550603408878771</v>
      </c>
      <c r="C14" s="330">
        <v>68.515156279255748</v>
      </c>
      <c r="D14" s="330">
        <f t="shared" si="0"/>
        <v>116.06575968813452</v>
      </c>
      <c r="E14" s="331"/>
      <c r="F14" s="330">
        <v>73.775627588798926</v>
      </c>
      <c r="G14" s="330">
        <v>84.60129460733441</v>
      </c>
      <c r="H14" s="330">
        <f t="shared" si="1"/>
        <v>158.37692219613334</v>
      </c>
      <c r="I14" s="331"/>
      <c r="J14" s="330">
        <v>95.724147420649373</v>
      </c>
      <c r="K14" s="330">
        <v>103.09883041813268</v>
      </c>
      <c r="L14" s="330">
        <f t="shared" si="2"/>
        <v>198.82297783878204</v>
      </c>
      <c r="M14" s="236"/>
      <c r="N14" s="328">
        <f t="shared" si="3"/>
        <v>9.1820831057588759</v>
      </c>
      <c r="O14" s="328">
        <f t="shared" si="4"/>
        <v>1.7514420666268515</v>
      </c>
      <c r="P14" s="328"/>
      <c r="Q14" s="328">
        <f t="shared" si="5"/>
        <v>4.3081087795913131</v>
      </c>
      <c r="R14" s="328">
        <f t="shared" si="6"/>
        <v>1.3269838260103972</v>
      </c>
      <c r="S14" s="327"/>
      <c r="T14" s="328">
        <f t="shared" si="7"/>
        <v>6.4137030023135422</v>
      </c>
      <c r="U14" s="328">
        <f t="shared" si="8"/>
        <v>1.527800645750732</v>
      </c>
    </row>
    <row r="15" spans="1:25" x14ac:dyDescent="0.2">
      <c r="A15" s="329" t="str">
        <f>name!D10</f>
        <v>31 Science, engineering and technology associate professionals</v>
      </c>
      <c r="B15" s="330">
        <v>9.1745468759550963</v>
      </c>
      <c r="C15" s="330">
        <v>27.714350743778795</v>
      </c>
      <c r="D15" s="330">
        <f t="shared" si="0"/>
        <v>36.888897619733889</v>
      </c>
      <c r="E15" s="331"/>
      <c r="F15" s="330">
        <v>12.600881849873954</v>
      </c>
      <c r="G15" s="330">
        <v>36.295559497899667</v>
      </c>
      <c r="H15" s="330">
        <f t="shared" si="1"/>
        <v>48.896441347773617</v>
      </c>
      <c r="I15" s="331"/>
      <c r="J15" s="330">
        <v>15.201339912632536</v>
      </c>
      <c r="K15" s="330">
        <v>29.935624044277777</v>
      </c>
      <c r="L15" s="330">
        <f t="shared" si="2"/>
        <v>45.136963956910314</v>
      </c>
      <c r="M15" s="236"/>
      <c r="N15" s="328">
        <f t="shared" si="3"/>
        <v>6.5524065848007185</v>
      </c>
      <c r="O15" s="328">
        <f t="shared" si="4"/>
        <v>1.2586334597194382</v>
      </c>
      <c r="P15" s="328"/>
      <c r="Q15" s="328">
        <f t="shared" si="5"/>
        <v>5.5430784256770282</v>
      </c>
      <c r="R15" s="328">
        <f t="shared" si="6"/>
        <v>-1.2760959261378768</v>
      </c>
      <c r="S15" s="327"/>
      <c r="T15" s="328">
        <f t="shared" si="7"/>
        <v>5.7977216071058102</v>
      </c>
      <c r="U15" s="328">
        <f t="shared" si="8"/>
        <v>-0.53193425260152916</v>
      </c>
    </row>
    <row r="16" spans="1:25" x14ac:dyDescent="0.2">
      <c r="A16" s="329" t="str">
        <f>name!D11</f>
        <v>32 Health and social care associate professionals</v>
      </c>
      <c r="B16" s="330">
        <v>29.641923914956099</v>
      </c>
      <c r="C16" s="330">
        <v>8.1142777503434544</v>
      </c>
      <c r="D16" s="330">
        <f t="shared" si="0"/>
        <v>37.756201665299557</v>
      </c>
      <c r="E16" s="331"/>
      <c r="F16" s="330">
        <v>34.632967869733193</v>
      </c>
      <c r="G16" s="330">
        <v>9.1755710419557968</v>
      </c>
      <c r="H16" s="330">
        <f t="shared" si="1"/>
        <v>43.808538911688991</v>
      </c>
      <c r="I16" s="331"/>
      <c r="J16" s="330">
        <v>39.833769056023165</v>
      </c>
      <c r="K16" s="330">
        <v>8.7810621457504023</v>
      </c>
      <c r="L16" s="330">
        <f t="shared" si="2"/>
        <v>48.614831201773569</v>
      </c>
      <c r="M16" s="236"/>
      <c r="N16" s="328">
        <f t="shared" si="3"/>
        <v>3.1612662793903512</v>
      </c>
      <c r="O16" s="328">
        <f t="shared" si="4"/>
        <v>0.93708987723328807</v>
      </c>
      <c r="P16" s="328"/>
      <c r="Q16" s="328">
        <f t="shared" si="5"/>
        <v>2.488856247349136</v>
      </c>
      <c r="R16" s="328">
        <f t="shared" si="6"/>
        <v>-0.29255294247519936</v>
      </c>
      <c r="S16" s="327"/>
      <c r="T16" s="328">
        <f t="shared" si="7"/>
        <v>3.0182325057606318</v>
      </c>
      <c r="U16" s="328">
        <f t="shared" si="8"/>
        <v>0.69641310546697532</v>
      </c>
    </row>
    <row r="17" spans="1:21" x14ac:dyDescent="0.2">
      <c r="A17" s="329" t="str">
        <f>name!D12</f>
        <v>33 Protective service occupations</v>
      </c>
      <c r="B17" s="330">
        <v>4.1816165211443845</v>
      </c>
      <c r="C17" s="330">
        <v>20.493123994800786</v>
      </c>
      <c r="D17" s="330">
        <f t="shared" si="0"/>
        <v>24.674740515945171</v>
      </c>
      <c r="E17" s="331"/>
      <c r="F17" s="330">
        <v>5.2967824101904828</v>
      </c>
      <c r="G17" s="330">
        <v>21.126362730140482</v>
      </c>
      <c r="H17" s="330">
        <f t="shared" si="1"/>
        <v>26.423145140330966</v>
      </c>
      <c r="I17" s="331"/>
      <c r="J17" s="330">
        <v>9.6963333911826126</v>
      </c>
      <c r="K17" s="330">
        <v>26.961241231375908</v>
      </c>
      <c r="L17" s="330">
        <f t="shared" si="2"/>
        <v>36.657574622558521</v>
      </c>
      <c r="M17" s="236"/>
      <c r="N17" s="328">
        <f t="shared" si="3"/>
        <v>4.8415869148501045</v>
      </c>
      <c r="O17" s="328">
        <f t="shared" si="4"/>
        <v>4.1133355426288931</v>
      </c>
      <c r="P17" s="328"/>
      <c r="Q17" s="328">
        <f t="shared" si="5"/>
        <v>0.61050129110815643</v>
      </c>
      <c r="R17" s="328">
        <f t="shared" si="6"/>
        <v>1.6391466251125308</v>
      </c>
      <c r="S17" s="327"/>
      <c r="T17" s="328">
        <f t="shared" si="7"/>
        <v>1.378621879127806</v>
      </c>
      <c r="U17" s="328">
        <f t="shared" si="8"/>
        <v>2.2065230815093928</v>
      </c>
    </row>
    <row r="18" spans="1:21" x14ac:dyDescent="0.2">
      <c r="A18" s="329" t="str">
        <f>name!D13</f>
        <v>34 Culture, media and sports occupations</v>
      </c>
      <c r="B18" s="330">
        <v>13.097180185719353</v>
      </c>
      <c r="C18" s="330">
        <v>19.07462939097546</v>
      </c>
      <c r="D18" s="330">
        <f t="shared" si="0"/>
        <v>32.171809576694812</v>
      </c>
      <c r="E18" s="331"/>
      <c r="F18" s="330">
        <v>16.095832788587543</v>
      </c>
      <c r="G18" s="330">
        <v>16.435728972029647</v>
      </c>
      <c r="H18" s="330">
        <f t="shared" si="1"/>
        <v>32.531561760617194</v>
      </c>
      <c r="I18" s="331"/>
      <c r="J18" s="330">
        <v>16.179341939598753</v>
      </c>
      <c r="K18" s="330">
        <v>16.262260401930249</v>
      </c>
      <c r="L18" s="330">
        <f t="shared" si="2"/>
        <v>32.441602341529006</v>
      </c>
      <c r="M18" s="236"/>
      <c r="N18" s="328">
        <f t="shared" si="3"/>
        <v>4.2094562620010212</v>
      </c>
      <c r="O18" s="328">
        <f t="shared" si="4"/>
        <v>3.450484554650135E-2</v>
      </c>
      <c r="P18" s="328"/>
      <c r="Q18" s="328">
        <f t="shared" si="5"/>
        <v>-2.9341253025122693</v>
      </c>
      <c r="R18" s="328">
        <f t="shared" si="6"/>
        <v>-7.071132388565271E-2</v>
      </c>
      <c r="S18" s="327"/>
      <c r="T18" s="328">
        <f t="shared" si="7"/>
        <v>0.22265068089775131</v>
      </c>
      <c r="U18" s="328">
        <f t="shared" si="8"/>
        <v>-1.8459143798976729E-2</v>
      </c>
    </row>
    <row r="19" spans="1:21" x14ac:dyDescent="0.2">
      <c r="A19" s="329" t="str">
        <f>name!D14</f>
        <v>35 Business and public service associate professionals</v>
      </c>
      <c r="B19" s="330">
        <v>54.167681023392362</v>
      </c>
      <c r="C19" s="330">
        <v>68.827309170250118</v>
      </c>
      <c r="D19" s="330">
        <f t="shared" si="0"/>
        <v>122.99499019364248</v>
      </c>
      <c r="E19" s="331"/>
      <c r="F19" s="330">
        <v>64.077015705968734</v>
      </c>
      <c r="G19" s="330">
        <v>77.624576067753011</v>
      </c>
      <c r="H19" s="330">
        <f t="shared" si="1"/>
        <v>141.70159177372176</v>
      </c>
      <c r="I19" s="331"/>
      <c r="J19" s="330">
        <v>70.271266030986169</v>
      </c>
      <c r="K19" s="330">
        <v>70.693486556350322</v>
      </c>
      <c r="L19" s="330">
        <f t="shared" si="2"/>
        <v>140.96475258733648</v>
      </c>
      <c r="M19" s="236"/>
      <c r="N19" s="328">
        <f t="shared" si="3"/>
        <v>3.4171122619343519</v>
      </c>
      <c r="O19" s="328">
        <f t="shared" si="4"/>
        <v>0.61707780475945828</v>
      </c>
      <c r="P19" s="328"/>
      <c r="Q19" s="328">
        <f t="shared" si="5"/>
        <v>2.4348392118625606</v>
      </c>
      <c r="R19" s="328">
        <f t="shared" si="6"/>
        <v>-0.62159762667901575</v>
      </c>
      <c r="S19" s="327"/>
      <c r="T19" s="328">
        <f t="shared" si="7"/>
        <v>2.8720658531207865</v>
      </c>
      <c r="U19" s="328">
        <f t="shared" si="8"/>
        <v>-3.4750644315961754E-2</v>
      </c>
    </row>
    <row r="20" spans="1:21" x14ac:dyDescent="0.2">
      <c r="A20" s="329" t="str">
        <f>name!D15</f>
        <v>41 Administrative occupations</v>
      </c>
      <c r="B20" s="330">
        <v>149.5836205693667</v>
      </c>
      <c r="C20" s="330">
        <v>45.743766206938886</v>
      </c>
      <c r="D20" s="330">
        <f t="shared" si="0"/>
        <v>195.32738677630559</v>
      </c>
      <c r="E20" s="331"/>
      <c r="F20" s="330">
        <v>153.12876555517886</v>
      </c>
      <c r="G20" s="330">
        <v>53.745299190281344</v>
      </c>
      <c r="H20" s="330">
        <f t="shared" si="1"/>
        <v>206.8740647454602</v>
      </c>
      <c r="I20" s="331"/>
      <c r="J20" s="330">
        <v>125.92451056642848</v>
      </c>
      <c r="K20" s="330">
        <v>53.329325320412913</v>
      </c>
      <c r="L20" s="330">
        <f t="shared" si="2"/>
        <v>179.25383588684139</v>
      </c>
      <c r="M20" s="236"/>
      <c r="N20" s="328">
        <f t="shared" si="3"/>
        <v>0.46957106581759778</v>
      </c>
      <c r="O20" s="328">
        <f t="shared" si="4"/>
        <v>-1.2955121684091631</v>
      </c>
      <c r="P20" s="328"/>
      <c r="Q20" s="328">
        <f t="shared" si="5"/>
        <v>3.2765480030290783</v>
      </c>
      <c r="R20" s="328">
        <f t="shared" si="6"/>
        <v>-5.1785471751319978E-2</v>
      </c>
      <c r="S20" s="327"/>
      <c r="T20" s="328">
        <f t="shared" si="7"/>
        <v>1.1552858285445833</v>
      </c>
      <c r="U20" s="328">
        <f t="shared" si="8"/>
        <v>-0.95083303144161135</v>
      </c>
    </row>
    <row r="21" spans="1:21" x14ac:dyDescent="0.2">
      <c r="A21" s="329" t="str">
        <f>name!D16</f>
        <v>42 Secretarial and related occupations</v>
      </c>
      <c r="B21" s="330">
        <v>43.419226138414743</v>
      </c>
      <c r="C21" s="330">
        <v>3.9573363917290822</v>
      </c>
      <c r="D21" s="330">
        <f t="shared" si="0"/>
        <v>47.376562530143822</v>
      </c>
      <c r="E21" s="331"/>
      <c r="F21" s="330">
        <v>42.034333923316517</v>
      </c>
      <c r="G21" s="330">
        <v>3.0453622577042538</v>
      </c>
      <c r="H21" s="330">
        <f t="shared" si="1"/>
        <v>45.079696181020772</v>
      </c>
      <c r="I21" s="331"/>
      <c r="J21" s="330">
        <v>32.963813044063471</v>
      </c>
      <c r="K21" s="330">
        <v>4.5367883644284062</v>
      </c>
      <c r="L21" s="330">
        <f t="shared" si="2"/>
        <v>37.500601408491875</v>
      </c>
      <c r="M21" s="236"/>
      <c r="N21" s="328">
        <f t="shared" si="3"/>
        <v>-0.64621465202120421</v>
      </c>
      <c r="O21" s="328">
        <f t="shared" si="4"/>
        <v>-1.6074495451482873</v>
      </c>
      <c r="P21" s="328"/>
      <c r="Q21" s="328">
        <f t="shared" si="5"/>
        <v>-5.1041547564130934</v>
      </c>
      <c r="R21" s="328">
        <f t="shared" si="6"/>
        <v>2.692951781176367</v>
      </c>
      <c r="S21" s="327"/>
      <c r="T21" s="328">
        <f t="shared" si="7"/>
        <v>-0.98899090789933419</v>
      </c>
      <c r="U21" s="328">
        <f t="shared" si="8"/>
        <v>-1.2196675458392203</v>
      </c>
    </row>
    <row r="22" spans="1:21" x14ac:dyDescent="0.2">
      <c r="A22" s="329" t="str">
        <f>name!D17</f>
        <v>51 Skilled agricultural and related trades</v>
      </c>
      <c r="B22" s="330">
        <v>5.346280988244354</v>
      </c>
      <c r="C22" s="330">
        <v>22.079172416995558</v>
      </c>
      <c r="D22" s="330">
        <f t="shared" si="0"/>
        <v>27.425453405239914</v>
      </c>
      <c r="E22" s="331"/>
      <c r="F22" s="330">
        <v>7.7953776515740589</v>
      </c>
      <c r="G22" s="330">
        <v>26.314048065727686</v>
      </c>
      <c r="H22" s="330">
        <f t="shared" si="1"/>
        <v>34.109425717301747</v>
      </c>
      <c r="I22" s="331"/>
      <c r="J22" s="330">
        <v>9.2073864081341732</v>
      </c>
      <c r="K22" s="330">
        <v>24.068183302777985</v>
      </c>
      <c r="L22" s="330">
        <f t="shared" si="2"/>
        <v>33.275569710912158</v>
      </c>
      <c r="M22" s="236"/>
      <c r="N22" s="328">
        <f t="shared" si="3"/>
        <v>7.8343378278775688</v>
      </c>
      <c r="O22" s="328">
        <f t="shared" si="4"/>
        <v>1.1160153906975223</v>
      </c>
      <c r="P22" s="328"/>
      <c r="Q22" s="328">
        <f t="shared" si="5"/>
        <v>3.5716689592400375</v>
      </c>
      <c r="R22" s="328">
        <f t="shared" si="6"/>
        <v>-0.59298267766091373</v>
      </c>
      <c r="S22" s="327"/>
      <c r="T22" s="328">
        <f t="shared" si="7"/>
        <v>4.4585801144174653</v>
      </c>
      <c r="U22" s="328">
        <f t="shared" si="8"/>
        <v>-0.16486577793267676</v>
      </c>
    </row>
    <row r="23" spans="1:21" x14ac:dyDescent="0.2">
      <c r="A23" s="329" t="str">
        <f>name!D18</f>
        <v>52 Skilled metal, electrical and electronic trades</v>
      </c>
      <c r="B23" s="330">
        <v>1.4750271162915494</v>
      </c>
      <c r="C23" s="330">
        <v>96.143335751112318</v>
      </c>
      <c r="D23" s="330">
        <f t="shared" si="0"/>
        <v>97.61836286740386</v>
      </c>
      <c r="E23" s="331"/>
      <c r="F23" s="330">
        <v>1.7782517605696671</v>
      </c>
      <c r="G23" s="330">
        <v>84.798483412384755</v>
      </c>
      <c r="H23" s="330">
        <f t="shared" si="1"/>
        <v>86.576735172954429</v>
      </c>
      <c r="I23" s="331"/>
      <c r="J23" s="330">
        <v>5.0914674274539999</v>
      </c>
      <c r="K23" s="330">
        <v>73.345550104969078</v>
      </c>
      <c r="L23" s="330">
        <f t="shared" si="2"/>
        <v>78.437017532423084</v>
      </c>
      <c r="M23" s="236"/>
      <c r="N23" s="328">
        <f t="shared" si="3"/>
        <v>3.8098703425092584</v>
      </c>
      <c r="O23" s="328">
        <f t="shared" si="4"/>
        <v>7.2646569511953585</v>
      </c>
      <c r="P23" s="328"/>
      <c r="Q23" s="328">
        <f t="shared" si="5"/>
        <v>-2.4799804227880196</v>
      </c>
      <c r="R23" s="328">
        <f t="shared" si="6"/>
        <v>-0.96264213026009404</v>
      </c>
      <c r="S23" s="327"/>
      <c r="T23" s="328">
        <f t="shared" si="7"/>
        <v>-2.3721024118824707</v>
      </c>
      <c r="U23" s="328">
        <f t="shared" si="8"/>
        <v>-0.65607274430816709</v>
      </c>
    </row>
    <row r="24" spans="1:21" x14ac:dyDescent="0.2">
      <c r="A24" s="329" t="str">
        <f>name!D19</f>
        <v>53 Skilled construction and building trades</v>
      </c>
      <c r="B24" s="330">
        <v>0.55368940646389053</v>
      </c>
      <c r="C24" s="330">
        <v>62.297823600829879</v>
      </c>
      <c r="D24" s="330">
        <f t="shared" si="0"/>
        <v>62.851513007293768</v>
      </c>
      <c r="E24" s="331"/>
      <c r="F24" s="330">
        <v>0.68868699383700882</v>
      </c>
      <c r="G24" s="330">
        <v>49.141726168841778</v>
      </c>
      <c r="H24" s="330">
        <f t="shared" si="1"/>
        <v>49.830413162678788</v>
      </c>
      <c r="I24" s="331"/>
      <c r="J24" s="330">
        <v>0.77701227141737772</v>
      </c>
      <c r="K24" s="330">
        <v>43.681252199402415</v>
      </c>
      <c r="L24" s="330">
        <f t="shared" si="2"/>
        <v>44.458264470819792</v>
      </c>
      <c r="M24" s="236"/>
      <c r="N24" s="328">
        <f t="shared" si="3"/>
        <v>4.460267434670584</v>
      </c>
      <c r="O24" s="328">
        <f t="shared" si="4"/>
        <v>0.80770626341115648</v>
      </c>
      <c r="P24" s="328"/>
      <c r="Q24" s="328">
        <f t="shared" si="5"/>
        <v>-4.6335741140129949</v>
      </c>
      <c r="R24" s="328">
        <f t="shared" si="6"/>
        <v>-0.78218816531624435</v>
      </c>
      <c r="S24" s="327"/>
      <c r="T24" s="328">
        <f t="shared" si="7"/>
        <v>-4.5368522939296829</v>
      </c>
      <c r="U24" s="328">
        <f t="shared" si="8"/>
        <v>-0.75761307864201655</v>
      </c>
    </row>
    <row r="25" spans="1:21" x14ac:dyDescent="0.2">
      <c r="A25" s="329" t="str">
        <f>name!D20</f>
        <v>54 Textiles, printing and other skilled trades</v>
      </c>
      <c r="B25" s="330">
        <v>18.466433881251383</v>
      </c>
      <c r="C25" s="330">
        <v>26.648396274211162</v>
      </c>
      <c r="D25" s="330">
        <f t="shared" si="0"/>
        <v>45.114830155462542</v>
      </c>
      <c r="E25" s="331"/>
      <c r="F25" s="330">
        <v>17.615231650116986</v>
      </c>
      <c r="G25" s="330">
        <v>20.673349325667296</v>
      </c>
      <c r="H25" s="330">
        <f t="shared" si="1"/>
        <v>38.288580975784285</v>
      </c>
      <c r="I25" s="331"/>
      <c r="J25" s="330">
        <v>15.79109992113734</v>
      </c>
      <c r="K25" s="330">
        <v>17.762813545552557</v>
      </c>
      <c r="L25" s="330">
        <f t="shared" si="2"/>
        <v>33.553913466689899</v>
      </c>
      <c r="M25" s="236"/>
      <c r="N25" s="328">
        <f t="shared" si="3"/>
        <v>-0.93937478519724449</v>
      </c>
      <c r="O25" s="328">
        <f t="shared" si="4"/>
        <v>-0.72613399652046162</v>
      </c>
      <c r="P25" s="328"/>
      <c r="Q25" s="328">
        <f t="shared" si="5"/>
        <v>-4.9509122404303163</v>
      </c>
      <c r="R25" s="328">
        <f t="shared" si="6"/>
        <v>-1.006489008967304</v>
      </c>
      <c r="S25" s="327"/>
      <c r="T25" s="328">
        <f t="shared" si="7"/>
        <v>-3.2279393649460197</v>
      </c>
      <c r="U25" s="328">
        <f t="shared" si="8"/>
        <v>-0.8761274543655162</v>
      </c>
    </row>
    <row r="26" spans="1:21" x14ac:dyDescent="0.2">
      <c r="A26" s="329" t="str">
        <f>name!D21</f>
        <v>61 Caring personal service occupations</v>
      </c>
      <c r="B26" s="330">
        <v>168.52035045626852</v>
      </c>
      <c r="C26" s="330">
        <v>28.600282717757249</v>
      </c>
      <c r="D26" s="330">
        <f t="shared" si="0"/>
        <v>197.12063317402576</v>
      </c>
      <c r="E26" s="331"/>
      <c r="F26" s="330">
        <v>165.23274304873001</v>
      </c>
      <c r="G26" s="330">
        <v>29.926350343421149</v>
      </c>
      <c r="H26" s="330">
        <f t="shared" si="1"/>
        <v>195.15909339215116</v>
      </c>
      <c r="I26" s="331"/>
      <c r="J26" s="330">
        <v>186.27761342193961</v>
      </c>
      <c r="K26" s="330">
        <v>42.993213296587832</v>
      </c>
      <c r="L26" s="330">
        <f t="shared" si="2"/>
        <v>229.27082671852745</v>
      </c>
      <c r="M26" s="236"/>
      <c r="N26" s="328">
        <f t="shared" si="3"/>
        <v>-0.39325417853638411</v>
      </c>
      <c r="O26" s="328">
        <f t="shared" si="4"/>
        <v>0.80242270735018106</v>
      </c>
      <c r="P26" s="328"/>
      <c r="Q26" s="328">
        <f t="shared" si="5"/>
        <v>0.91057618218541858</v>
      </c>
      <c r="R26" s="328">
        <f t="shared" si="6"/>
        <v>2.4447585720806186</v>
      </c>
      <c r="S26" s="327"/>
      <c r="T26" s="328">
        <f t="shared" si="7"/>
        <v>-0.1998161609227167</v>
      </c>
      <c r="U26" s="328">
        <f t="shared" si="8"/>
        <v>1.0797130460473703</v>
      </c>
    </row>
    <row r="27" spans="1:21" x14ac:dyDescent="0.2">
      <c r="A27" s="329" t="str">
        <f>name!D22</f>
        <v>62 Leisure, travel and related personal service occupations</v>
      </c>
      <c r="B27" s="330">
        <v>33.848880254291508</v>
      </c>
      <c r="C27" s="330">
        <v>15.536436987397694</v>
      </c>
      <c r="D27" s="330">
        <f t="shared" si="0"/>
        <v>49.385317241689201</v>
      </c>
      <c r="E27" s="331"/>
      <c r="F27" s="330">
        <v>41.921551507002079</v>
      </c>
      <c r="G27" s="330">
        <v>17.06761776133704</v>
      </c>
      <c r="H27" s="330">
        <f t="shared" si="1"/>
        <v>58.989169268339118</v>
      </c>
      <c r="I27" s="331"/>
      <c r="J27" s="330">
        <v>41.740820208565474</v>
      </c>
      <c r="K27" s="330">
        <v>18.663295831357736</v>
      </c>
      <c r="L27" s="330">
        <f t="shared" si="2"/>
        <v>60.40411603992321</v>
      </c>
      <c r="M27" s="236"/>
      <c r="N27" s="328">
        <f t="shared" si="3"/>
        <v>4.3707028732520303</v>
      </c>
      <c r="O27" s="328">
        <f t="shared" si="4"/>
        <v>-2.8799176183491593E-2</v>
      </c>
      <c r="P27" s="328"/>
      <c r="Q27" s="328">
        <f t="shared" si="5"/>
        <v>1.8976799726003746</v>
      </c>
      <c r="R27" s="328">
        <f t="shared" si="6"/>
        <v>0.59761755265770322</v>
      </c>
      <c r="S27" s="327"/>
      <c r="T27" s="328">
        <f t="shared" si="7"/>
        <v>3.6179238936282498</v>
      </c>
      <c r="U27" s="328">
        <f t="shared" si="8"/>
        <v>0.15814754583474144</v>
      </c>
    </row>
    <row r="28" spans="1:21" x14ac:dyDescent="0.2">
      <c r="A28" s="329" t="str">
        <f>name!D23</f>
        <v>63 Community and civil enforcement occupations</v>
      </c>
      <c r="B28" s="330">
        <v>0.43751229762310562</v>
      </c>
      <c r="C28" s="330">
        <v>1.9580906299336531</v>
      </c>
      <c r="D28" s="330">
        <f t="shared" si="0"/>
        <v>2.3956029275567587</v>
      </c>
      <c r="E28" s="331"/>
      <c r="F28" s="330">
        <v>0.47796319842238649</v>
      </c>
      <c r="G28" s="330">
        <v>2.074908611724871</v>
      </c>
      <c r="H28" s="330">
        <f t="shared" si="1"/>
        <v>2.5528718101472574</v>
      </c>
      <c r="I28" s="331"/>
      <c r="J28" s="330">
        <v>0.62404187209398865</v>
      </c>
      <c r="K28" s="330">
        <v>1.7087817014103241</v>
      </c>
      <c r="L28" s="330">
        <f>SUM(J28:K28)</f>
        <v>2.3328235735043128</v>
      </c>
      <c r="M28" s="236"/>
      <c r="N28" s="328">
        <f t="shared" si="3"/>
        <v>1.7843104470149695</v>
      </c>
      <c r="O28" s="328">
        <f t="shared" si="4"/>
        <v>1.7937901052446747</v>
      </c>
      <c r="P28" s="328"/>
      <c r="Q28" s="328">
        <f t="shared" si="5"/>
        <v>1.1656873967476278</v>
      </c>
      <c r="R28" s="328">
        <f t="shared" si="6"/>
        <v>-1.285903683712919</v>
      </c>
      <c r="S28" s="327"/>
      <c r="T28" s="328">
        <f t="shared" si="7"/>
        <v>1.2797998716971071</v>
      </c>
      <c r="U28" s="328">
        <f t="shared" si="8"/>
        <v>-0.59912840817828439</v>
      </c>
    </row>
    <row r="29" spans="1:21" x14ac:dyDescent="0.2">
      <c r="A29" s="329" t="str">
        <f>name!D24</f>
        <v>71 Sales occupations</v>
      </c>
      <c r="B29" s="330">
        <v>110.37160301160536</v>
      </c>
      <c r="C29" s="330">
        <v>62.932369114855241</v>
      </c>
      <c r="D29" s="330">
        <f t="shared" si="0"/>
        <v>173.30397212646059</v>
      </c>
      <c r="E29" s="331"/>
      <c r="F29" s="330">
        <v>97.504090383190203</v>
      </c>
      <c r="G29" s="330">
        <v>60.66728495009724</v>
      </c>
      <c r="H29" s="330">
        <f t="shared" si="1"/>
        <v>158.17137533328744</v>
      </c>
      <c r="I29" s="331"/>
      <c r="J29" s="330">
        <v>84.404783545041496</v>
      </c>
      <c r="K29" s="330">
        <v>54.753923860133646</v>
      </c>
      <c r="L29" s="330">
        <f t="shared" si="2"/>
        <v>139.15870740517514</v>
      </c>
      <c r="M29" s="236"/>
      <c r="N29" s="328">
        <f t="shared" si="3"/>
        <v>-2.4486919879964542</v>
      </c>
      <c r="O29" s="328">
        <f t="shared" si="4"/>
        <v>-0.95719116546781891</v>
      </c>
      <c r="P29" s="328"/>
      <c r="Q29" s="328">
        <f t="shared" si="5"/>
        <v>-0.73044029886959461</v>
      </c>
      <c r="R29" s="328">
        <f t="shared" si="6"/>
        <v>-0.68137176402338628</v>
      </c>
      <c r="S29" s="327"/>
      <c r="T29" s="328">
        <f t="shared" si="7"/>
        <v>-1.8107653629981679</v>
      </c>
      <c r="U29" s="328">
        <f t="shared" si="8"/>
        <v>-0.85012606715890726</v>
      </c>
    </row>
    <row r="30" spans="1:21" x14ac:dyDescent="0.2">
      <c r="A30" s="329" t="str">
        <f>name!D25</f>
        <v>72 Customer service occupations</v>
      </c>
      <c r="B30" s="330">
        <v>24.268480773984553</v>
      </c>
      <c r="C30" s="330">
        <v>12.00587690607736</v>
      </c>
      <c r="D30" s="330">
        <f t="shared" si="0"/>
        <v>36.274357680061911</v>
      </c>
      <c r="E30" s="331"/>
      <c r="F30" s="330">
        <v>26.801889353846089</v>
      </c>
      <c r="G30" s="330">
        <v>13.208840958383709</v>
      </c>
      <c r="H30" s="330">
        <f t="shared" si="1"/>
        <v>40.010730312229796</v>
      </c>
      <c r="I30" s="331"/>
      <c r="J30" s="330">
        <v>37.204281284964942</v>
      </c>
      <c r="K30" s="330">
        <v>20.668052153204229</v>
      </c>
      <c r="L30" s="330">
        <f t="shared" si="2"/>
        <v>57.872333438169171</v>
      </c>
      <c r="M30" s="236"/>
      <c r="N30" s="328">
        <f t="shared" si="3"/>
        <v>2.0057290096278324</v>
      </c>
      <c r="O30" s="328">
        <f t="shared" si="4"/>
        <v>2.2104186827217376</v>
      </c>
      <c r="P30" s="328"/>
      <c r="Q30" s="328">
        <f t="shared" si="5"/>
        <v>1.9281554288987035</v>
      </c>
      <c r="R30" s="328">
        <f t="shared" si="6"/>
        <v>3.0296732532127502</v>
      </c>
      <c r="S30" s="327"/>
      <c r="T30" s="328">
        <f t="shared" si="7"/>
        <v>1.9800802806441142</v>
      </c>
      <c r="U30" s="328">
        <f t="shared" si="8"/>
        <v>2.4911346256979661</v>
      </c>
    </row>
    <row r="31" spans="1:21" x14ac:dyDescent="0.2">
      <c r="A31" s="329" t="str">
        <f>name!D26</f>
        <v>81 Process, plant and machine operatives</v>
      </c>
      <c r="B31" s="330">
        <v>23.471118169788657</v>
      </c>
      <c r="C31" s="330">
        <v>72.86538913578822</v>
      </c>
      <c r="D31" s="330">
        <f t="shared" si="0"/>
        <v>96.336507305576873</v>
      </c>
      <c r="E31" s="331"/>
      <c r="F31" s="330">
        <v>20.525061343465303</v>
      </c>
      <c r="G31" s="330">
        <v>62.455900666135868</v>
      </c>
      <c r="H31" s="330">
        <f t="shared" si="1"/>
        <v>82.980962009601171</v>
      </c>
      <c r="I31" s="331"/>
      <c r="J31" s="330">
        <v>28.028672868264309</v>
      </c>
      <c r="K31" s="330">
        <v>70.60322088739909</v>
      </c>
      <c r="L31" s="330">
        <f t="shared" si="2"/>
        <v>98.631893755663398</v>
      </c>
      <c r="M31" s="236"/>
      <c r="N31" s="328">
        <f t="shared" si="3"/>
        <v>-2.646821204614791</v>
      </c>
      <c r="O31" s="328">
        <f t="shared" si="4"/>
        <v>2.0989333017408018</v>
      </c>
      <c r="P31" s="328"/>
      <c r="Q31" s="328">
        <f t="shared" si="5"/>
        <v>-3.0360190855518332</v>
      </c>
      <c r="R31" s="328">
        <f t="shared" si="6"/>
        <v>0.82078375582823604</v>
      </c>
      <c r="S31" s="327"/>
      <c r="T31" s="328">
        <f t="shared" si="7"/>
        <v>-2.9406197949755186</v>
      </c>
      <c r="U31" s="328">
        <f t="shared" si="8"/>
        <v>1.1585495788117184</v>
      </c>
    </row>
    <row r="32" spans="1:21" x14ac:dyDescent="0.2">
      <c r="A32" s="329" t="str">
        <f>name!D27</f>
        <v>82 Transport and mobile machine drivers and operatives</v>
      </c>
      <c r="B32" s="330">
        <v>4.6840066212506333</v>
      </c>
      <c r="C32" s="330">
        <v>88.266925561864383</v>
      </c>
      <c r="D32" s="330">
        <f t="shared" si="0"/>
        <v>92.950932183115015</v>
      </c>
      <c r="E32" s="331"/>
      <c r="F32" s="330">
        <v>5.3001612001227141</v>
      </c>
      <c r="G32" s="330">
        <v>99.866578096541502</v>
      </c>
      <c r="H32" s="330">
        <f t="shared" si="1"/>
        <v>105.16673929666422</v>
      </c>
      <c r="I32" s="331"/>
      <c r="J32" s="330">
        <v>8.3247260184519316</v>
      </c>
      <c r="K32" s="330">
        <v>99.233680551748591</v>
      </c>
      <c r="L32" s="330">
        <f t="shared" si="2"/>
        <v>107.55840657020052</v>
      </c>
      <c r="M32" s="236"/>
      <c r="N32" s="328">
        <f t="shared" si="3"/>
        <v>2.5024664448985101</v>
      </c>
      <c r="O32" s="328">
        <f t="shared" si="4"/>
        <v>3.0557096035015441</v>
      </c>
      <c r="P32" s="328"/>
      <c r="Q32" s="328">
        <f t="shared" si="5"/>
        <v>2.5001341653268172</v>
      </c>
      <c r="R32" s="328">
        <f t="shared" si="6"/>
        <v>-4.2375004147321427E-2</v>
      </c>
      <c r="S32" s="327"/>
      <c r="T32" s="328">
        <f t="shared" si="7"/>
        <v>2.5002516992213453</v>
      </c>
      <c r="U32" s="328">
        <f t="shared" si="8"/>
        <v>0.15002531237895411</v>
      </c>
    </row>
    <row r="33" spans="1:21" x14ac:dyDescent="0.2">
      <c r="A33" s="329" t="str">
        <f>name!D28</f>
        <v>91 Elementary trades and related occupations</v>
      </c>
      <c r="B33" s="330">
        <v>13.911370888433424</v>
      </c>
      <c r="C33" s="330">
        <v>38.340440423440072</v>
      </c>
      <c r="D33" s="330">
        <f t="shared" si="0"/>
        <v>52.251811311873496</v>
      </c>
      <c r="E33" s="331"/>
      <c r="F33" s="330">
        <v>10.436879625088894</v>
      </c>
      <c r="G33" s="330">
        <v>33.996751263540361</v>
      </c>
      <c r="H33" s="330">
        <f t="shared" si="1"/>
        <v>44.433630888629253</v>
      </c>
      <c r="I33" s="331"/>
      <c r="J33" s="330">
        <v>8.7812832706338337</v>
      </c>
      <c r="K33" s="330">
        <v>26.060432656740023</v>
      </c>
      <c r="L33" s="330">
        <f t="shared" si="2"/>
        <v>34.841715927373855</v>
      </c>
      <c r="M33" s="236"/>
      <c r="N33" s="328">
        <f t="shared" si="3"/>
        <v>-5.5851844523258976</v>
      </c>
      <c r="O33" s="328">
        <f t="shared" si="4"/>
        <v>-1.1448830644904207</v>
      </c>
      <c r="P33" s="328"/>
      <c r="Q33" s="328">
        <f t="shared" si="5"/>
        <v>-2.3761200791949877</v>
      </c>
      <c r="R33" s="328">
        <f t="shared" si="6"/>
        <v>-1.7566988922450788</v>
      </c>
      <c r="S33" s="327"/>
      <c r="T33" s="328">
        <f t="shared" si="7"/>
        <v>-3.1895830395357039</v>
      </c>
      <c r="U33" s="328">
        <f t="shared" si="8"/>
        <v>-1.6081373684155187</v>
      </c>
    </row>
    <row r="34" spans="1:21" x14ac:dyDescent="0.2">
      <c r="A34" s="329" t="str">
        <f>name!D29</f>
        <v>92 Elementary administration and service occupations</v>
      </c>
      <c r="B34" s="330">
        <v>109.5477871786568</v>
      </c>
      <c r="C34" s="330">
        <v>120.2348841355231</v>
      </c>
      <c r="D34" s="330">
        <f t="shared" si="0"/>
        <v>229.78267131417991</v>
      </c>
      <c r="E34" s="331"/>
      <c r="F34" s="330">
        <v>101.93649825519061</v>
      </c>
      <c r="G34" s="330">
        <v>103.62165142496671</v>
      </c>
      <c r="H34" s="330">
        <f t="shared" si="1"/>
        <v>205.55814968015733</v>
      </c>
      <c r="I34" s="331"/>
      <c r="J34" s="330">
        <v>91.271804340445513</v>
      </c>
      <c r="K34" s="330">
        <v>100.82760361559873</v>
      </c>
      <c r="L34" s="330">
        <f t="shared" si="2"/>
        <v>192.09940795604425</v>
      </c>
      <c r="M34" s="236"/>
      <c r="N34" s="328">
        <f t="shared" si="3"/>
        <v>-1.4298947628485048</v>
      </c>
      <c r="O34" s="328">
        <f t="shared" si="4"/>
        <v>-0.73401378146915608</v>
      </c>
      <c r="P34" s="328"/>
      <c r="Q34" s="328">
        <f t="shared" si="5"/>
        <v>-2.9302292311488731</v>
      </c>
      <c r="R34" s="328">
        <f t="shared" si="6"/>
        <v>-0.18206163329063108</v>
      </c>
      <c r="S34" s="327"/>
      <c r="T34" s="328">
        <f t="shared" si="7"/>
        <v>-2.2034610695765955</v>
      </c>
      <c r="U34" s="328">
        <f t="shared" si="8"/>
        <v>-0.4504223614896441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7"/>
      <c r="O35" s="328"/>
      <c r="P35" s="328"/>
      <c r="Q35" s="328"/>
      <c r="R35" s="328"/>
      <c r="S35" s="327"/>
      <c r="T35" s="328"/>
      <c r="U35" s="328"/>
    </row>
    <row r="36" spans="1:21" x14ac:dyDescent="0.2">
      <c r="A36" s="332" t="str">
        <f>name!D3</f>
        <v>All occupations</v>
      </c>
      <c r="B36" s="333">
        <f>SUM(B9:B34)</f>
        <v>1060.9759999993769</v>
      </c>
      <c r="C36" s="333">
        <f t="shared" ref="C36:D36" si="9">SUM(C9:C34)</f>
        <v>1213.5149999998519</v>
      </c>
      <c r="D36" s="333">
        <f t="shared" si="9"/>
        <v>2274.4909999992287</v>
      </c>
      <c r="E36" s="333"/>
      <c r="F36" s="333">
        <f>SUM(F9:F34)</f>
        <v>1141.6459999992212</v>
      </c>
      <c r="G36" s="333">
        <f t="shared" ref="G36:H36" si="10">SUM(G9:G34)</f>
        <v>1262.591999999117</v>
      </c>
      <c r="H36" s="333">
        <f t="shared" si="10"/>
        <v>2404.2379999983382</v>
      </c>
      <c r="I36" s="333"/>
      <c r="J36" s="333">
        <f>SUM(J9:J34)</f>
        <v>1210.2929999994133</v>
      </c>
      <c r="K36" s="333">
        <f t="shared" ref="K36:L36" si="11">SUM(K9:K34)</f>
        <v>1300.4009999998568</v>
      </c>
      <c r="L36" s="333">
        <f t="shared" si="11"/>
        <v>2510.6939999992705</v>
      </c>
      <c r="M36" s="258"/>
      <c r="N36" s="334">
        <f t="shared" si="3"/>
        <v>1.4764299511596191</v>
      </c>
      <c r="O36" s="334">
        <f t="shared" si="4"/>
        <v>0.3900346521797049</v>
      </c>
      <c r="P36" s="334"/>
      <c r="Q36" s="334">
        <f t="shared" si="5"/>
        <v>0.79606475420928025</v>
      </c>
      <c r="R36" s="334">
        <f t="shared" si="6"/>
        <v>0.19689977781427448</v>
      </c>
      <c r="S36" s="334"/>
      <c r="T36" s="334">
        <f t="shared" si="7"/>
        <v>1.115712608503272</v>
      </c>
      <c r="U36" s="334">
        <f t="shared" si="8"/>
        <v>0.28925885184050149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2"/>
      <c r="C40" s="372"/>
      <c r="D40" s="372"/>
      <c r="E40" s="253"/>
      <c r="F40" s="372"/>
      <c r="G40" s="372"/>
      <c r="H40" s="372"/>
      <c r="I40" s="253"/>
      <c r="J40" s="372"/>
      <c r="K40" s="372"/>
      <c r="L40" s="372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2"/>
      <c r="C57" s="372"/>
      <c r="D57" s="372"/>
      <c r="E57" s="253"/>
      <c r="F57" s="372"/>
      <c r="G57" s="372"/>
      <c r="H57" s="372"/>
      <c r="I57" s="253"/>
      <c r="J57" s="372"/>
      <c r="K57" s="372"/>
      <c r="L57" s="372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2"/>
      <c r="C74" s="372"/>
      <c r="D74" s="372"/>
      <c r="E74" s="253"/>
      <c r="F74" s="372"/>
      <c r="G74" s="372"/>
      <c r="H74" s="372"/>
      <c r="I74" s="253"/>
      <c r="J74" s="372"/>
      <c r="K74" s="372"/>
      <c r="L74" s="372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2"/>
      <c r="C91" s="372"/>
      <c r="D91" s="372"/>
      <c r="E91" s="253"/>
      <c r="F91" s="372"/>
      <c r="G91" s="372"/>
      <c r="H91" s="372"/>
      <c r="I91" s="253"/>
      <c r="J91" s="372"/>
      <c r="K91" s="372"/>
      <c r="L91" s="372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2"/>
      <c r="C108" s="372"/>
      <c r="D108" s="372"/>
      <c r="E108" s="253"/>
      <c r="F108" s="372"/>
      <c r="G108" s="372"/>
      <c r="H108" s="372"/>
      <c r="I108" s="253"/>
      <c r="J108" s="372"/>
      <c r="K108" s="372"/>
      <c r="L108" s="372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2"/>
      <c r="C125" s="372"/>
      <c r="D125" s="372"/>
      <c r="E125" s="253"/>
      <c r="F125" s="372"/>
      <c r="G125" s="372"/>
      <c r="H125" s="372"/>
      <c r="I125" s="253"/>
      <c r="J125" s="372"/>
      <c r="K125" s="372"/>
      <c r="L125" s="372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2"/>
      <c r="C142" s="372"/>
      <c r="D142" s="372"/>
      <c r="E142" s="253"/>
      <c r="F142" s="372"/>
      <c r="G142" s="372"/>
      <c r="H142" s="372"/>
      <c r="I142" s="253"/>
      <c r="J142" s="372"/>
      <c r="K142" s="372"/>
      <c r="L142" s="372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2"/>
      <c r="C159" s="372"/>
      <c r="D159" s="372"/>
      <c r="E159" s="253"/>
      <c r="F159" s="372"/>
      <c r="G159" s="372"/>
      <c r="H159" s="372"/>
      <c r="I159" s="253"/>
      <c r="J159" s="372"/>
      <c r="K159" s="372"/>
      <c r="L159" s="372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2"/>
      <c r="C176" s="372"/>
      <c r="D176" s="372"/>
      <c r="E176" s="253"/>
      <c r="F176" s="372"/>
      <c r="G176" s="372"/>
      <c r="H176" s="372"/>
      <c r="I176" s="253"/>
      <c r="J176" s="372"/>
      <c r="K176" s="372"/>
      <c r="L176" s="372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2"/>
      <c r="C193" s="372"/>
      <c r="D193" s="372"/>
      <c r="E193" s="253"/>
      <c r="F193" s="372"/>
      <c r="G193" s="372"/>
      <c r="H193" s="372"/>
      <c r="I193" s="253"/>
      <c r="J193" s="372"/>
      <c r="K193" s="372"/>
      <c r="L193" s="372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2"/>
      <c r="C210" s="372"/>
      <c r="D210" s="372"/>
      <c r="E210" s="253"/>
      <c r="F210" s="372"/>
      <c r="G210" s="372"/>
      <c r="H210" s="372"/>
      <c r="I210" s="253"/>
      <c r="J210" s="372"/>
      <c r="K210" s="372"/>
      <c r="L210" s="372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2"/>
      <c r="C227" s="372"/>
      <c r="D227" s="372"/>
      <c r="E227" s="253"/>
      <c r="F227" s="372"/>
      <c r="G227" s="372"/>
      <c r="H227" s="372"/>
      <c r="I227" s="253"/>
      <c r="J227" s="372"/>
      <c r="K227" s="372"/>
      <c r="L227" s="372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2"/>
      <c r="C244" s="372"/>
      <c r="D244" s="372"/>
      <c r="E244" s="253"/>
      <c r="F244" s="372"/>
      <c r="G244" s="372"/>
      <c r="H244" s="372"/>
      <c r="I244" s="253"/>
      <c r="J244" s="372"/>
      <c r="K244" s="372"/>
      <c r="L244" s="372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2"/>
      <c r="C261" s="372"/>
      <c r="D261" s="372"/>
      <c r="E261" s="253"/>
      <c r="F261" s="372"/>
      <c r="G261" s="372"/>
      <c r="H261" s="372"/>
      <c r="I261" s="253"/>
      <c r="J261" s="372"/>
      <c r="K261" s="372"/>
      <c r="L261" s="372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2"/>
      <c r="C278" s="372"/>
      <c r="D278" s="372"/>
      <c r="E278" s="253"/>
      <c r="F278" s="372"/>
      <c r="G278" s="372"/>
      <c r="H278" s="372"/>
      <c r="I278" s="253"/>
      <c r="J278" s="372"/>
      <c r="K278" s="372"/>
      <c r="L278" s="372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2"/>
      <c r="C295" s="372"/>
      <c r="D295" s="372"/>
      <c r="E295" s="253"/>
      <c r="F295" s="372"/>
      <c r="G295" s="372"/>
      <c r="H295" s="372"/>
      <c r="I295" s="253"/>
      <c r="J295" s="372"/>
      <c r="K295" s="372"/>
      <c r="L295" s="372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2"/>
      <c r="C312" s="372"/>
      <c r="D312" s="372"/>
      <c r="E312" s="253"/>
      <c r="F312" s="372"/>
      <c r="G312" s="372"/>
      <c r="H312" s="372"/>
      <c r="I312" s="253"/>
      <c r="J312" s="372"/>
      <c r="K312" s="372"/>
      <c r="L312" s="372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2"/>
      <c r="C329" s="372"/>
      <c r="D329" s="372"/>
      <c r="E329" s="253"/>
      <c r="F329" s="372"/>
      <c r="G329" s="372"/>
      <c r="H329" s="372"/>
      <c r="I329" s="253"/>
      <c r="J329" s="372"/>
      <c r="K329" s="372"/>
      <c r="L329" s="372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2"/>
      <c r="C346" s="372"/>
      <c r="D346" s="372"/>
      <c r="E346" s="253"/>
      <c r="F346" s="372"/>
      <c r="G346" s="372"/>
      <c r="H346" s="372"/>
      <c r="I346" s="253"/>
      <c r="J346" s="372"/>
      <c r="K346" s="372"/>
      <c r="L346" s="372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2"/>
      <c r="C363" s="372"/>
      <c r="D363" s="372"/>
      <c r="E363" s="253"/>
      <c r="F363" s="372"/>
      <c r="G363" s="372"/>
      <c r="H363" s="372"/>
      <c r="I363" s="253"/>
      <c r="J363" s="372"/>
      <c r="K363" s="372"/>
      <c r="L363" s="372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2"/>
      <c r="C380" s="372"/>
      <c r="D380" s="372"/>
      <c r="E380" s="253"/>
      <c r="F380" s="372"/>
      <c r="G380" s="372"/>
      <c r="H380" s="372"/>
      <c r="I380" s="253"/>
      <c r="J380" s="372"/>
      <c r="K380" s="372"/>
      <c r="L380" s="372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2"/>
      <c r="C397" s="372"/>
      <c r="D397" s="372"/>
      <c r="E397" s="253"/>
      <c r="F397" s="372"/>
      <c r="G397" s="372"/>
      <c r="H397" s="372"/>
      <c r="I397" s="253"/>
      <c r="J397" s="372"/>
      <c r="K397" s="372"/>
      <c r="L397" s="372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2"/>
      <c r="C414" s="372"/>
      <c r="D414" s="372"/>
      <c r="E414" s="253"/>
      <c r="F414" s="372"/>
      <c r="G414" s="372"/>
      <c r="H414" s="372"/>
      <c r="I414" s="253"/>
      <c r="J414" s="372"/>
      <c r="K414" s="372"/>
      <c r="L414" s="372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2"/>
      <c r="C431" s="372"/>
      <c r="D431" s="372"/>
      <c r="E431" s="253"/>
      <c r="F431" s="372"/>
      <c r="G431" s="372"/>
      <c r="H431" s="372"/>
      <c r="I431" s="253"/>
      <c r="J431" s="372"/>
      <c r="K431" s="372"/>
      <c r="L431" s="372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2"/>
      <c r="C448" s="372"/>
      <c r="D448" s="372"/>
      <c r="E448" s="253"/>
      <c r="F448" s="372"/>
      <c r="G448" s="372"/>
      <c r="H448" s="372"/>
      <c r="I448" s="253"/>
      <c r="J448" s="372"/>
      <c r="K448" s="372"/>
      <c r="L448" s="372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2"/>
      <c r="C465" s="372"/>
      <c r="D465" s="372"/>
      <c r="E465" s="253"/>
      <c r="F465" s="372"/>
      <c r="G465" s="372"/>
      <c r="H465" s="372"/>
      <c r="I465" s="253"/>
      <c r="J465" s="372"/>
      <c r="K465" s="372"/>
      <c r="L465" s="372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2"/>
      <c r="C482" s="372"/>
      <c r="D482" s="372"/>
      <c r="E482" s="253"/>
      <c r="F482" s="372"/>
      <c r="G482" s="372"/>
      <c r="H482" s="372"/>
      <c r="I482" s="253"/>
      <c r="J482" s="372"/>
      <c r="K482" s="372"/>
      <c r="L482" s="372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2"/>
      <c r="C499" s="372"/>
      <c r="D499" s="372"/>
      <c r="E499" s="253"/>
      <c r="F499" s="372"/>
      <c r="G499" s="372"/>
      <c r="H499" s="372"/>
      <c r="I499" s="253"/>
      <c r="J499" s="372"/>
      <c r="K499" s="372"/>
      <c r="L499" s="372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2"/>
      <c r="C516" s="372"/>
      <c r="D516" s="372"/>
      <c r="E516" s="253"/>
      <c r="F516" s="372"/>
      <c r="G516" s="372"/>
      <c r="H516" s="372"/>
      <c r="I516" s="253"/>
      <c r="J516" s="372"/>
      <c r="K516" s="372"/>
      <c r="L516" s="372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2"/>
      <c r="C533" s="372"/>
      <c r="D533" s="372"/>
      <c r="E533" s="253"/>
      <c r="F533" s="372"/>
      <c r="G533" s="372"/>
      <c r="H533" s="372"/>
      <c r="I533" s="253"/>
      <c r="J533" s="372"/>
      <c r="K533" s="372"/>
      <c r="L533" s="372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2"/>
      <c r="C550" s="372"/>
      <c r="D550" s="372"/>
      <c r="E550" s="253"/>
      <c r="F550" s="372"/>
      <c r="G550" s="372"/>
      <c r="H550" s="372"/>
      <c r="I550" s="253"/>
      <c r="J550" s="372"/>
      <c r="K550" s="372"/>
      <c r="L550" s="372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2"/>
      <c r="C567" s="372"/>
      <c r="D567" s="372"/>
      <c r="E567" s="253"/>
      <c r="F567" s="372"/>
      <c r="G567" s="372"/>
      <c r="H567" s="372"/>
      <c r="I567" s="253"/>
      <c r="J567" s="372"/>
      <c r="K567" s="372"/>
      <c r="L567" s="372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2"/>
      <c r="C584" s="372"/>
      <c r="D584" s="372"/>
      <c r="E584" s="253"/>
      <c r="F584" s="372"/>
      <c r="G584" s="372"/>
      <c r="H584" s="372"/>
      <c r="I584" s="253"/>
      <c r="J584" s="372"/>
      <c r="K584" s="372"/>
      <c r="L584" s="372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2"/>
      <c r="C601" s="372"/>
      <c r="D601" s="372"/>
      <c r="E601" s="253"/>
      <c r="F601" s="372"/>
      <c r="G601" s="372"/>
      <c r="H601" s="372"/>
      <c r="I601" s="253"/>
      <c r="J601" s="372"/>
      <c r="K601" s="372"/>
      <c r="L601" s="372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2"/>
      <c r="C618" s="372"/>
      <c r="D618" s="372"/>
      <c r="E618" s="253"/>
      <c r="F618" s="372"/>
      <c r="G618" s="372"/>
      <c r="H618" s="372"/>
      <c r="I618" s="253"/>
      <c r="J618" s="372"/>
      <c r="K618" s="372"/>
      <c r="L618" s="372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2"/>
      <c r="C635" s="372"/>
      <c r="D635" s="372"/>
      <c r="E635" s="253"/>
      <c r="F635" s="372"/>
      <c r="G635" s="372"/>
      <c r="H635" s="372"/>
      <c r="I635" s="253"/>
      <c r="J635" s="372"/>
      <c r="K635" s="372"/>
      <c r="L635" s="372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2"/>
      <c r="C652" s="372"/>
      <c r="D652" s="372"/>
      <c r="E652" s="253"/>
      <c r="F652" s="372"/>
      <c r="G652" s="372"/>
      <c r="H652" s="372"/>
      <c r="I652" s="253"/>
      <c r="J652" s="372"/>
      <c r="K652" s="372"/>
      <c r="L652" s="372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2"/>
      <c r="C669" s="372"/>
      <c r="D669" s="372"/>
      <c r="E669" s="253"/>
      <c r="F669" s="372"/>
      <c r="G669" s="372"/>
      <c r="H669" s="372"/>
      <c r="I669" s="253"/>
      <c r="J669" s="372"/>
      <c r="K669" s="372"/>
      <c r="L669" s="372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2"/>
      <c r="C686" s="372"/>
      <c r="D686" s="372"/>
      <c r="E686" s="253"/>
      <c r="F686" s="372"/>
      <c r="G686" s="372"/>
      <c r="H686" s="372"/>
      <c r="I686" s="253"/>
      <c r="J686" s="372"/>
      <c r="K686" s="372"/>
      <c r="L686" s="372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2"/>
      <c r="C703" s="372"/>
      <c r="D703" s="372"/>
      <c r="E703" s="253"/>
      <c r="F703" s="372"/>
      <c r="G703" s="372"/>
      <c r="H703" s="372"/>
      <c r="I703" s="253"/>
      <c r="J703" s="372"/>
      <c r="K703" s="372"/>
      <c r="L703" s="372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2"/>
      <c r="C720" s="372"/>
      <c r="D720" s="372"/>
      <c r="E720" s="253"/>
      <c r="F720" s="372"/>
      <c r="G720" s="372"/>
      <c r="H720" s="372"/>
      <c r="I720" s="253"/>
      <c r="J720" s="372"/>
      <c r="K720" s="372"/>
      <c r="L720" s="372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2"/>
      <c r="C737" s="372"/>
      <c r="D737" s="372"/>
      <c r="E737" s="253"/>
      <c r="F737" s="372"/>
      <c r="G737" s="372"/>
      <c r="H737" s="372"/>
      <c r="I737" s="253"/>
      <c r="J737" s="372"/>
      <c r="K737" s="372"/>
      <c r="L737" s="372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2"/>
      <c r="C754" s="372"/>
      <c r="D754" s="372"/>
      <c r="E754" s="253"/>
      <c r="F754" s="372"/>
      <c r="G754" s="372"/>
      <c r="H754" s="372"/>
      <c r="I754" s="253"/>
      <c r="J754" s="372"/>
      <c r="K754" s="372"/>
      <c r="L754" s="372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2"/>
      <c r="C771" s="372"/>
      <c r="D771" s="372"/>
      <c r="E771" s="253"/>
      <c r="F771" s="372"/>
      <c r="G771" s="372"/>
      <c r="H771" s="372"/>
      <c r="I771" s="253"/>
      <c r="J771" s="372"/>
      <c r="K771" s="372"/>
      <c r="L771" s="372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2"/>
      <c r="C788" s="372"/>
      <c r="D788" s="372"/>
      <c r="E788" s="253"/>
      <c r="F788" s="372"/>
      <c r="G788" s="372"/>
      <c r="H788" s="372"/>
      <c r="I788" s="253"/>
      <c r="J788" s="372"/>
      <c r="K788" s="372"/>
      <c r="L788" s="372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2"/>
      <c r="C805" s="372"/>
      <c r="D805" s="372"/>
      <c r="E805" s="253"/>
      <c r="F805" s="372"/>
      <c r="G805" s="372"/>
      <c r="H805" s="372"/>
      <c r="I805" s="253"/>
      <c r="J805" s="372"/>
      <c r="K805" s="372"/>
      <c r="L805" s="372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2"/>
      <c r="C822" s="372"/>
      <c r="D822" s="372"/>
      <c r="E822" s="253"/>
      <c r="F822" s="372"/>
      <c r="G822" s="372"/>
      <c r="H822" s="372"/>
      <c r="I822" s="253"/>
      <c r="J822" s="372"/>
      <c r="K822" s="372"/>
      <c r="L822" s="372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2"/>
      <c r="C839" s="372"/>
      <c r="D839" s="372"/>
      <c r="E839" s="253"/>
      <c r="F839" s="372"/>
      <c r="G839" s="372"/>
      <c r="H839" s="372"/>
      <c r="I839" s="253"/>
      <c r="J839" s="372"/>
      <c r="K839" s="372"/>
      <c r="L839" s="372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2"/>
      <c r="C856" s="372"/>
      <c r="D856" s="372"/>
      <c r="E856" s="253"/>
      <c r="F856" s="372"/>
      <c r="G856" s="372"/>
      <c r="H856" s="372"/>
      <c r="I856" s="253"/>
      <c r="J856" s="372"/>
      <c r="K856" s="372"/>
      <c r="L856" s="372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2"/>
      <c r="C873" s="372"/>
      <c r="D873" s="372"/>
      <c r="E873" s="253"/>
      <c r="F873" s="372"/>
      <c r="G873" s="372"/>
      <c r="H873" s="372"/>
      <c r="I873" s="253"/>
      <c r="J873" s="372"/>
      <c r="K873" s="372"/>
      <c r="L873" s="372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2"/>
      <c r="C890" s="372"/>
      <c r="D890" s="372"/>
      <c r="E890" s="253"/>
      <c r="F890" s="372"/>
      <c r="G890" s="372"/>
      <c r="H890" s="372"/>
      <c r="I890" s="253"/>
      <c r="J890" s="372"/>
      <c r="K890" s="372"/>
      <c r="L890" s="372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2"/>
      <c r="C907" s="372"/>
      <c r="D907" s="372"/>
      <c r="E907" s="253"/>
      <c r="F907" s="372"/>
      <c r="G907" s="372"/>
      <c r="H907" s="372"/>
      <c r="I907" s="253"/>
      <c r="J907" s="372"/>
      <c r="K907" s="372"/>
      <c r="L907" s="372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2"/>
      <c r="C924" s="372"/>
      <c r="D924" s="372"/>
      <c r="E924" s="253"/>
      <c r="F924" s="372"/>
      <c r="G924" s="372"/>
      <c r="H924" s="372"/>
      <c r="I924" s="253"/>
      <c r="J924" s="372"/>
      <c r="K924" s="372"/>
      <c r="L924" s="372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2"/>
      <c r="C941" s="372"/>
      <c r="D941" s="372"/>
      <c r="E941" s="253"/>
      <c r="F941" s="372"/>
      <c r="G941" s="372"/>
      <c r="H941" s="372"/>
      <c r="I941" s="253"/>
      <c r="J941" s="372"/>
      <c r="K941" s="372"/>
      <c r="L941" s="372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2"/>
      <c r="C958" s="372"/>
      <c r="D958" s="372"/>
      <c r="E958" s="253"/>
      <c r="F958" s="372"/>
      <c r="G958" s="372"/>
      <c r="H958" s="372"/>
      <c r="I958" s="253"/>
      <c r="J958" s="372"/>
      <c r="K958" s="372"/>
      <c r="L958" s="372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2"/>
      <c r="C975" s="372"/>
      <c r="D975" s="372"/>
      <c r="E975" s="253"/>
      <c r="F975" s="372"/>
      <c r="G975" s="372"/>
      <c r="H975" s="372"/>
      <c r="I975" s="253"/>
      <c r="J975" s="372"/>
      <c r="K975" s="372"/>
      <c r="L975" s="372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2"/>
      <c r="C992" s="372"/>
      <c r="D992" s="372"/>
      <c r="E992" s="253"/>
      <c r="F992" s="372"/>
      <c r="G992" s="372"/>
      <c r="H992" s="372"/>
      <c r="I992" s="253"/>
      <c r="J992" s="372"/>
      <c r="K992" s="372"/>
      <c r="L992" s="372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2"/>
      <c r="C1009" s="372"/>
      <c r="D1009" s="372"/>
      <c r="E1009" s="253"/>
      <c r="F1009" s="372"/>
      <c r="G1009" s="372"/>
      <c r="H1009" s="372"/>
      <c r="I1009" s="253"/>
      <c r="J1009" s="372"/>
      <c r="K1009" s="372"/>
      <c r="L1009" s="372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2"/>
      <c r="C1026" s="372"/>
      <c r="D1026" s="372"/>
      <c r="E1026" s="253"/>
      <c r="F1026" s="372"/>
      <c r="G1026" s="372"/>
      <c r="H1026" s="372"/>
      <c r="I1026" s="253"/>
      <c r="J1026" s="372"/>
      <c r="K1026" s="372"/>
      <c r="L1026" s="372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2"/>
      <c r="C1043" s="372"/>
      <c r="D1043" s="372"/>
      <c r="E1043" s="253"/>
      <c r="F1043" s="372"/>
      <c r="G1043" s="372"/>
      <c r="H1043" s="372"/>
      <c r="I1043" s="253"/>
      <c r="J1043" s="372"/>
      <c r="K1043" s="372"/>
      <c r="L1043" s="372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2"/>
      <c r="C1060" s="372"/>
      <c r="D1060" s="372"/>
      <c r="E1060" s="253"/>
      <c r="F1060" s="372"/>
      <c r="G1060" s="372"/>
      <c r="H1060" s="372"/>
      <c r="I1060" s="253"/>
      <c r="J1060" s="372"/>
      <c r="K1060" s="372"/>
      <c r="L1060" s="372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2"/>
      <c r="C1077" s="372"/>
      <c r="D1077" s="372"/>
      <c r="E1077" s="253"/>
      <c r="F1077" s="372"/>
      <c r="G1077" s="372"/>
      <c r="H1077" s="372"/>
      <c r="I1077" s="253"/>
      <c r="J1077" s="372"/>
      <c r="K1077" s="372"/>
      <c r="L1077" s="372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2"/>
      <c r="C1094" s="372"/>
      <c r="D1094" s="372"/>
      <c r="E1094" s="253"/>
      <c r="F1094" s="372"/>
      <c r="G1094" s="372"/>
      <c r="H1094" s="372"/>
      <c r="I1094" s="253"/>
      <c r="J1094" s="372"/>
      <c r="K1094" s="372"/>
      <c r="L1094" s="372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2"/>
      <c r="C1111" s="372"/>
      <c r="D1111" s="372"/>
      <c r="E1111" s="253"/>
      <c r="F1111" s="372"/>
      <c r="G1111" s="372"/>
      <c r="H1111" s="372"/>
      <c r="I1111" s="253"/>
      <c r="J1111" s="372"/>
      <c r="K1111" s="372"/>
      <c r="L1111" s="372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2"/>
      <c r="C1128" s="372"/>
      <c r="D1128" s="372"/>
      <c r="E1128" s="253"/>
      <c r="F1128" s="372"/>
      <c r="G1128" s="372"/>
      <c r="H1128" s="372"/>
      <c r="I1128" s="253"/>
      <c r="J1128" s="372"/>
      <c r="K1128" s="372"/>
      <c r="L1128" s="372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2"/>
      <c r="C1145" s="372"/>
      <c r="D1145" s="372"/>
      <c r="E1145" s="253"/>
      <c r="F1145" s="372"/>
      <c r="G1145" s="372"/>
      <c r="H1145" s="372"/>
      <c r="I1145" s="253"/>
      <c r="J1145" s="372"/>
      <c r="K1145" s="372"/>
      <c r="L1145" s="372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2"/>
      <c r="C1162" s="372"/>
      <c r="D1162" s="372"/>
      <c r="E1162" s="253"/>
      <c r="F1162" s="372"/>
      <c r="G1162" s="372"/>
      <c r="H1162" s="372"/>
      <c r="I1162" s="253"/>
      <c r="J1162" s="372"/>
      <c r="K1162" s="372"/>
      <c r="L1162" s="372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2"/>
      <c r="C1179" s="372"/>
      <c r="D1179" s="372"/>
      <c r="E1179" s="253"/>
      <c r="F1179" s="372"/>
      <c r="G1179" s="372"/>
      <c r="H1179" s="372"/>
      <c r="I1179" s="253"/>
      <c r="J1179" s="372"/>
      <c r="K1179" s="372"/>
      <c r="L1179" s="372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2"/>
      <c r="C1196" s="372"/>
      <c r="D1196" s="372"/>
      <c r="E1196" s="253"/>
      <c r="F1196" s="372"/>
      <c r="G1196" s="372"/>
      <c r="H1196" s="372"/>
      <c r="I1196" s="253"/>
      <c r="J1196" s="372"/>
      <c r="K1196" s="372"/>
      <c r="L1196" s="372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2"/>
      <c r="C1213" s="372"/>
      <c r="D1213" s="372"/>
      <c r="E1213" s="253"/>
      <c r="F1213" s="372"/>
      <c r="G1213" s="372"/>
      <c r="H1213" s="372"/>
      <c r="I1213" s="253"/>
      <c r="J1213" s="372"/>
      <c r="K1213" s="372"/>
      <c r="L1213" s="372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2"/>
      <c r="C1230" s="372"/>
      <c r="D1230" s="372"/>
      <c r="E1230" s="253"/>
      <c r="F1230" s="372"/>
      <c r="G1230" s="372"/>
      <c r="H1230" s="372"/>
      <c r="I1230" s="253"/>
      <c r="J1230" s="372"/>
      <c r="K1230" s="372"/>
      <c r="L1230" s="372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2"/>
      <c r="C1247" s="372"/>
      <c r="D1247" s="372"/>
      <c r="E1247" s="253"/>
      <c r="F1247" s="372"/>
      <c r="G1247" s="372"/>
      <c r="H1247" s="372"/>
      <c r="I1247" s="253"/>
      <c r="J1247" s="372"/>
      <c r="K1247" s="372"/>
      <c r="L1247" s="372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2"/>
      <c r="C1264" s="372"/>
      <c r="D1264" s="372"/>
      <c r="E1264" s="253"/>
      <c r="F1264" s="372"/>
      <c r="G1264" s="372"/>
      <c r="H1264" s="372"/>
      <c r="I1264" s="253"/>
      <c r="J1264" s="372"/>
      <c r="K1264" s="372"/>
      <c r="L1264" s="372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2"/>
      <c r="C1281" s="372"/>
      <c r="D1281" s="372"/>
      <c r="E1281" s="253"/>
      <c r="F1281" s="372"/>
      <c r="G1281" s="372"/>
      <c r="H1281" s="372"/>
      <c r="I1281" s="253"/>
      <c r="J1281" s="372"/>
      <c r="K1281" s="372"/>
      <c r="L1281" s="372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2"/>
      <c r="C1298" s="372"/>
      <c r="D1298" s="372"/>
      <c r="E1298" s="253"/>
      <c r="F1298" s="372"/>
      <c r="G1298" s="372"/>
      <c r="H1298" s="372"/>
      <c r="I1298" s="253"/>
      <c r="J1298" s="372"/>
      <c r="K1298" s="372"/>
      <c r="L1298" s="372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8" max="20" man="1"/>
  </rowBreaks>
  <colBreaks count="1" manualBreakCount="1">
    <brk id="21" max="1048575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2" width="5.7109375" bestFit="1" customWidth="1"/>
    <col min="3" max="4" width="4.140625" bestFit="1" customWidth="1"/>
    <col min="5" max="5" width="5.7109375" bestFit="1" customWidth="1"/>
    <col min="6" max="6" width="2.85546875" customWidth="1"/>
    <col min="7" max="7" width="5.7109375" bestFit="1" customWidth="1"/>
    <col min="8" max="9" width="4.140625" bestFit="1" customWidth="1"/>
    <col min="10" max="10" width="5.7109375" bestFit="1" customWidth="1"/>
    <col min="11" max="11" width="2.85546875" customWidth="1"/>
    <col min="12" max="12" width="5.7109375" bestFit="1" customWidth="1"/>
    <col min="13" max="14" width="4.140625" bestFit="1" customWidth="1"/>
    <col min="15" max="15" width="5.7109375" bestFit="1" customWidth="1"/>
    <col min="16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8" t="str">
        <f>CONCATENATE("Occupation Table 5  Employment Change by Status (SOC 2020), ",B$5,"-",L$5,", ",Info!B5)</f>
        <v>Occupation Table 5  Employment Change by Status (SOC 2020), 2015-2035, East Midlands</v>
      </c>
      <c r="Q1" s="18" t="str">
        <f>CONCATENATE("Occupation Table 5.1  Males: Employment Change by Status (SOC 2020), ",B$5,"-",L$5,", ",Info!B5)</f>
        <v>Occupation Table 5.1  Males: Employment Change by Status (SOC 2020), 2015-2035, East Midlands</v>
      </c>
      <c r="AG1" s="18" t="str">
        <f>CONCATENATE("Occupation Table 5.2  Females: Employment Change by Status (SOC 2020), ",R$5,"-",AB$5,", ",Info!B5)</f>
        <v>Occupation Table 5.2  Females: Employment Change by Status (SOC 2020), 2015-2035, East Midlands</v>
      </c>
    </row>
    <row r="2" spans="1:47" x14ac:dyDescent="0.2">
      <c r="A2" s="1" t="s">
        <v>536</v>
      </c>
    </row>
    <row r="3" spans="1:47" x14ac:dyDescent="0.2">
      <c r="O3" s="15" t="s">
        <v>35</v>
      </c>
      <c r="AE3" s="15" t="s">
        <v>35</v>
      </c>
      <c r="AU3" s="15" t="s">
        <v>35</v>
      </c>
    </row>
    <row r="4" spans="1:47" x14ac:dyDescent="0.2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</row>
    <row r="5" spans="1:47" x14ac:dyDescent="0.2">
      <c r="B5" s="375">
        <v>2015</v>
      </c>
      <c r="C5" s="375"/>
      <c r="D5" s="375"/>
      <c r="E5" s="375"/>
      <c r="F5" s="1"/>
      <c r="G5" s="375">
        <v>2020</v>
      </c>
      <c r="H5" s="375"/>
      <c r="I5" s="375"/>
      <c r="J5" s="375"/>
      <c r="K5" s="1"/>
      <c r="L5" s="375">
        <v>2035</v>
      </c>
      <c r="M5" s="375"/>
      <c r="N5" s="375"/>
      <c r="O5" s="375"/>
      <c r="R5" s="375">
        <f>B5</f>
        <v>2015</v>
      </c>
      <c r="S5" s="375"/>
      <c r="T5" s="375"/>
      <c r="U5" s="375"/>
      <c r="V5" s="1"/>
      <c r="W5" s="375">
        <f>G5</f>
        <v>2020</v>
      </c>
      <c r="X5" s="375"/>
      <c r="Y5" s="375"/>
      <c r="Z5" s="375"/>
      <c r="AA5" s="1"/>
      <c r="AB5" s="375">
        <f>L5</f>
        <v>2035</v>
      </c>
      <c r="AC5" s="375"/>
      <c r="AD5" s="375"/>
      <c r="AE5" s="375"/>
      <c r="AH5" s="375">
        <f>B5</f>
        <v>2015</v>
      </c>
      <c r="AI5" s="375"/>
      <c r="AJ5" s="375"/>
      <c r="AK5" s="375"/>
      <c r="AL5" s="1"/>
      <c r="AM5" s="375">
        <f>G5</f>
        <v>2020</v>
      </c>
      <c r="AN5" s="375"/>
      <c r="AO5" s="375"/>
      <c r="AP5" s="375"/>
      <c r="AQ5" s="1"/>
      <c r="AR5" s="375">
        <f>L5</f>
        <v>2035</v>
      </c>
      <c r="AS5" s="375"/>
      <c r="AT5" s="375"/>
      <c r="AU5" s="375"/>
    </row>
    <row r="6" spans="1:47" x14ac:dyDescent="0.2">
      <c r="A6" s="40" t="s">
        <v>13</v>
      </c>
      <c r="B6" s="337" t="s">
        <v>339</v>
      </c>
      <c r="C6" s="337" t="s">
        <v>341</v>
      </c>
      <c r="D6" s="337" t="s">
        <v>337</v>
      </c>
      <c r="E6" s="337" t="s">
        <v>32</v>
      </c>
      <c r="F6" s="338"/>
      <c r="G6" s="337" t="s">
        <v>339</v>
      </c>
      <c r="H6" s="337" t="s">
        <v>341</v>
      </c>
      <c r="I6" s="337" t="s">
        <v>337</v>
      </c>
      <c r="J6" s="337" t="s">
        <v>32</v>
      </c>
      <c r="K6" s="338"/>
      <c r="L6" s="337" t="s">
        <v>339</v>
      </c>
      <c r="M6" s="337" t="s">
        <v>341</v>
      </c>
      <c r="N6" s="337" t="s">
        <v>337</v>
      </c>
      <c r="O6" s="337" t="s">
        <v>32</v>
      </c>
      <c r="Q6" s="40" t="s">
        <v>13</v>
      </c>
      <c r="R6" s="337" t="s">
        <v>339</v>
      </c>
      <c r="S6" s="337" t="s">
        <v>341</v>
      </c>
      <c r="T6" s="337" t="s">
        <v>337</v>
      </c>
      <c r="U6" s="337" t="s">
        <v>32</v>
      </c>
      <c r="V6" s="338"/>
      <c r="W6" s="337" t="s">
        <v>339</v>
      </c>
      <c r="X6" s="337" t="s">
        <v>341</v>
      </c>
      <c r="Y6" s="337" t="s">
        <v>337</v>
      </c>
      <c r="Z6" s="337" t="s">
        <v>32</v>
      </c>
      <c r="AA6" s="338"/>
      <c r="AB6" s="337" t="s">
        <v>339</v>
      </c>
      <c r="AC6" s="337" t="s">
        <v>341</v>
      </c>
      <c r="AD6" s="337" t="s">
        <v>337</v>
      </c>
      <c r="AE6" s="337" t="s">
        <v>32</v>
      </c>
      <c r="AG6" s="40" t="s">
        <v>13</v>
      </c>
      <c r="AH6" s="337" t="s">
        <v>339</v>
      </c>
      <c r="AI6" s="337" t="s">
        <v>341</v>
      </c>
      <c r="AJ6" s="337" t="s">
        <v>337</v>
      </c>
      <c r="AK6" s="337" t="s">
        <v>32</v>
      </c>
      <c r="AL6" s="338"/>
      <c r="AM6" s="337" t="s">
        <v>339</v>
      </c>
      <c r="AN6" s="337" t="s">
        <v>341</v>
      </c>
      <c r="AO6" s="337" t="s">
        <v>337</v>
      </c>
      <c r="AP6" s="337" t="s">
        <v>32</v>
      </c>
      <c r="AQ6" s="338"/>
      <c r="AR6" s="337" t="s">
        <v>339</v>
      </c>
      <c r="AS6" s="337" t="s">
        <v>341</v>
      </c>
      <c r="AT6" s="337" t="s">
        <v>337</v>
      </c>
      <c r="AU6" s="337" t="s">
        <v>32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149.81869645494788</v>
      </c>
      <c r="C8" s="11">
        <v>22.29281064718608</v>
      </c>
      <c r="D8" s="11">
        <v>40.855439414658932</v>
      </c>
      <c r="E8" s="11">
        <f>SUM(B8:D8)</f>
        <v>212.96694651679292</v>
      </c>
      <c r="F8" s="11"/>
      <c r="G8" s="11">
        <v>177.26468831825531</v>
      </c>
      <c r="H8" s="11">
        <v>34.875672645290159</v>
      </c>
      <c r="I8" s="11">
        <v>49.458576943315649</v>
      </c>
      <c r="J8" s="11">
        <f>SUM(G8:I8)</f>
        <v>261.59893790686112</v>
      </c>
      <c r="K8" s="11"/>
      <c r="L8" s="11">
        <v>193.55356077974974</v>
      </c>
      <c r="M8" s="11">
        <v>44.846821889103936</v>
      </c>
      <c r="N8" s="11">
        <v>57.9462076983326</v>
      </c>
      <c r="O8" s="11">
        <f>SUM(L8:N8)</f>
        <v>296.34659036718631</v>
      </c>
      <c r="Q8" s="10" t="str">
        <f>name!E4</f>
        <v>Managers, directors and senior officials</v>
      </c>
      <c r="R8" s="11">
        <v>111.5146968256669</v>
      </c>
      <c r="S8" s="11">
        <v>10.191763059063986</v>
      </c>
      <c r="T8" s="11">
        <v>26.793257289740819</v>
      </c>
      <c r="U8" s="11">
        <f>SUM(R8:T8)</f>
        <v>148.4997171744717</v>
      </c>
      <c r="V8" s="11"/>
      <c r="W8" s="11">
        <v>129.38651001582906</v>
      </c>
      <c r="X8" s="11">
        <v>15.876975565326168</v>
      </c>
      <c r="Y8" s="11">
        <v>31.700619135131301</v>
      </c>
      <c r="Z8" s="11">
        <f>SUM(W8:Y8)</f>
        <v>176.96410471628653</v>
      </c>
      <c r="AA8" s="11"/>
      <c r="AB8" s="11">
        <v>132.54014165020916</v>
      </c>
      <c r="AC8" s="11">
        <v>22.384053753280121</v>
      </c>
      <c r="AD8" s="11">
        <v>38.310201736271438</v>
      </c>
      <c r="AE8" s="11">
        <f>SUM(AB8:AD8)</f>
        <v>193.23439713976072</v>
      </c>
      <c r="AG8" s="10" t="str">
        <f>name!E4</f>
        <v>Managers, directors and senior officials</v>
      </c>
      <c r="AH8" s="11">
        <v>38.303999629281137</v>
      </c>
      <c r="AI8" s="11">
        <v>12.101047588122077</v>
      </c>
      <c r="AJ8" s="11">
        <v>14.06218212491812</v>
      </c>
      <c r="AK8" s="11">
        <f>SUM(AH8:AJ8)</f>
        <v>64.467229342321332</v>
      </c>
      <c r="AL8" s="11"/>
      <c r="AM8" s="11">
        <v>47.878178302426306</v>
      </c>
      <c r="AN8" s="11">
        <v>18.998697079964003</v>
      </c>
      <c r="AO8" s="11">
        <v>17.757957808184369</v>
      </c>
      <c r="AP8" s="11">
        <f>SUM(AM8:AO8)</f>
        <v>84.634833190574682</v>
      </c>
      <c r="AQ8" s="11"/>
      <c r="AR8" s="11">
        <v>61.013419129540544</v>
      </c>
      <c r="AS8" s="11">
        <v>22.462768135823818</v>
      </c>
      <c r="AT8" s="11">
        <v>19.636005962061208</v>
      </c>
      <c r="AU8" s="11">
        <f>SUM(AR8:AT8)</f>
        <v>103.11219322742556</v>
      </c>
    </row>
    <row r="9" spans="1:47" x14ac:dyDescent="0.2">
      <c r="A9" t="str">
        <f>name!E5</f>
        <v>Professional occupations</v>
      </c>
      <c r="B9" s="11">
        <v>278.81172702557603</v>
      </c>
      <c r="C9" s="11">
        <v>72.301083995424491</v>
      </c>
      <c r="D9" s="11">
        <v>50.408688883730164</v>
      </c>
      <c r="E9" s="11">
        <f t="shared" ref="E9:E18" si="0">SUM(B9:D9)</f>
        <v>401.52149990473072</v>
      </c>
      <c r="F9" s="11"/>
      <c r="G9" s="11">
        <v>349.55534812452026</v>
      </c>
      <c r="H9" s="11">
        <v>93.216649809752553</v>
      </c>
      <c r="I9" s="11">
        <v>52.724147276665121</v>
      </c>
      <c r="J9" s="11">
        <f t="shared" ref="J9:J16" si="1">SUM(G9:I9)</f>
        <v>495.49614521093793</v>
      </c>
      <c r="K9" s="11"/>
      <c r="L9" s="11">
        <v>416.70254783421882</v>
      </c>
      <c r="M9" s="11">
        <v>112.7687915880505</v>
      </c>
      <c r="N9" s="11">
        <v>52.410911638947148</v>
      </c>
      <c r="O9" s="11">
        <f t="shared" ref="O9:O16" si="2">SUM(L9:N9)</f>
        <v>581.88225106121649</v>
      </c>
      <c r="Q9" s="10" t="str">
        <f>name!E5</f>
        <v>Professional occupations</v>
      </c>
      <c r="R9" s="11">
        <v>175.19106707554624</v>
      </c>
      <c r="S9" s="11">
        <v>14.767002365523085</v>
      </c>
      <c r="T9" s="11">
        <v>33.222996079708579</v>
      </c>
      <c r="U9" s="11">
        <f t="shared" ref="U9:U16" si="3">SUM(R9:T9)</f>
        <v>223.18106552077791</v>
      </c>
      <c r="V9" s="11"/>
      <c r="W9" s="11">
        <v>214.59208275826549</v>
      </c>
      <c r="X9" s="11">
        <v>23.33020544376113</v>
      </c>
      <c r="Y9" s="11">
        <v>26.443656274269742</v>
      </c>
      <c r="Z9" s="11">
        <f t="shared" ref="Z9:Z16" si="4">SUM(W9:Y9)</f>
        <v>264.36594447629636</v>
      </c>
      <c r="AA9" s="11"/>
      <c r="AB9" s="11">
        <v>249.45049206019016</v>
      </c>
      <c r="AC9" s="11">
        <v>29.552728531690551</v>
      </c>
      <c r="AD9" s="11">
        <v>23.293590496806669</v>
      </c>
      <c r="AE9" s="11">
        <f t="shared" ref="AE9:AE16" si="5">SUM(AB9:AD9)</f>
        <v>302.29681108868738</v>
      </c>
      <c r="AG9" s="10" t="str">
        <f>name!E5</f>
        <v>Professional occupations</v>
      </c>
      <c r="AH9" s="11">
        <v>103.62065995002976</v>
      </c>
      <c r="AI9" s="11">
        <v>57.534081629901408</v>
      </c>
      <c r="AJ9" s="11">
        <v>17.185692804021627</v>
      </c>
      <c r="AK9" s="11">
        <f t="shared" ref="AK9:AK18" si="6">SUM(AH9:AJ9)</f>
        <v>178.34043438395281</v>
      </c>
      <c r="AL9" s="11"/>
      <c r="AM9" s="11">
        <v>134.96326536625469</v>
      </c>
      <c r="AN9" s="11">
        <v>69.886444365991451</v>
      </c>
      <c r="AO9" s="11">
        <v>26.280491002395379</v>
      </c>
      <c r="AP9" s="11">
        <f t="shared" ref="AP9:AP18" si="7">SUM(AM9:AO9)</f>
        <v>231.13020073464151</v>
      </c>
      <c r="AQ9" s="11"/>
      <c r="AR9" s="11">
        <v>167.25205577402832</v>
      </c>
      <c r="AS9" s="11">
        <v>83.216063056359943</v>
      </c>
      <c r="AT9" s="11">
        <v>29.117321142140487</v>
      </c>
      <c r="AU9" s="11">
        <f t="shared" ref="AU9:AU18" si="8">SUM(AR9:AT9)</f>
        <v>279.58543997252877</v>
      </c>
    </row>
    <row r="10" spans="1:47" x14ac:dyDescent="0.2">
      <c r="A10" t="str">
        <f>name!E6</f>
        <v>Associate professional occupations</v>
      </c>
      <c r="B10" s="11">
        <v>169.31611606792802</v>
      </c>
      <c r="C10" s="11">
        <v>49.144960415534037</v>
      </c>
      <c r="D10" s="11">
        <v>36.025563087853719</v>
      </c>
      <c r="E10" s="11">
        <f t="shared" si="0"/>
        <v>254.48663957131578</v>
      </c>
      <c r="F10" s="11"/>
      <c r="G10" s="11">
        <v>199.89724474729539</v>
      </c>
      <c r="H10" s="11">
        <v>59.065659435836309</v>
      </c>
      <c r="I10" s="11">
        <v>34.398374751000794</v>
      </c>
      <c r="J10" s="11">
        <f t="shared" si="1"/>
        <v>293.36127893413249</v>
      </c>
      <c r="K10" s="11"/>
      <c r="L10" s="11">
        <v>207.66541540765076</v>
      </c>
      <c r="M10" s="11">
        <v>61.808086147282857</v>
      </c>
      <c r="N10" s="11">
        <v>34.342223155174494</v>
      </c>
      <c r="O10" s="11">
        <f t="shared" si="2"/>
        <v>303.8157247101081</v>
      </c>
      <c r="Q10" s="10" t="str">
        <f>name!E6</f>
        <v>Associate professional occupations</v>
      </c>
      <c r="R10" s="11">
        <v>111.39913219544192</v>
      </c>
      <c r="S10" s="11">
        <v>12.73707381731095</v>
      </c>
      <c r="T10" s="11">
        <v>20.087485037395641</v>
      </c>
      <c r="U10" s="11">
        <f t="shared" si="3"/>
        <v>144.22369105014852</v>
      </c>
      <c r="V10" s="11"/>
      <c r="W10" s="11">
        <v>127.47832882135097</v>
      </c>
      <c r="X10" s="11">
        <v>17.600953331905338</v>
      </c>
      <c r="Y10" s="11">
        <v>15.578516156522094</v>
      </c>
      <c r="Z10" s="11">
        <f t="shared" si="4"/>
        <v>160.6577983097784</v>
      </c>
      <c r="AA10" s="11"/>
      <c r="AB10" s="11">
        <v>123.00376621966676</v>
      </c>
      <c r="AC10" s="11">
        <v>15.440758129965671</v>
      </c>
      <c r="AD10" s="11">
        <v>14.189150030052257</v>
      </c>
      <c r="AE10" s="11">
        <f t="shared" si="5"/>
        <v>152.63367437968466</v>
      </c>
      <c r="AG10" s="10" t="str">
        <f>name!E6</f>
        <v>Associate professional occupations</v>
      </c>
      <c r="AH10" s="11">
        <v>57.916983872486085</v>
      </c>
      <c r="AI10" s="11">
        <v>36.407886598223087</v>
      </c>
      <c r="AJ10" s="11">
        <v>15.938078050458092</v>
      </c>
      <c r="AK10" s="11">
        <f t="shared" si="6"/>
        <v>110.26294852116726</v>
      </c>
      <c r="AL10" s="11"/>
      <c r="AM10" s="11">
        <v>72.418915925944361</v>
      </c>
      <c r="AN10" s="11">
        <v>41.464706103930979</v>
      </c>
      <c r="AO10" s="11">
        <v>18.819858594478717</v>
      </c>
      <c r="AP10" s="11">
        <f t="shared" si="7"/>
        <v>132.70348062435406</v>
      </c>
      <c r="AQ10" s="11"/>
      <c r="AR10" s="11">
        <v>84.661649187983841</v>
      </c>
      <c r="AS10" s="11">
        <v>46.367328017317206</v>
      </c>
      <c r="AT10" s="11">
        <v>20.153073125122258</v>
      </c>
      <c r="AU10" s="11">
        <f t="shared" si="8"/>
        <v>151.18205033042329</v>
      </c>
    </row>
    <row r="11" spans="1:47" x14ac:dyDescent="0.2">
      <c r="A11" t="str">
        <f>name!E7</f>
        <v>Administrative and secretarial occupations</v>
      </c>
      <c r="B11" s="11">
        <v>132.38245039450771</v>
      </c>
      <c r="C11" s="11">
        <v>100.21458530315581</v>
      </c>
      <c r="D11" s="11">
        <v>10.106913608785298</v>
      </c>
      <c r="E11" s="11">
        <f t="shared" si="0"/>
        <v>242.70394930644883</v>
      </c>
      <c r="F11" s="11"/>
      <c r="G11" s="11">
        <v>140.09929848385096</v>
      </c>
      <c r="H11" s="11">
        <v>100.39535048336819</v>
      </c>
      <c r="I11" s="11">
        <v>11.459111959261882</v>
      </c>
      <c r="J11" s="11">
        <f t="shared" si="1"/>
        <v>251.95376092648104</v>
      </c>
      <c r="K11" s="11"/>
      <c r="L11" s="11">
        <v>120.65228605976958</v>
      </c>
      <c r="M11" s="11">
        <v>85.255661790119618</v>
      </c>
      <c r="N11" s="11">
        <v>10.846489445443572</v>
      </c>
      <c r="O11" s="11">
        <f t="shared" si="2"/>
        <v>216.75443729533276</v>
      </c>
      <c r="Q11" s="10" t="str">
        <f>name!E7</f>
        <v>Administrative and secretarial occupations</v>
      </c>
      <c r="R11" s="11">
        <v>38.372875251471321</v>
      </c>
      <c r="S11" s="11">
        <v>9.0264168078341314</v>
      </c>
      <c r="T11" s="11">
        <v>2.3018105393624841</v>
      </c>
      <c r="U11" s="11">
        <f t="shared" si="3"/>
        <v>49.701102598667937</v>
      </c>
      <c r="V11" s="11"/>
      <c r="W11" s="11">
        <v>44.407137713576667</v>
      </c>
      <c r="X11" s="11">
        <v>10.563233324261255</v>
      </c>
      <c r="Y11" s="11">
        <v>1.8202904101477184</v>
      </c>
      <c r="Z11" s="11">
        <f t="shared" si="4"/>
        <v>56.790661447985642</v>
      </c>
      <c r="AA11" s="11"/>
      <c r="AB11" s="11">
        <v>45.920138747354237</v>
      </c>
      <c r="AC11" s="11">
        <v>9.660283039019685</v>
      </c>
      <c r="AD11" s="11">
        <v>2.2856918984673054</v>
      </c>
      <c r="AE11" s="11">
        <f t="shared" si="5"/>
        <v>57.866113684841224</v>
      </c>
      <c r="AG11" s="10" t="str">
        <f>name!E7</f>
        <v>Administrative and secretarial occupations</v>
      </c>
      <c r="AH11" s="11">
        <v>94.009575143036557</v>
      </c>
      <c r="AI11" s="11">
        <v>91.188168495321676</v>
      </c>
      <c r="AJ11" s="11">
        <v>7.8051030694228132</v>
      </c>
      <c r="AK11" s="11">
        <f t="shared" si="6"/>
        <v>193.00284670778106</v>
      </c>
      <c r="AL11" s="11"/>
      <c r="AM11" s="11">
        <v>95.692160770274214</v>
      </c>
      <c r="AN11" s="11">
        <v>89.832117159106886</v>
      </c>
      <c r="AO11" s="11">
        <v>9.6388215491141676</v>
      </c>
      <c r="AP11" s="11">
        <f t="shared" si="7"/>
        <v>195.16309947849527</v>
      </c>
      <c r="AQ11" s="11"/>
      <c r="AR11" s="11">
        <v>74.73214731241535</v>
      </c>
      <c r="AS11" s="11">
        <v>75.595378751099943</v>
      </c>
      <c r="AT11" s="11">
        <v>8.5607975469762785</v>
      </c>
      <c r="AU11" s="11">
        <f t="shared" si="8"/>
        <v>158.88832361049157</v>
      </c>
    </row>
    <row r="12" spans="1:47" x14ac:dyDescent="0.2">
      <c r="A12" t="str">
        <f>name!E8</f>
        <v>Skilled trades occupations</v>
      </c>
      <c r="B12" s="11">
        <v>139.0284461488213</v>
      </c>
      <c r="C12" s="11">
        <v>25.603276580294906</v>
      </c>
      <c r="D12" s="11">
        <v>68.378436706283665</v>
      </c>
      <c r="E12" s="11">
        <f t="shared" si="0"/>
        <v>233.01015943539988</v>
      </c>
      <c r="F12" s="11"/>
      <c r="G12" s="11">
        <v>122.33182023672839</v>
      </c>
      <c r="H12" s="11">
        <v>20.883773761881933</v>
      </c>
      <c r="I12" s="11">
        <v>65.58956103010874</v>
      </c>
      <c r="J12" s="11">
        <f t="shared" si="1"/>
        <v>208.80515502871907</v>
      </c>
      <c r="K12" s="11"/>
      <c r="L12" s="11">
        <v>101.38937195347125</v>
      </c>
      <c r="M12" s="11">
        <v>22.048617481867833</v>
      </c>
      <c r="N12" s="11">
        <v>66.286775745505906</v>
      </c>
      <c r="O12" s="11">
        <f t="shared" si="2"/>
        <v>189.724765180845</v>
      </c>
      <c r="Q12" s="10" t="str">
        <f>name!E8</f>
        <v>Skilled trades occupations</v>
      </c>
      <c r="R12" s="11">
        <v>128.33309610598391</v>
      </c>
      <c r="S12" s="11">
        <v>18.109753894335633</v>
      </c>
      <c r="T12" s="11">
        <v>60.725878042829265</v>
      </c>
      <c r="U12" s="11">
        <f t="shared" si="3"/>
        <v>207.1687280431488</v>
      </c>
      <c r="V12" s="11"/>
      <c r="W12" s="11">
        <v>110.56223940510206</v>
      </c>
      <c r="X12" s="11">
        <v>13.919426008758396</v>
      </c>
      <c r="Y12" s="11">
        <v>56.445941558760893</v>
      </c>
      <c r="Z12" s="11">
        <f t="shared" si="4"/>
        <v>180.92760697262133</v>
      </c>
      <c r="AA12" s="11"/>
      <c r="AB12" s="11">
        <v>88.089133913713397</v>
      </c>
      <c r="AC12" s="11">
        <v>15.151417532029489</v>
      </c>
      <c r="AD12" s="11">
        <v>55.617247706959212</v>
      </c>
      <c r="AE12" s="11">
        <f t="shared" si="5"/>
        <v>158.85779915270209</v>
      </c>
      <c r="AG12" s="10" t="str">
        <f>name!E8</f>
        <v>Skilled trades occupations</v>
      </c>
      <c r="AH12" s="11">
        <v>10.695350042837573</v>
      </c>
      <c r="AI12" s="11">
        <v>7.493522685959265</v>
      </c>
      <c r="AJ12" s="11">
        <v>7.6525586634543883</v>
      </c>
      <c r="AK12" s="11">
        <f t="shared" si="6"/>
        <v>25.841431392251227</v>
      </c>
      <c r="AL12" s="11"/>
      <c r="AM12" s="11">
        <v>11.769580831626357</v>
      </c>
      <c r="AN12" s="11">
        <v>6.9643477531235387</v>
      </c>
      <c r="AO12" s="11">
        <v>9.1436194713478329</v>
      </c>
      <c r="AP12" s="11">
        <f t="shared" si="7"/>
        <v>27.87754805609773</v>
      </c>
      <c r="AQ12" s="11"/>
      <c r="AR12" s="11">
        <v>13.300238039757874</v>
      </c>
      <c r="AS12" s="11">
        <v>6.8971999498383498</v>
      </c>
      <c r="AT12" s="11">
        <v>10.669528038546684</v>
      </c>
      <c r="AU12" s="11">
        <f t="shared" si="8"/>
        <v>30.866966028142908</v>
      </c>
    </row>
    <row r="13" spans="1:47" x14ac:dyDescent="0.2">
      <c r="A13" t="str">
        <f>name!E9</f>
        <v>Caring, leisure and other service occupations</v>
      </c>
      <c r="B13" s="11">
        <v>114.53082719791374</v>
      </c>
      <c r="C13" s="11">
        <v>114.5193259090684</v>
      </c>
      <c r="D13" s="11">
        <v>19.851400236289962</v>
      </c>
      <c r="E13" s="11">
        <f t="shared" si="0"/>
        <v>248.9015533432721</v>
      </c>
      <c r="F13" s="11"/>
      <c r="G13" s="11">
        <v>115.60713067947751</v>
      </c>
      <c r="H13" s="11">
        <v>112.07812077697788</v>
      </c>
      <c r="I13" s="11">
        <v>29.015883014181874</v>
      </c>
      <c r="J13" s="11">
        <f t="shared" si="1"/>
        <v>256.70113447063727</v>
      </c>
      <c r="K13" s="11"/>
      <c r="L13" s="11">
        <v>139.47710773857418</v>
      </c>
      <c r="M13" s="11">
        <v>119.77281578961997</v>
      </c>
      <c r="N13" s="11">
        <v>32.757842803761008</v>
      </c>
      <c r="O13" s="11">
        <f t="shared" si="2"/>
        <v>292.00776633195517</v>
      </c>
      <c r="Q13" s="10" t="str">
        <f>name!E9</f>
        <v>Caring, leisure and other service occupations</v>
      </c>
      <c r="R13" s="11">
        <v>29.111853611425261</v>
      </c>
      <c r="S13" s="11">
        <v>13.562523607917933</v>
      </c>
      <c r="T13" s="11">
        <v>3.4204331157453769</v>
      </c>
      <c r="U13" s="11">
        <f t="shared" si="3"/>
        <v>46.094810335088567</v>
      </c>
      <c r="V13" s="11"/>
      <c r="W13" s="11">
        <v>30.00920858243828</v>
      </c>
      <c r="X13" s="11">
        <v>15.28218938747127</v>
      </c>
      <c r="Y13" s="11">
        <v>3.7774787465734616</v>
      </c>
      <c r="Z13" s="11">
        <f t="shared" si="4"/>
        <v>49.068876716483018</v>
      </c>
      <c r="AA13" s="11"/>
      <c r="AB13" s="11">
        <v>38.655452315155557</v>
      </c>
      <c r="AC13" s="11">
        <v>19.04229979643728</v>
      </c>
      <c r="AD13" s="11">
        <v>5.6675387177630485</v>
      </c>
      <c r="AE13" s="11">
        <f t="shared" si="5"/>
        <v>63.365290829355885</v>
      </c>
      <c r="AG13" s="10" t="str">
        <f>name!E9</f>
        <v>Caring, leisure and other service occupations</v>
      </c>
      <c r="AH13" s="11">
        <v>85.418973586488463</v>
      </c>
      <c r="AI13" s="11">
        <v>100.95680230115045</v>
      </c>
      <c r="AJ13" s="11">
        <v>16.430967120544594</v>
      </c>
      <c r="AK13" s="11">
        <f t="shared" si="6"/>
        <v>202.8067430081835</v>
      </c>
      <c r="AL13" s="11"/>
      <c r="AM13" s="11">
        <v>85.597922097039159</v>
      </c>
      <c r="AN13" s="11">
        <v>96.795931389506634</v>
      </c>
      <c r="AO13" s="11">
        <v>25.23840426760842</v>
      </c>
      <c r="AP13" s="11">
        <f t="shared" si="7"/>
        <v>207.63225775415421</v>
      </c>
      <c r="AQ13" s="11"/>
      <c r="AR13" s="11">
        <v>100.82165542341859</v>
      </c>
      <c r="AS13" s="11">
        <v>100.73051599318273</v>
      </c>
      <c r="AT13" s="11">
        <v>27.090304085997964</v>
      </c>
      <c r="AU13" s="11">
        <f t="shared" si="8"/>
        <v>228.64247550259927</v>
      </c>
    </row>
    <row r="14" spans="1:47" x14ac:dyDescent="0.2">
      <c r="A14" t="str">
        <f>name!E10</f>
        <v>Sales and customer service occupations</v>
      </c>
      <c r="B14" s="11">
        <v>74.135574601059133</v>
      </c>
      <c r="C14" s="11">
        <v>120.7551201966568</v>
      </c>
      <c r="D14" s="11">
        <v>14.687635008806776</v>
      </c>
      <c r="E14" s="11">
        <f t="shared" si="0"/>
        <v>209.5783298065227</v>
      </c>
      <c r="F14" s="11"/>
      <c r="G14" s="11">
        <v>67.737146072758918</v>
      </c>
      <c r="H14" s="11">
        <v>118.73643088658636</v>
      </c>
      <c r="I14" s="11">
        <v>11.708528686171976</v>
      </c>
      <c r="J14" s="11">
        <f t="shared" si="1"/>
        <v>198.18210564551725</v>
      </c>
      <c r="K14" s="11"/>
      <c r="L14" s="11">
        <v>66.013206210235253</v>
      </c>
      <c r="M14" s="11">
        <v>121.05888830817483</v>
      </c>
      <c r="N14" s="11">
        <v>9.958946324934125</v>
      </c>
      <c r="O14" s="11">
        <f t="shared" si="2"/>
        <v>197.03104084334421</v>
      </c>
      <c r="Q14" s="10" t="str">
        <f>name!E10</f>
        <v>Sales and customer service occupations</v>
      </c>
      <c r="R14" s="11">
        <v>30.467405162076371</v>
      </c>
      <c r="S14" s="11">
        <v>37.059638209847265</v>
      </c>
      <c r="T14" s="11">
        <v>7.4112026490089935</v>
      </c>
      <c r="U14" s="11">
        <f t="shared" si="3"/>
        <v>74.938246020932638</v>
      </c>
      <c r="V14" s="11"/>
      <c r="W14" s="11">
        <v>29.218021090663271</v>
      </c>
      <c r="X14" s="11">
        <v>37.607085236520902</v>
      </c>
      <c r="Y14" s="11">
        <v>7.0510195812967114</v>
      </c>
      <c r="Z14" s="11">
        <f t="shared" si="4"/>
        <v>73.876125908480887</v>
      </c>
      <c r="AA14" s="11"/>
      <c r="AB14" s="11">
        <v>29.48160351056891</v>
      </c>
      <c r="AC14" s="11">
        <v>39.857531325351154</v>
      </c>
      <c r="AD14" s="11">
        <v>6.0828411774177633</v>
      </c>
      <c r="AE14" s="11">
        <f t="shared" si="5"/>
        <v>75.421976013337826</v>
      </c>
      <c r="AG14" s="10" t="str">
        <f>name!E10</f>
        <v>Sales and customer service occupations</v>
      </c>
      <c r="AH14" s="11">
        <v>43.668169438982702</v>
      </c>
      <c r="AI14" s="11">
        <v>83.695481986809526</v>
      </c>
      <c r="AJ14" s="11">
        <v>7.2764323597977691</v>
      </c>
      <c r="AK14" s="11">
        <f t="shared" si="6"/>
        <v>134.64008378559001</v>
      </c>
      <c r="AL14" s="11"/>
      <c r="AM14" s="11">
        <v>38.519124982095633</v>
      </c>
      <c r="AN14" s="11">
        <v>81.129345650065446</v>
      </c>
      <c r="AO14" s="11">
        <v>4.6575091048752837</v>
      </c>
      <c r="AP14" s="11">
        <f t="shared" si="7"/>
        <v>124.30597973703637</v>
      </c>
      <c r="AQ14" s="11"/>
      <c r="AR14" s="11">
        <v>36.531602699666315</v>
      </c>
      <c r="AS14" s="11">
        <v>81.201356982823697</v>
      </c>
      <c r="AT14" s="11">
        <v>3.876105147516379</v>
      </c>
      <c r="AU14" s="11">
        <f t="shared" si="8"/>
        <v>121.6090648300064</v>
      </c>
    </row>
    <row r="15" spans="1:47" x14ac:dyDescent="0.2">
      <c r="A15" t="str">
        <f>name!E11</f>
        <v>Process, plant and machine operatives</v>
      </c>
      <c r="B15" s="11">
        <v>145.24309488573738</v>
      </c>
      <c r="C15" s="11">
        <v>24.884169858408779</v>
      </c>
      <c r="D15" s="11">
        <v>19.160174744546016</v>
      </c>
      <c r="E15" s="11">
        <f t="shared" si="0"/>
        <v>189.28743948869217</v>
      </c>
      <c r="F15" s="11"/>
      <c r="G15" s="11">
        <v>131.57968500146561</v>
      </c>
      <c r="H15" s="11">
        <v>30.10231754282913</v>
      </c>
      <c r="I15" s="11">
        <v>26.465698761970842</v>
      </c>
      <c r="J15" s="11">
        <f t="shared" si="1"/>
        <v>188.14770130626556</v>
      </c>
      <c r="K15" s="11"/>
      <c r="L15" s="11">
        <v>138.87835018854415</v>
      </c>
      <c r="M15" s="11">
        <v>37.893339482122009</v>
      </c>
      <c r="N15" s="11">
        <v>29.418610655197771</v>
      </c>
      <c r="O15" s="11">
        <f t="shared" si="2"/>
        <v>206.19030032586392</v>
      </c>
      <c r="Q15" s="10" t="str">
        <f>name!E11</f>
        <v>Process, plant and machine operatives</v>
      </c>
      <c r="R15" s="11">
        <v>126.6583035463092</v>
      </c>
      <c r="S15" s="11">
        <v>17.461089304028377</v>
      </c>
      <c r="T15" s="11">
        <v>17.012921847315106</v>
      </c>
      <c r="U15" s="11">
        <f t="shared" si="3"/>
        <v>161.1323146976527</v>
      </c>
      <c r="V15" s="11"/>
      <c r="W15" s="11">
        <v>116.68434018508161</v>
      </c>
      <c r="X15" s="11">
        <v>22.525615703153509</v>
      </c>
      <c r="Y15" s="11">
        <v>23.112522874442305</v>
      </c>
      <c r="Z15" s="11">
        <f t="shared" si="4"/>
        <v>162.32247876267743</v>
      </c>
      <c r="AA15" s="11"/>
      <c r="AB15" s="11">
        <v>118.49657823788843</v>
      </c>
      <c r="AC15" s="11">
        <v>25.198159011748132</v>
      </c>
      <c r="AD15" s="11">
        <v>26.142164189511092</v>
      </c>
      <c r="AE15" s="11">
        <f t="shared" si="5"/>
        <v>169.83690143914765</v>
      </c>
      <c r="AG15" s="10" t="str">
        <f>name!E11</f>
        <v>Process, plant and machine operatives</v>
      </c>
      <c r="AH15" s="11">
        <v>18.584791339428001</v>
      </c>
      <c r="AI15" s="11">
        <v>7.4230805543803884</v>
      </c>
      <c r="AJ15" s="11">
        <v>2.1472528972309264</v>
      </c>
      <c r="AK15" s="11">
        <f t="shared" si="6"/>
        <v>28.155124791039317</v>
      </c>
      <c r="AL15" s="11"/>
      <c r="AM15" s="11">
        <v>14.895344816383895</v>
      </c>
      <c r="AN15" s="11">
        <v>7.5767018396756125</v>
      </c>
      <c r="AO15" s="11">
        <v>3.3531758875285278</v>
      </c>
      <c r="AP15" s="11">
        <f t="shared" si="7"/>
        <v>25.825222543588037</v>
      </c>
      <c r="AQ15" s="11"/>
      <c r="AR15" s="11">
        <v>20.381771950655693</v>
      </c>
      <c r="AS15" s="11">
        <v>12.695180470373895</v>
      </c>
      <c r="AT15" s="11">
        <v>3.2764464656867065</v>
      </c>
      <c r="AU15" s="11">
        <f t="shared" si="8"/>
        <v>36.353398886716292</v>
      </c>
    </row>
    <row r="16" spans="1:47" x14ac:dyDescent="0.2">
      <c r="A16" t="str">
        <f>name!E12</f>
        <v>Elementary occupations</v>
      </c>
      <c r="B16" s="11">
        <v>137.89306721993779</v>
      </c>
      <c r="C16" s="11">
        <v>129.55066709793658</v>
      </c>
      <c r="D16" s="11">
        <v>14.590748308179064</v>
      </c>
      <c r="E16" s="11">
        <f t="shared" si="0"/>
        <v>282.03448262605343</v>
      </c>
      <c r="F16" s="11"/>
      <c r="G16" s="11">
        <v>118.51763833129391</v>
      </c>
      <c r="H16" s="11">
        <v>117.18102466145663</v>
      </c>
      <c r="I16" s="11">
        <v>14.293117576035838</v>
      </c>
      <c r="J16" s="11">
        <f t="shared" si="1"/>
        <v>249.99178056878637</v>
      </c>
      <c r="K16" s="11"/>
      <c r="L16" s="11">
        <v>114.27015382737052</v>
      </c>
      <c r="M16" s="11">
        <v>94.306977522322669</v>
      </c>
      <c r="N16" s="11">
        <v>18.363992533724524</v>
      </c>
      <c r="O16" s="11">
        <f t="shared" si="2"/>
        <v>226.9411238834177</v>
      </c>
      <c r="Q16" s="10" t="str">
        <f>name!E12</f>
        <v>Elementary occupations</v>
      </c>
      <c r="R16" s="11">
        <v>104.97857022571606</v>
      </c>
      <c r="S16" s="11">
        <v>44.868738933932057</v>
      </c>
      <c r="T16" s="11">
        <v>8.7280153993150922</v>
      </c>
      <c r="U16" s="11">
        <f t="shared" si="3"/>
        <v>158.57532455896322</v>
      </c>
      <c r="V16" s="11"/>
      <c r="W16" s="11">
        <v>89.577131426047757</v>
      </c>
      <c r="X16" s="11">
        <v>38.961315999456453</v>
      </c>
      <c r="Y16" s="11">
        <v>9.0799552630028693</v>
      </c>
      <c r="Z16" s="11">
        <f t="shared" si="4"/>
        <v>137.61840268850708</v>
      </c>
      <c r="AA16" s="11"/>
      <c r="AB16" s="11">
        <v>82.970693344443035</v>
      </c>
      <c r="AC16" s="11">
        <v>31.852768880780591</v>
      </c>
      <c r="AD16" s="11">
        <v>12.064574047114879</v>
      </c>
      <c r="AE16" s="11">
        <f t="shared" si="5"/>
        <v>126.8880362723385</v>
      </c>
      <c r="AG16" s="10" t="str">
        <f>name!E12</f>
        <v>Elementary occupations</v>
      </c>
      <c r="AH16" s="11">
        <v>32.914496994221643</v>
      </c>
      <c r="AI16" s="11">
        <v>84.681928164004688</v>
      </c>
      <c r="AJ16" s="11">
        <v>5.8627329088639524</v>
      </c>
      <c r="AK16" s="11">
        <f t="shared" si="6"/>
        <v>123.45915806709029</v>
      </c>
      <c r="AL16" s="11"/>
      <c r="AM16" s="11">
        <v>28.940506905246302</v>
      </c>
      <c r="AN16" s="11">
        <v>78.21970866200013</v>
      </c>
      <c r="AO16" s="11">
        <v>5.2131623130329698</v>
      </c>
      <c r="AP16" s="11">
        <f t="shared" si="7"/>
        <v>112.37337788027941</v>
      </c>
      <c r="AQ16" s="11"/>
      <c r="AR16" s="11">
        <v>31.299460482927525</v>
      </c>
      <c r="AS16" s="11">
        <v>62.45420864154196</v>
      </c>
      <c r="AT16" s="11">
        <v>6.2994184866096408</v>
      </c>
      <c r="AU16" s="11">
        <f t="shared" si="8"/>
        <v>100.05308761107912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3" t="str">
        <f>name!E3</f>
        <v>All occupations</v>
      </c>
      <c r="B18" s="33">
        <f>SUM(B8:B16)</f>
        <v>1341.159999996429</v>
      </c>
      <c r="C18" s="33">
        <f t="shared" ref="C18:D18" si="9">SUM(C8:C16)</f>
        <v>659.26600000366579</v>
      </c>
      <c r="D18" s="33">
        <f t="shared" si="9"/>
        <v>274.06499999913365</v>
      </c>
      <c r="E18" s="33">
        <f t="shared" si="0"/>
        <v>2274.4909999992283</v>
      </c>
      <c r="F18" s="33"/>
      <c r="G18" s="33">
        <f>SUM(G8:G16)</f>
        <v>1422.5899999956462</v>
      </c>
      <c r="H18" s="33">
        <f t="shared" ref="H18:I18" si="10">SUM(H8:H16)</f>
        <v>686.53500000397912</v>
      </c>
      <c r="I18" s="33">
        <f t="shared" si="10"/>
        <v>295.11299999871272</v>
      </c>
      <c r="J18" s="33">
        <f t="shared" ref="J18" si="11">SUM(G18:I18)</f>
        <v>2404.2379999983382</v>
      </c>
      <c r="K18" s="33"/>
      <c r="L18" s="33">
        <f>SUM(L8:L16)</f>
        <v>1498.601999999584</v>
      </c>
      <c r="M18" s="33">
        <f t="shared" ref="M18:N18" si="12">SUM(M8:M16)</f>
        <v>699.75999999866417</v>
      </c>
      <c r="N18" s="33">
        <f t="shared" si="12"/>
        <v>312.33200000102119</v>
      </c>
      <c r="O18" s="33">
        <f t="shared" ref="O18" si="13">SUM(L18:N18)</f>
        <v>2510.6939999992696</v>
      </c>
      <c r="Q18" s="231" t="str">
        <f>name!E3</f>
        <v>All occupations</v>
      </c>
      <c r="R18" s="33">
        <f>SUM(R8:R16)</f>
        <v>856.02699999963716</v>
      </c>
      <c r="S18" s="33">
        <f t="shared" ref="S18:T18" si="14">SUM(S8:S16)</f>
        <v>177.78399999979342</v>
      </c>
      <c r="T18" s="33">
        <f t="shared" si="14"/>
        <v>179.70400000042136</v>
      </c>
      <c r="U18" s="33">
        <f t="shared" ref="U18" si="15">SUM(R18:T18)</f>
        <v>1213.5149999998519</v>
      </c>
      <c r="V18" s="33"/>
      <c r="W18" s="33">
        <f>SUM(W8:W16)</f>
        <v>891.91499999835514</v>
      </c>
      <c r="X18" s="33">
        <f t="shared" ref="X18:Y18" si="16">SUM(X8:X16)</f>
        <v>195.66700000061442</v>
      </c>
      <c r="Y18" s="33">
        <f t="shared" si="16"/>
        <v>175.01000000014707</v>
      </c>
      <c r="Z18" s="33">
        <f t="shared" ref="Z18" si="17">SUM(W18:Y18)</f>
        <v>1262.5919999991168</v>
      </c>
      <c r="AA18" s="33"/>
      <c r="AB18" s="33">
        <f>SUM(AB8:AB16)</f>
        <v>908.60799999918959</v>
      </c>
      <c r="AC18" s="33">
        <f t="shared" ref="AC18:AD18" si="18">SUM(AC8:AC16)</f>
        <v>208.14000000030265</v>
      </c>
      <c r="AD18" s="33">
        <f t="shared" si="18"/>
        <v>183.6530000003637</v>
      </c>
      <c r="AE18" s="33">
        <f t="shared" ref="AE18" si="19">SUM(AB18:AD18)</f>
        <v>1300.4009999998561</v>
      </c>
      <c r="AG18" s="231" t="str">
        <f>name!E3</f>
        <v>All occupations</v>
      </c>
      <c r="AH18" s="33">
        <f>SUM(AH8:AH16)</f>
        <v>485.13299999679191</v>
      </c>
      <c r="AI18" s="33">
        <f t="shared" ref="AI18:AJ18" si="20">SUM(AI8:AI16)</f>
        <v>481.48200000387249</v>
      </c>
      <c r="AJ18" s="33">
        <f t="shared" si="20"/>
        <v>94.360999998712273</v>
      </c>
      <c r="AK18" s="33">
        <f t="shared" si="6"/>
        <v>1060.9759999993767</v>
      </c>
      <c r="AL18" s="33"/>
      <c r="AM18" s="33">
        <f>SUM(AM8:AM16)</f>
        <v>530.67499999729091</v>
      </c>
      <c r="AN18" s="33">
        <f t="shared" ref="AN18:AO18" si="21">SUM(AN8:AN16)</f>
        <v>490.86800000336461</v>
      </c>
      <c r="AO18" s="33">
        <f t="shared" si="21"/>
        <v>120.10299999856566</v>
      </c>
      <c r="AP18" s="33">
        <f t="shared" si="7"/>
        <v>1141.6459999992212</v>
      </c>
      <c r="AQ18" s="33"/>
      <c r="AR18" s="33">
        <f>SUM(AR8:AR16)</f>
        <v>589.99400000039407</v>
      </c>
      <c r="AS18" s="33">
        <f t="shared" ref="AS18:AT18" si="22">SUM(AS8:AS16)</f>
        <v>491.61999999836155</v>
      </c>
      <c r="AT18" s="33">
        <f t="shared" si="22"/>
        <v>128.67900000065762</v>
      </c>
      <c r="AU18" s="33">
        <f t="shared" si="8"/>
        <v>1210.2929999994133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5" t="s">
        <v>34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5" t="s">
        <v>34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5" t="s">
        <v>34</v>
      </c>
    </row>
    <row r="22" spans="1:47" x14ac:dyDescent="0.2">
      <c r="A22" s="35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Q22" s="35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G22" s="35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</row>
    <row r="23" spans="1:47" x14ac:dyDescent="0.2">
      <c r="B23" s="375">
        <f>B5</f>
        <v>2015</v>
      </c>
      <c r="C23" s="375"/>
      <c r="D23" s="375"/>
      <c r="E23" s="375"/>
      <c r="F23" s="1"/>
      <c r="G23" s="375">
        <f>G5</f>
        <v>2020</v>
      </c>
      <c r="H23" s="375"/>
      <c r="I23" s="375"/>
      <c r="J23" s="375"/>
      <c r="K23" s="1"/>
      <c r="L23" s="375">
        <f>L5</f>
        <v>2035</v>
      </c>
      <c r="M23" s="375"/>
      <c r="N23" s="375"/>
      <c r="O23" s="375"/>
      <c r="R23" s="375">
        <f>R5</f>
        <v>2015</v>
      </c>
      <c r="S23" s="375"/>
      <c r="T23" s="375"/>
      <c r="U23" s="375"/>
      <c r="V23" s="1"/>
      <c r="W23" s="375">
        <f>W5</f>
        <v>2020</v>
      </c>
      <c r="X23" s="375"/>
      <c r="Y23" s="375"/>
      <c r="Z23" s="375"/>
      <c r="AA23" s="1"/>
      <c r="AB23" s="375">
        <f>AB5</f>
        <v>2035</v>
      </c>
      <c r="AC23" s="375"/>
      <c r="AD23" s="375"/>
      <c r="AE23" s="375"/>
      <c r="AH23" s="375">
        <f>AH5</f>
        <v>2015</v>
      </c>
      <c r="AI23" s="375"/>
      <c r="AJ23" s="375"/>
      <c r="AK23" s="375"/>
      <c r="AL23" s="1"/>
      <c r="AM23" s="375">
        <f>AM5</f>
        <v>2020</v>
      </c>
      <c r="AN23" s="375"/>
      <c r="AO23" s="375"/>
      <c r="AP23" s="375"/>
      <c r="AQ23" s="1"/>
      <c r="AR23" s="375">
        <f>AR5</f>
        <v>2035</v>
      </c>
      <c r="AS23" s="375"/>
      <c r="AT23" s="375"/>
      <c r="AU23" s="375"/>
    </row>
    <row r="24" spans="1:47" x14ac:dyDescent="0.2">
      <c r="A24" s="40" t="s">
        <v>463</v>
      </c>
      <c r="B24" s="337" t="s">
        <v>339</v>
      </c>
      <c r="C24" s="337" t="s">
        <v>341</v>
      </c>
      <c r="D24" s="337" t="s">
        <v>337</v>
      </c>
      <c r="E24" s="337" t="s">
        <v>32</v>
      </c>
      <c r="F24" s="338"/>
      <c r="G24" s="337" t="s">
        <v>339</v>
      </c>
      <c r="H24" s="337" t="s">
        <v>341</v>
      </c>
      <c r="I24" s="337" t="s">
        <v>337</v>
      </c>
      <c r="J24" s="337" t="s">
        <v>32</v>
      </c>
      <c r="K24" s="338"/>
      <c r="L24" s="337" t="s">
        <v>339</v>
      </c>
      <c r="M24" s="337" t="s">
        <v>341</v>
      </c>
      <c r="N24" s="337" t="s">
        <v>337</v>
      </c>
      <c r="O24" s="337" t="s">
        <v>32</v>
      </c>
      <c r="Q24" s="40" t="s">
        <v>463</v>
      </c>
      <c r="R24" s="337" t="s">
        <v>339</v>
      </c>
      <c r="S24" s="337" t="s">
        <v>341</v>
      </c>
      <c r="T24" s="337" t="s">
        <v>337</v>
      </c>
      <c r="U24" s="337" t="s">
        <v>32</v>
      </c>
      <c r="V24" s="338"/>
      <c r="W24" s="337" t="s">
        <v>339</v>
      </c>
      <c r="X24" s="337" t="s">
        <v>341</v>
      </c>
      <c r="Y24" s="337" t="s">
        <v>337</v>
      </c>
      <c r="Z24" s="337" t="s">
        <v>32</v>
      </c>
      <c r="AA24" s="338"/>
      <c r="AB24" s="337" t="s">
        <v>339</v>
      </c>
      <c r="AC24" s="337" t="s">
        <v>341</v>
      </c>
      <c r="AD24" s="337" t="s">
        <v>337</v>
      </c>
      <c r="AE24" s="337" t="s">
        <v>32</v>
      </c>
      <c r="AG24" s="40" t="s">
        <v>463</v>
      </c>
      <c r="AH24" s="337" t="s">
        <v>339</v>
      </c>
      <c r="AI24" s="337" t="s">
        <v>341</v>
      </c>
      <c r="AJ24" s="337" t="s">
        <v>337</v>
      </c>
      <c r="AK24" s="337" t="s">
        <v>32</v>
      </c>
      <c r="AL24" s="338"/>
      <c r="AM24" s="337" t="s">
        <v>339</v>
      </c>
      <c r="AN24" s="337" t="s">
        <v>341</v>
      </c>
      <c r="AO24" s="337" t="s">
        <v>337</v>
      </c>
      <c r="AP24" s="337" t="s">
        <v>32</v>
      </c>
      <c r="AQ24" s="338"/>
      <c r="AR24" s="337" t="s">
        <v>339</v>
      </c>
      <c r="AS24" s="337" t="s">
        <v>341</v>
      </c>
      <c r="AT24" s="337" t="s">
        <v>337</v>
      </c>
      <c r="AU24" s="337" t="s">
        <v>32</v>
      </c>
    </row>
    <row r="25" spans="1:47" x14ac:dyDescent="0.2">
      <c r="A25" s="1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Q25" s="1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G25" s="1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</row>
    <row r="26" spans="1:47" x14ac:dyDescent="0.2">
      <c r="A26" t="str">
        <f>$A$8</f>
        <v>Managers, directors and senior officials</v>
      </c>
      <c r="B26" s="17">
        <f>B8/B$18*100</f>
        <v>11.170829465190343</v>
      </c>
      <c r="C26" s="17">
        <f t="shared" ref="C26:O26" si="23">C8/C$18*100</f>
        <v>3.381459175365046</v>
      </c>
      <c r="D26" s="17">
        <f t="shared" si="23"/>
        <v>14.90720793052308</v>
      </c>
      <c r="E26" s="17">
        <f t="shared" si="23"/>
        <v>9.3632793674217751</v>
      </c>
      <c r="F26" s="17"/>
      <c r="G26" s="17">
        <f t="shared" si="23"/>
        <v>12.460701137980573</v>
      </c>
      <c r="H26" s="17">
        <f t="shared" si="23"/>
        <v>5.0799555223095716</v>
      </c>
      <c r="I26" s="17">
        <f t="shared" si="23"/>
        <v>16.759199677252912</v>
      </c>
      <c r="J26" s="17">
        <f t="shared" si="23"/>
        <v>10.880742168913475</v>
      </c>
      <c r="K26" s="17"/>
      <c r="L26" s="17">
        <f t="shared" si="23"/>
        <v>12.91560806537049</v>
      </c>
      <c r="M26" s="17">
        <f t="shared" si="23"/>
        <v>6.4088861737152083</v>
      </c>
      <c r="N26" s="17">
        <f t="shared" si="23"/>
        <v>18.552760427411581</v>
      </c>
      <c r="O26" s="17">
        <f t="shared" si="23"/>
        <v>11.803373504189381</v>
      </c>
      <c r="Q26" t="str">
        <f>$A$8</f>
        <v>Managers, directors and senior officials</v>
      </c>
      <c r="R26" s="17">
        <f>R8/R$18*100</f>
        <v>13.027006954887424</v>
      </c>
      <c r="S26" s="17">
        <f t="shared" ref="S26:U26" si="24">S8/S$18*100</f>
        <v>5.7326660774174432</v>
      </c>
      <c r="T26" s="17">
        <f t="shared" si="24"/>
        <v>14.909661047988912</v>
      </c>
      <c r="U26" s="17">
        <f t="shared" si="24"/>
        <v>12.237155467751929</v>
      </c>
      <c r="V26" s="17"/>
      <c r="W26" s="17">
        <f t="shared" ref="W26:Z26" si="25">W8/W$18*100</f>
        <v>14.506596482407815</v>
      </c>
      <c r="X26" s="17">
        <f t="shared" si="25"/>
        <v>8.1142837398622731</v>
      </c>
      <c r="Y26" s="17">
        <f t="shared" si="25"/>
        <v>18.113604442663085</v>
      </c>
      <c r="Z26" s="17">
        <f t="shared" si="25"/>
        <v>14.0159374300178</v>
      </c>
      <c r="AA26" s="17"/>
      <c r="AB26" s="17">
        <f t="shared" ref="AB26:AE26" si="26">AB8/AB$18*100</f>
        <v>14.587164283203249</v>
      </c>
      <c r="AC26" s="17">
        <f t="shared" si="26"/>
        <v>10.754325815916005</v>
      </c>
      <c r="AD26" s="17">
        <f t="shared" si="26"/>
        <v>20.860101243211695</v>
      </c>
      <c r="AE26" s="17">
        <f t="shared" si="26"/>
        <v>14.859600780050314</v>
      </c>
      <c r="AG26" t="str">
        <f>$A$8</f>
        <v>Managers, directors and senior officials</v>
      </c>
      <c r="AH26" s="17">
        <f>AH8/AH$18*100</f>
        <v>7.8955667063536046</v>
      </c>
      <c r="AI26" s="17">
        <f t="shared" ref="AI26:AK26" si="27">AI8/AI$18*100</f>
        <v>2.5132917924293641</v>
      </c>
      <c r="AJ26" s="17">
        <f t="shared" si="27"/>
        <v>14.902536137927772</v>
      </c>
      <c r="AK26" s="17">
        <f t="shared" si="27"/>
        <v>6.0762193812451182</v>
      </c>
      <c r="AL26" s="17"/>
      <c r="AM26" s="17">
        <f t="shared" ref="AM26:AP26" si="28">AM8/AM$18*100</f>
        <v>9.0221281015067092</v>
      </c>
      <c r="AN26" s="17">
        <f t="shared" si="28"/>
        <v>3.8704289299432393</v>
      </c>
      <c r="AO26" s="17">
        <f t="shared" si="28"/>
        <v>14.785607194155387</v>
      </c>
      <c r="AP26" s="17">
        <f t="shared" si="28"/>
        <v>7.4134042593441762</v>
      </c>
      <c r="AQ26" s="17"/>
      <c r="AR26" s="17">
        <f t="shared" ref="AR26:AU26" si="29">AR8/AR$18*100</f>
        <v>10.341362645976025</v>
      </c>
      <c r="AS26" s="17">
        <f t="shared" si="29"/>
        <v>4.5691322842640014</v>
      </c>
      <c r="AT26" s="17">
        <f t="shared" si="29"/>
        <v>15.259681814407058</v>
      </c>
      <c r="AU26" s="17">
        <f t="shared" si="29"/>
        <v>8.5196058497798095</v>
      </c>
    </row>
    <row r="27" spans="1:47" x14ac:dyDescent="0.2">
      <c r="A27" t="str">
        <f>$A$9</f>
        <v>Professional occupations</v>
      </c>
      <c r="B27" s="17">
        <f t="shared" ref="B27:B34" si="30">B9/B$18*100</f>
        <v>20.788848983441081</v>
      </c>
      <c r="C27" s="17">
        <f t="shared" ref="C27:O27" si="31">C9/C$18*100</f>
        <v>10.966906225259981</v>
      </c>
      <c r="D27" s="17">
        <f t="shared" si="31"/>
        <v>18.392968414022043</v>
      </c>
      <c r="E27" s="17">
        <f t="shared" si="31"/>
        <v>17.653246370500781</v>
      </c>
      <c r="F27" s="17"/>
      <c r="G27" s="17">
        <f t="shared" si="31"/>
        <v>24.571756312471624</v>
      </c>
      <c r="H27" s="17">
        <f t="shared" si="31"/>
        <v>13.577843782066795</v>
      </c>
      <c r="I27" s="17">
        <f t="shared" si="31"/>
        <v>17.865748807031579</v>
      </c>
      <c r="J27" s="17">
        <f t="shared" si="31"/>
        <v>20.609280163248414</v>
      </c>
      <c r="K27" s="17"/>
      <c r="L27" s="17">
        <f t="shared" si="31"/>
        <v>27.806085126960628</v>
      </c>
      <c r="M27" s="17">
        <f t="shared" si="31"/>
        <v>16.115352633512316</v>
      </c>
      <c r="N27" s="17">
        <f t="shared" si="31"/>
        <v>16.78051292815843</v>
      </c>
      <c r="O27" s="17">
        <f t="shared" si="31"/>
        <v>23.176151735790413</v>
      </c>
      <c r="Q27" t="str">
        <f>$A$9</f>
        <v>Professional occupations</v>
      </c>
      <c r="R27" s="17">
        <f t="shared" ref="R27:U27" si="32">R9/R$18*100</f>
        <v>20.465600626571419</v>
      </c>
      <c r="S27" s="17">
        <f t="shared" si="32"/>
        <v>8.3061481154323484</v>
      </c>
      <c r="T27" s="17">
        <f t="shared" si="32"/>
        <v>18.48762191138243</v>
      </c>
      <c r="U27" s="17">
        <f t="shared" si="32"/>
        <v>18.391290220623986</v>
      </c>
      <c r="V27" s="17"/>
      <c r="W27" s="17">
        <f t="shared" ref="W27:Z27" si="33">W9/W$18*100</f>
        <v>24.059701065534412</v>
      </c>
      <c r="X27" s="17">
        <f t="shared" si="33"/>
        <v>11.923423696222597</v>
      </c>
      <c r="Y27" s="17">
        <f t="shared" si="33"/>
        <v>15.109797311152231</v>
      </c>
      <c r="Z27" s="17">
        <f t="shared" si="33"/>
        <v>20.938350985629665</v>
      </c>
      <c r="AA27" s="17"/>
      <c r="AB27" s="17">
        <f t="shared" ref="AB27:AE27" si="34">AB9/AB$18*100</f>
        <v>27.454137764625962</v>
      </c>
      <c r="AC27" s="17">
        <f t="shared" si="34"/>
        <v>14.198485890096849</v>
      </c>
      <c r="AD27" s="17">
        <f t="shared" si="34"/>
        <v>12.683479440445044</v>
      </c>
      <c r="AE27" s="17">
        <f t="shared" si="34"/>
        <v>23.246430223348092</v>
      </c>
      <c r="AG27" t="str">
        <f>$A$9</f>
        <v>Professional occupations</v>
      </c>
      <c r="AH27" s="17">
        <f t="shared" ref="AH27:AK27" si="35">AH9/AH$18*100</f>
        <v>21.359227253292392</v>
      </c>
      <c r="AI27" s="17">
        <f t="shared" si="35"/>
        <v>11.949373316019846</v>
      </c>
      <c r="AJ27" s="17">
        <f t="shared" si="35"/>
        <v>18.212707373020802</v>
      </c>
      <c r="AK27" s="17">
        <f t="shared" si="35"/>
        <v>16.809092230555411</v>
      </c>
      <c r="AL27" s="17"/>
      <c r="AM27" s="17">
        <f t="shared" ref="AM27:AP27" si="36">AM9/AM$18*100</f>
        <v>25.432376759211134</v>
      </c>
      <c r="AN27" s="17">
        <f t="shared" si="36"/>
        <v>14.237319272291618</v>
      </c>
      <c r="AO27" s="17">
        <f t="shared" si="36"/>
        <v>21.88162743870614</v>
      </c>
      <c r="AP27" s="17">
        <f t="shared" si="36"/>
        <v>20.2453475713837</v>
      </c>
      <c r="AQ27" s="17"/>
      <c r="AR27" s="17">
        <f t="shared" ref="AR27:AU27" si="37">AR9/AR$18*100</f>
        <v>28.348094349080945</v>
      </c>
      <c r="AS27" s="17">
        <f t="shared" si="37"/>
        <v>16.926907582408624</v>
      </c>
      <c r="AT27" s="17">
        <f t="shared" si="37"/>
        <v>22.627873345294631</v>
      </c>
      <c r="AU27" s="17">
        <f t="shared" si="37"/>
        <v>23.10064091692378</v>
      </c>
    </row>
    <row r="28" spans="1:47" x14ac:dyDescent="0.2">
      <c r="A28" t="str">
        <f>$A$10</f>
        <v>Associate professional occupations</v>
      </c>
      <c r="B28" s="17">
        <f t="shared" si="30"/>
        <v>12.624602289687944</v>
      </c>
      <c r="C28" s="17">
        <f t="shared" ref="C28:O28" si="38">C10/C$18*100</f>
        <v>7.4544964271266485</v>
      </c>
      <c r="D28" s="17">
        <f t="shared" si="38"/>
        <v>13.144897410456496</v>
      </c>
      <c r="E28" s="17">
        <f t="shared" si="38"/>
        <v>11.188729239702514</v>
      </c>
      <c r="F28" s="17"/>
      <c r="G28" s="17">
        <f t="shared" si="38"/>
        <v>14.051641354705655</v>
      </c>
      <c r="H28" s="17">
        <f t="shared" si="38"/>
        <v>8.6034447530707059</v>
      </c>
      <c r="I28" s="17">
        <f t="shared" si="38"/>
        <v>11.656001176210754</v>
      </c>
      <c r="J28" s="17">
        <f t="shared" si="38"/>
        <v>12.201840206100032</v>
      </c>
      <c r="K28" s="17"/>
      <c r="L28" s="17">
        <f t="shared" si="38"/>
        <v>13.857276008420408</v>
      </c>
      <c r="M28" s="17">
        <f t="shared" si="38"/>
        <v>8.8327549656169033</v>
      </c>
      <c r="N28" s="17">
        <f t="shared" si="38"/>
        <v>10.995422548782132</v>
      </c>
      <c r="O28" s="17">
        <f t="shared" si="38"/>
        <v>12.100866322626192</v>
      </c>
      <c r="Q28" t="str">
        <f>$A$10</f>
        <v>Associate professional occupations</v>
      </c>
      <c r="R28" s="17">
        <f t="shared" ref="R28:U28" si="39">R10/R$18*100</f>
        <v>13.013506839794672</v>
      </c>
      <c r="S28" s="17">
        <f t="shared" si="39"/>
        <v>7.1643532698812891</v>
      </c>
      <c r="T28" s="17">
        <f t="shared" si="39"/>
        <v>11.178095666957075</v>
      </c>
      <c r="U28" s="17">
        <f t="shared" si="39"/>
        <v>11.884788490473222</v>
      </c>
      <c r="V28" s="17"/>
      <c r="W28" s="17">
        <f t="shared" ref="W28:Z28" si="40">W10/W$18*100</f>
        <v>14.292654436979541</v>
      </c>
      <c r="X28" s="17">
        <f t="shared" si="40"/>
        <v>8.9953611655772665</v>
      </c>
      <c r="Y28" s="17">
        <f t="shared" si="40"/>
        <v>8.9015005751151364</v>
      </c>
      <c r="Z28" s="17">
        <f t="shared" si="40"/>
        <v>12.724442916626336</v>
      </c>
      <c r="AA28" s="17"/>
      <c r="AB28" s="17">
        <f t="shared" ref="AB28:AE28" si="41">AB10/AB$18*100</f>
        <v>13.537605460195866</v>
      </c>
      <c r="AC28" s="17">
        <f t="shared" si="41"/>
        <v>7.418448222323061</v>
      </c>
      <c r="AD28" s="17">
        <f t="shared" si="41"/>
        <v>7.726064932249491</v>
      </c>
      <c r="AE28" s="17">
        <f t="shared" si="41"/>
        <v>11.737431329236255</v>
      </c>
      <c r="AG28" t="str">
        <f>$A$10</f>
        <v>Associate professional occupations</v>
      </c>
      <c r="AH28" s="17">
        <f t="shared" ref="AH28:AK28" si="42">AH10/AH$18*100</f>
        <v>11.938372337661853</v>
      </c>
      <c r="AI28" s="17">
        <f t="shared" si="42"/>
        <v>7.5616298424303006</v>
      </c>
      <c r="AJ28" s="17">
        <f t="shared" si="42"/>
        <v>16.890535338408448</v>
      </c>
      <c r="AK28" s="17">
        <f t="shared" si="42"/>
        <v>10.392595923115325</v>
      </c>
      <c r="AL28" s="17"/>
      <c r="AM28" s="17">
        <f t="shared" ref="AM28:AP28" si="43">AM10/AM$18*100</f>
        <v>13.646566340286251</v>
      </c>
      <c r="AN28" s="17">
        <f t="shared" si="43"/>
        <v>8.4472212700047198</v>
      </c>
      <c r="AO28" s="17">
        <f t="shared" si="43"/>
        <v>15.669765613434697</v>
      </c>
      <c r="AP28" s="17">
        <f t="shared" si="43"/>
        <v>11.623872954001904</v>
      </c>
      <c r="AQ28" s="17"/>
      <c r="AR28" s="17">
        <f t="shared" ref="AR28:AU28" si="44">AR10/AR$18*100</f>
        <v>14.349577993662187</v>
      </c>
      <c r="AS28" s="17">
        <f t="shared" si="44"/>
        <v>9.4315381834489518</v>
      </c>
      <c r="AT28" s="17">
        <f t="shared" si="44"/>
        <v>15.661508968067256</v>
      </c>
      <c r="AU28" s="17">
        <f t="shared" si="44"/>
        <v>12.491359557602712</v>
      </c>
    </row>
    <row r="29" spans="1:47" x14ac:dyDescent="0.2">
      <c r="A29" t="str">
        <f>$A$11</f>
        <v>Administrative and secretarial occupations</v>
      </c>
      <c r="B29" s="17">
        <f t="shared" si="30"/>
        <v>9.8707425210161492</v>
      </c>
      <c r="C29" s="17">
        <f t="shared" ref="C29:O29" si="45">C11/C$18*100</f>
        <v>15.200933356581196</v>
      </c>
      <c r="D29" s="17">
        <f t="shared" si="45"/>
        <v>3.6877797634930571</v>
      </c>
      <c r="E29" s="17">
        <f t="shared" si="45"/>
        <v>10.670692884980912</v>
      </c>
      <c r="F29" s="17"/>
      <c r="G29" s="17">
        <f t="shared" si="45"/>
        <v>9.8481852455225845</v>
      </c>
      <c r="H29" s="17">
        <f t="shared" si="45"/>
        <v>14.623486127114612</v>
      </c>
      <c r="I29" s="17">
        <f t="shared" si="45"/>
        <v>3.882957361862021</v>
      </c>
      <c r="J29" s="17">
        <f t="shared" si="45"/>
        <v>10.479568201095532</v>
      </c>
      <c r="K29" s="17"/>
      <c r="L29" s="17">
        <f t="shared" si="45"/>
        <v>8.0509892593098815</v>
      </c>
      <c r="M29" s="17">
        <f t="shared" si="45"/>
        <v>12.183557475460496</v>
      </c>
      <c r="N29" s="17">
        <f t="shared" si="45"/>
        <v>3.4727435694735438</v>
      </c>
      <c r="O29" s="17">
        <f t="shared" si="45"/>
        <v>8.6332479105536493</v>
      </c>
      <c r="Q29" t="str">
        <f>$A$11</f>
        <v>Administrative and secretarial occupations</v>
      </c>
      <c r="R29" s="17">
        <f t="shared" ref="R29:U29" si="46">R11/R$18*100</f>
        <v>4.4826711367150311</v>
      </c>
      <c r="S29" s="17">
        <f t="shared" si="46"/>
        <v>5.0771817530512413</v>
      </c>
      <c r="T29" s="17">
        <f t="shared" si="46"/>
        <v>1.2808899853965894</v>
      </c>
      <c r="U29" s="17">
        <f t="shared" si="46"/>
        <v>4.0956315001194055</v>
      </c>
      <c r="V29" s="17"/>
      <c r="W29" s="17">
        <f t="shared" ref="W29:Z29" si="47">W11/W$18*100</f>
        <v>4.9788531097311477</v>
      </c>
      <c r="X29" s="17">
        <f t="shared" si="47"/>
        <v>5.398576829116859</v>
      </c>
      <c r="Y29" s="17">
        <f t="shared" si="47"/>
        <v>1.0401065139970223</v>
      </c>
      <c r="Z29" s="17">
        <f t="shared" si="47"/>
        <v>4.4979424428497383</v>
      </c>
      <c r="AA29" s="17"/>
      <c r="AB29" s="17">
        <f t="shared" ref="AB29:AE29" si="48">AB11/AB$18*100</f>
        <v>5.0538998938370776</v>
      </c>
      <c r="AC29" s="17">
        <f t="shared" si="48"/>
        <v>4.6412429321637543</v>
      </c>
      <c r="AD29" s="17">
        <f t="shared" si="48"/>
        <v>1.244570956348537</v>
      </c>
      <c r="AE29" s="17">
        <f t="shared" si="48"/>
        <v>4.4498669014286838</v>
      </c>
      <c r="AG29" t="str">
        <f>$A$11</f>
        <v>Administrative and secretarial occupations</v>
      </c>
      <c r="AH29" s="17">
        <f t="shared" ref="AH29:AK29" si="49">AH11/AH$18*100</f>
        <v>19.378103559984218</v>
      </c>
      <c r="AI29" s="17">
        <f t="shared" si="49"/>
        <v>18.939060752964444</v>
      </c>
      <c r="AJ29" s="17">
        <f t="shared" si="49"/>
        <v>8.2715349238873337</v>
      </c>
      <c r="AK29" s="17">
        <f t="shared" si="49"/>
        <v>18.19106621713351</v>
      </c>
      <c r="AL29" s="17"/>
      <c r="AM29" s="17">
        <f t="shared" ref="AM29:AP29" si="50">AM11/AM$18*100</f>
        <v>18.032159187970549</v>
      </c>
      <c r="AN29" s="17">
        <f t="shared" si="50"/>
        <v>18.300666810321946</v>
      </c>
      <c r="AO29" s="17">
        <f t="shared" si="50"/>
        <v>8.025462768814501</v>
      </c>
      <c r="AP29" s="17">
        <f t="shared" si="50"/>
        <v>17.094887511420211</v>
      </c>
      <c r="AQ29" s="17"/>
      <c r="AR29" s="17">
        <f t="shared" ref="AR29:AU29" si="51">AR11/AR$18*100</f>
        <v>12.666594458988639</v>
      </c>
      <c r="AS29" s="17">
        <f t="shared" si="51"/>
        <v>15.376790763466069</v>
      </c>
      <c r="AT29" s="17">
        <f t="shared" si="51"/>
        <v>6.652831889377854</v>
      </c>
      <c r="AU29" s="17">
        <f t="shared" si="51"/>
        <v>13.128087463991662</v>
      </c>
    </row>
    <row r="30" spans="1:47" x14ac:dyDescent="0.2">
      <c r="A30" t="str">
        <f>$A$12</f>
        <v>Skilled trades occupations</v>
      </c>
      <c r="B30" s="17">
        <f t="shared" si="30"/>
        <v>10.366283377761899</v>
      </c>
      <c r="C30" s="17">
        <f t="shared" ref="C30:O30" si="52">C12/C$18*100</f>
        <v>3.883603368011173</v>
      </c>
      <c r="D30" s="17">
        <f t="shared" si="52"/>
        <v>24.949715106452782</v>
      </c>
      <c r="E30" s="17">
        <f t="shared" si="52"/>
        <v>10.244496875805574</v>
      </c>
      <c r="F30" s="17"/>
      <c r="G30" s="17">
        <f t="shared" si="52"/>
        <v>8.5992324026671625</v>
      </c>
      <c r="H30" s="17">
        <f t="shared" si="52"/>
        <v>3.0419095547584454</v>
      </c>
      <c r="I30" s="17">
        <f t="shared" si="52"/>
        <v>22.225236106303296</v>
      </c>
      <c r="J30" s="17">
        <f t="shared" si="52"/>
        <v>8.6848787444863369</v>
      </c>
      <c r="K30" s="17"/>
      <c r="L30" s="17">
        <f t="shared" si="52"/>
        <v>6.7655969999705992</v>
      </c>
      <c r="M30" s="17">
        <f t="shared" si="52"/>
        <v>3.1508828000900198</v>
      </c>
      <c r="N30" s="17">
        <f t="shared" si="52"/>
        <v>21.223177818887969</v>
      </c>
      <c r="O30" s="17">
        <f t="shared" si="52"/>
        <v>7.5566662118482046</v>
      </c>
      <c r="Q30" t="str">
        <f>$A$12</f>
        <v>Skilled trades occupations</v>
      </c>
      <c r="R30" s="17">
        <f t="shared" ref="R30:U30" si="53">R12/R$18*100</f>
        <v>14.991711255140119</v>
      </c>
      <c r="S30" s="17">
        <f t="shared" si="53"/>
        <v>10.18638004227415</v>
      </c>
      <c r="T30" s="17">
        <f t="shared" si="53"/>
        <v>33.792168255958067</v>
      </c>
      <c r="U30" s="17">
        <f t="shared" si="53"/>
        <v>17.071789639450198</v>
      </c>
      <c r="V30" s="17"/>
      <c r="W30" s="17">
        <f t="shared" ref="W30:Z30" si="54">W12/W$18*100</f>
        <v>12.396051126542995</v>
      </c>
      <c r="X30" s="17">
        <f t="shared" si="54"/>
        <v>7.1138342227941802</v>
      </c>
      <c r="Y30" s="17">
        <f t="shared" si="54"/>
        <v>32.252980720366523</v>
      </c>
      <c r="Z30" s="17">
        <f t="shared" si="54"/>
        <v>14.329855327195792</v>
      </c>
      <c r="AA30" s="17"/>
      <c r="AB30" s="17">
        <f t="shared" ref="AB30:AE30" si="55">AB12/AB$18*100</f>
        <v>9.6949546904486823</v>
      </c>
      <c r="AC30" s="17">
        <f t="shared" si="55"/>
        <v>7.2794357317226179</v>
      </c>
      <c r="AD30" s="17">
        <f t="shared" si="55"/>
        <v>30.283876499076555</v>
      </c>
      <c r="AE30" s="17">
        <f t="shared" si="55"/>
        <v>12.216062518616924</v>
      </c>
      <c r="AG30" t="str">
        <f>$A$12</f>
        <v>Skilled trades occupations</v>
      </c>
      <c r="AH30" s="17">
        <f t="shared" ref="AH30:AK30" si="56">AH12/AH$18*100</f>
        <v>2.2046222464578373</v>
      </c>
      <c r="AI30" s="17">
        <f t="shared" si="56"/>
        <v>1.5563453433148065</v>
      </c>
      <c r="AJ30" s="17">
        <f t="shared" si="56"/>
        <v>8.1098744858138652</v>
      </c>
      <c r="AK30" s="17">
        <f t="shared" si="56"/>
        <v>2.4356282698445968</v>
      </c>
      <c r="AL30" s="17"/>
      <c r="AM30" s="17">
        <f t="shared" ref="AM30:AP30" si="57">AM12/AM$18*100</f>
        <v>2.2178510070544948</v>
      </c>
      <c r="AN30" s="17">
        <f t="shared" si="57"/>
        <v>1.4187821885060345</v>
      </c>
      <c r="AO30" s="17">
        <f t="shared" si="57"/>
        <v>7.6131482739457219</v>
      </c>
      <c r="AP30" s="17">
        <f t="shared" si="57"/>
        <v>2.4418732300657773</v>
      </c>
      <c r="AQ30" s="17"/>
      <c r="AR30" s="17">
        <f t="shared" ref="AR30:AU30" si="58">AR12/AR$18*100</f>
        <v>2.2543005589461913</v>
      </c>
      <c r="AS30" s="17">
        <f t="shared" si="58"/>
        <v>1.402953490472588</v>
      </c>
      <c r="AT30" s="17">
        <f t="shared" si="58"/>
        <v>8.2915845153382897</v>
      </c>
      <c r="AU30" s="17">
        <f t="shared" si="58"/>
        <v>2.5503713586840435</v>
      </c>
    </row>
    <row r="31" spans="1:47" x14ac:dyDescent="0.2">
      <c r="A31" t="str">
        <f>$A$13</f>
        <v>Caring, leisure and other service occupations</v>
      </c>
      <c r="B31" s="17">
        <f t="shared" si="30"/>
        <v>8.5396840942332535</v>
      </c>
      <c r="C31" s="17">
        <f t="shared" ref="C31:O31" si="59">C13/C$18*100</f>
        <v>17.370731375261521</v>
      </c>
      <c r="D31" s="17">
        <f t="shared" si="59"/>
        <v>7.2433182771797622</v>
      </c>
      <c r="E31" s="17">
        <f t="shared" si="59"/>
        <v>10.943176004800922</v>
      </c>
      <c r="F31" s="17"/>
      <c r="G31" s="17">
        <f t="shared" si="59"/>
        <v>8.1265249073753729</v>
      </c>
      <c r="H31" s="17">
        <f t="shared" si="59"/>
        <v>16.325186738670027</v>
      </c>
      <c r="I31" s="17">
        <f t="shared" si="59"/>
        <v>9.8321263428952435</v>
      </c>
      <c r="J31" s="17">
        <f t="shared" si="59"/>
        <v>10.677026753208905</v>
      </c>
      <c r="K31" s="17"/>
      <c r="L31" s="17">
        <f t="shared" si="59"/>
        <v>9.3071481112805738</v>
      </c>
      <c r="M31" s="17">
        <f t="shared" si="59"/>
        <v>17.116270691358267</v>
      </c>
      <c r="N31" s="17">
        <f t="shared" si="59"/>
        <v>10.488148125601574</v>
      </c>
      <c r="O31" s="17">
        <f t="shared" si="59"/>
        <v>11.630559770806006</v>
      </c>
      <c r="Q31" t="str">
        <f>$A$13</f>
        <v>Caring, leisure and other service occupations</v>
      </c>
      <c r="R31" s="17">
        <f t="shared" ref="R31:U31" si="60">R13/R$18*100</f>
        <v>3.4008102094253569</v>
      </c>
      <c r="S31" s="17">
        <f t="shared" si="60"/>
        <v>7.6286525266242702</v>
      </c>
      <c r="T31" s="17">
        <f t="shared" si="60"/>
        <v>1.9033706070746097</v>
      </c>
      <c r="U31" s="17">
        <f t="shared" si="60"/>
        <v>3.7984541052310186</v>
      </c>
      <c r="V31" s="17"/>
      <c r="W31" s="17">
        <f t="shared" ref="W31:Z31" si="61">W13/W$18*100</f>
        <v>3.3645816678151643</v>
      </c>
      <c r="X31" s="17">
        <f t="shared" si="61"/>
        <v>7.810304950463431</v>
      </c>
      <c r="Y31" s="17">
        <f t="shared" si="61"/>
        <v>2.1584359445576178</v>
      </c>
      <c r="Z31" s="17">
        <f t="shared" si="61"/>
        <v>3.8863604962265992</v>
      </c>
      <c r="AA31" s="17"/>
      <c r="AB31" s="17">
        <f t="shared" ref="AB31:AE31" si="62">AB13/AB$18*100</f>
        <v>4.2543596705278883</v>
      </c>
      <c r="AC31" s="17">
        <f t="shared" si="62"/>
        <v>9.148793983092915</v>
      </c>
      <c r="AD31" s="17">
        <f t="shared" si="62"/>
        <v>3.0860038865424602</v>
      </c>
      <c r="AE31" s="17">
        <f t="shared" si="62"/>
        <v>4.8727500847325471</v>
      </c>
      <c r="AG31" t="str">
        <f>$A$13</f>
        <v>Caring, leisure and other service occupations</v>
      </c>
      <c r="AH31" s="17">
        <f t="shared" ref="AH31:AK31" si="63">AH13/AH$18*100</f>
        <v>17.607331100348425</v>
      </c>
      <c r="AI31" s="17">
        <f t="shared" si="63"/>
        <v>20.967928666147117</v>
      </c>
      <c r="AJ31" s="17">
        <f t="shared" si="63"/>
        <v>17.412879389545282</v>
      </c>
      <c r="AK31" s="17">
        <f t="shared" si="63"/>
        <v>19.11511127568415</v>
      </c>
      <c r="AL31" s="17"/>
      <c r="AM31" s="17">
        <f t="shared" ref="AM31:AP31" si="64">AM13/AM$18*100</f>
        <v>16.130008403915038</v>
      </c>
      <c r="AN31" s="17">
        <f t="shared" si="64"/>
        <v>19.719340309175408</v>
      </c>
      <c r="AO31" s="17">
        <f t="shared" si="64"/>
        <v>21.013966568620127</v>
      </c>
      <c r="AP31" s="17">
        <f t="shared" si="64"/>
        <v>18.18709632883537</v>
      </c>
      <c r="AQ31" s="17"/>
      <c r="AR31" s="17">
        <f t="shared" ref="AR31:AU31" si="65">AR13/AR$18*100</f>
        <v>17.088589955720103</v>
      </c>
      <c r="AS31" s="17">
        <f t="shared" si="65"/>
        <v>20.489507341751441</v>
      </c>
      <c r="AT31" s="17">
        <f t="shared" si="65"/>
        <v>21.052622483745999</v>
      </c>
      <c r="AU31" s="17">
        <f t="shared" si="65"/>
        <v>18.891497802822137</v>
      </c>
    </row>
    <row r="32" spans="1:47" x14ac:dyDescent="0.2">
      <c r="A32" t="str">
        <f>$A$14</f>
        <v>Sales and customer service occupations</v>
      </c>
      <c r="B32" s="17">
        <f t="shared" si="30"/>
        <v>5.5277203764842771</v>
      </c>
      <c r="C32" s="17">
        <f t="shared" ref="C32:O32" si="66">C14/C$18*100</f>
        <v>18.316600612800503</v>
      </c>
      <c r="D32" s="17">
        <f t="shared" si="66"/>
        <v>5.3591793949804627</v>
      </c>
      <c r="E32" s="17">
        <f t="shared" si="66"/>
        <v>9.2142958493392069</v>
      </c>
      <c r="F32" s="17"/>
      <c r="G32" s="17">
        <f t="shared" si="66"/>
        <v>4.761536779603837</v>
      </c>
      <c r="H32" s="17">
        <f t="shared" si="66"/>
        <v>17.295029515741831</v>
      </c>
      <c r="I32" s="17">
        <f t="shared" si="66"/>
        <v>3.9674730310840416</v>
      </c>
      <c r="J32" s="17">
        <f t="shared" si="66"/>
        <v>8.2430319147128639</v>
      </c>
      <c r="K32" s="17"/>
      <c r="L32" s="17">
        <f t="shared" si="66"/>
        <v>4.4049858608392078</v>
      </c>
      <c r="M32" s="17">
        <f t="shared" si="66"/>
        <v>17.300058349777913</v>
      </c>
      <c r="N32" s="17">
        <f t="shared" si="66"/>
        <v>3.1885770029652947</v>
      </c>
      <c r="O32" s="17">
        <f t="shared" si="66"/>
        <v>7.8476724301488572</v>
      </c>
      <c r="Q32" t="str">
        <f>$A$14</f>
        <v>Sales and customer service occupations</v>
      </c>
      <c r="R32" s="17">
        <f t="shared" ref="R32:U32" si="67">R14/R$18*100</f>
        <v>3.5591640406306442</v>
      </c>
      <c r="S32" s="17">
        <f t="shared" si="67"/>
        <v>20.845316906971565</v>
      </c>
      <c r="T32" s="17">
        <f t="shared" si="67"/>
        <v>4.1241166857674934</v>
      </c>
      <c r="U32" s="17">
        <f t="shared" si="67"/>
        <v>6.1753044685019782</v>
      </c>
      <c r="V32" s="17"/>
      <c r="W32" s="17">
        <f t="shared" ref="W32:Z32" si="68">W14/W$18*100</f>
        <v>3.2758750655294682</v>
      </c>
      <c r="X32" s="17">
        <f t="shared" si="68"/>
        <v>19.219942676283079</v>
      </c>
      <c r="Y32" s="17">
        <f t="shared" si="68"/>
        <v>4.0289238222334642</v>
      </c>
      <c r="Z32" s="17">
        <f t="shared" si="68"/>
        <v>5.8511479487065161</v>
      </c>
      <c r="AA32" s="17"/>
      <c r="AB32" s="17">
        <f t="shared" ref="AB32:AE32" si="69">AB14/AB$18*100</f>
        <v>3.2446999707899562</v>
      </c>
      <c r="AC32" s="17">
        <f t="shared" si="69"/>
        <v>19.149385666038818</v>
      </c>
      <c r="AD32" s="17">
        <f t="shared" si="69"/>
        <v>3.3121382048786119</v>
      </c>
      <c r="AE32" s="17">
        <f t="shared" si="69"/>
        <v>5.7999014160513696</v>
      </c>
      <c r="AG32" t="str">
        <f>$A$14</f>
        <v>Sales and customer service occupations</v>
      </c>
      <c r="AH32" s="17">
        <f t="shared" ref="AH32:AK32" si="70">AH14/AH$18*100</f>
        <v>9.0012778844711594</v>
      </c>
      <c r="AI32" s="17">
        <f t="shared" si="70"/>
        <v>17.38288907708624</v>
      </c>
      <c r="AJ32" s="17">
        <f t="shared" si="70"/>
        <v>7.7112709274987212</v>
      </c>
      <c r="AK32" s="17">
        <f t="shared" si="70"/>
        <v>12.690210125928306</v>
      </c>
      <c r="AL32" s="17"/>
      <c r="AM32" s="17">
        <f t="shared" ref="AM32:AP32" si="71">AM14/AM$18*100</f>
        <v>7.2585150953582271</v>
      </c>
      <c r="AN32" s="17">
        <f t="shared" si="71"/>
        <v>16.527731620213448</v>
      </c>
      <c r="AO32" s="17">
        <f t="shared" si="71"/>
        <v>3.8779290316902215</v>
      </c>
      <c r="AP32" s="17">
        <f t="shared" si="71"/>
        <v>10.888312115762782</v>
      </c>
      <c r="AQ32" s="17"/>
      <c r="AR32" s="17">
        <f t="shared" ref="AR32:AU32" si="72">AR14/AR$18*100</f>
        <v>6.191860035804079</v>
      </c>
      <c r="AS32" s="17">
        <f t="shared" si="72"/>
        <v>16.517097958401678</v>
      </c>
      <c r="AT32" s="17">
        <f t="shared" si="72"/>
        <v>3.0122282171112378</v>
      </c>
      <c r="AU32" s="17">
        <f t="shared" si="72"/>
        <v>10.047902849150194</v>
      </c>
    </row>
    <row r="33" spans="1:47" x14ac:dyDescent="0.2">
      <c r="A33" t="str">
        <f>$A$15</f>
        <v>Process, plant and machine operatives</v>
      </c>
      <c r="B33" s="17">
        <f t="shared" si="30"/>
        <v>10.829662000516278</v>
      </c>
      <c r="C33" s="17">
        <f t="shared" ref="C33:O33" si="73">C15/C$18*100</f>
        <v>3.774526497388067</v>
      </c>
      <c r="D33" s="17">
        <f t="shared" si="73"/>
        <v>6.9911060312723565</v>
      </c>
      <c r="E33" s="17">
        <f t="shared" si="73"/>
        <v>8.3221889859646137</v>
      </c>
      <c r="F33" s="17"/>
      <c r="G33" s="17">
        <f t="shared" si="73"/>
        <v>9.2493047892835119</v>
      </c>
      <c r="H33" s="17">
        <f t="shared" si="73"/>
        <v>4.3846734023253964</v>
      </c>
      <c r="I33" s="17">
        <f t="shared" si="73"/>
        <v>8.967988113734835</v>
      </c>
      <c r="J33" s="17">
        <f t="shared" si="73"/>
        <v>7.8256687277380861</v>
      </c>
      <c r="K33" s="17"/>
      <c r="L33" s="17">
        <f t="shared" si="73"/>
        <v>9.2671937037707615</v>
      </c>
      <c r="M33" s="17">
        <f t="shared" si="73"/>
        <v>5.4151908486044276</v>
      </c>
      <c r="N33" s="17">
        <f t="shared" si="73"/>
        <v>9.4190190742868438</v>
      </c>
      <c r="O33" s="17">
        <f t="shared" si="73"/>
        <v>8.2124822987557984</v>
      </c>
      <c r="Q33" t="str">
        <f>$A$15</f>
        <v>Process, plant and machine operatives</v>
      </c>
      <c r="R33" s="17">
        <f t="shared" ref="R33:U33" si="74">R15/R$18*100</f>
        <v>14.796064089843297</v>
      </c>
      <c r="S33" s="17">
        <f t="shared" si="74"/>
        <v>9.8215189803630611</v>
      </c>
      <c r="T33" s="17">
        <f t="shared" si="74"/>
        <v>9.4671915189841158</v>
      </c>
      <c r="U33" s="17">
        <f t="shared" si="74"/>
        <v>13.278147752411169</v>
      </c>
      <c r="V33" s="17"/>
      <c r="W33" s="17">
        <f t="shared" ref="W33:Z33" si="75">W15/W$18*100</f>
        <v>13.082450702734766</v>
      </c>
      <c r="X33" s="17">
        <f t="shared" si="75"/>
        <v>11.512220100008062</v>
      </c>
      <c r="Y33" s="17">
        <f t="shared" si="75"/>
        <v>13.206401276740118</v>
      </c>
      <c r="Z33" s="17">
        <f t="shared" si="75"/>
        <v>12.856289186276404</v>
      </c>
      <c r="AA33" s="17"/>
      <c r="AB33" s="17">
        <f t="shared" ref="AB33:AE33" si="76">AB15/AB$18*100</f>
        <v>13.041551278218344</v>
      </c>
      <c r="AC33" s="17">
        <f t="shared" si="76"/>
        <v>12.106351019367489</v>
      </c>
      <c r="AD33" s="17">
        <f t="shared" si="76"/>
        <v>14.234542419377478</v>
      </c>
      <c r="AE33" s="17">
        <f t="shared" si="76"/>
        <v>13.060348418615982</v>
      </c>
      <c r="AG33" t="str">
        <f>$A$15</f>
        <v>Process, plant and machine operatives</v>
      </c>
      <c r="AH33" s="17">
        <f t="shared" ref="AH33:AK33" si="77">AH15/AH$18*100</f>
        <v>3.8308652141888713</v>
      </c>
      <c r="AI33" s="17">
        <f t="shared" si="77"/>
        <v>1.5417150702042206</v>
      </c>
      <c r="AJ33" s="17">
        <f t="shared" si="77"/>
        <v>2.2755724263840245</v>
      </c>
      <c r="AK33" s="17">
        <f t="shared" si="77"/>
        <v>2.6537004410142981</v>
      </c>
      <c r="AL33" s="17"/>
      <c r="AM33" s="17">
        <f t="shared" ref="AM33:AP33" si="78">AM15/AM$18*100</f>
        <v>2.8068676339492038</v>
      </c>
      <c r="AN33" s="17">
        <f t="shared" si="78"/>
        <v>1.5435314258871384</v>
      </c>
      <c r="AO33" s="17">
        <f t="shared" si="78"/>
        <v>2.7919168443490778</v>
      </c>
      <c r="AP33" s="17">
        <f t="shared" si="78"/>
        <v>2.2621042375312186</v>
      </c>
      <c r="AQ33" s="17"/>
      <c r="AR33" s="17">
        <f t="shared" ref="AR33:AU33" si="79">AR15/AR$18*100</f>
        <v>3.4545727500012005</v>
      </c>
      <c r="AS33" s="17">
        <f t="shared" si="79"/>
        <v>2.5823157053041381</v>
      </c>
      <c r="AT33" s="17">
        <f t="shared" si="79"/>
        <v>2.5462169162567023</v>
      </c>
      <c r="AU33" s="17">
        <f t="shared" si="79"/>
        <v>3.0036857923439957</v>
      </c>
    </row>
    <row r="34" spans="1:47" x14ac:dyDescent="0.2">
      <c r="A34" t="str">
        <f>$A$16</f>
        <v>Elementary occupations</v>
      </c>
      <c r="B34" s="17">
        <f t="shared" si="30"/>
        <v>10.281626891668775</v>
      </c>
      <c r="C34" s="17">
        <f t="shared" ref="C34:O34" si="80">C16/C$18*100</f>
        <v>19.650742962205882</v>
      </c>
      <c r="D34" s="17">
        <f t="shared" si="80"/>
        <v>5.3238276716199389</v>
      </c>
      <c r="E34" s="17">
        <f t="shared" si="80"/>
        <v>12.399894421483713</v>
      </c>
      <c r="F34" s="17"/>
      <c r="G34" s="17">
        <f t="shared" si="80"/>
        <v>8.331117070389686</v>
      </c>
      <c r="H34" s="17">
        <f t="shared" si="80"/>
        <v>17.068470603942618</v>
      </c>
      <c r="I34" s="17">
        <f t="shared" si="80"/>
        <v>4.8432693836253176</v>
      </c>
      <c r="J34" s="17">
        <f t="shared" si="80"/>
        <v>10.397963120496355</v>
      </c>
      <c r="K34" s="17"/>
      <c r="L34" s="17">
        <f t="shared" si="80"/>
        <v>7.6251168640774694</v>
      </c>
      <c r="M34" s="17">
        <f t="shared" si="80"/>
        <v>13.477046061864453</v>
      </c>
      <c r="N34" s="17">
        <f t="shared" si="80"/>
        <v>5.8796385044326174</v>
      </c>
      <c r="O34" s="17">
        <f t="shared" si="80"/>
        <v>9.0389798152815004</v>
      </c>
      <c r="Q34" t="str">
        <f>$A$16</f>
        <v>Elementary occupations</v>
      </c>
      <c r="R34" s="17">
        <f t="shared" ref="R34:U34" si="81">R16/R$18*100</f>
        <v>12.26346484699204</v>
      </c>
      <c r="S34" s="17">
        <f t="shared" si="81"/>
        <v>25.237782327984633</v>
      </c>
      <c r="T34" s="17">
        <f t="shared" si="81"/>
        <v>4.8568843204907113</v>
      </c>
      <c r="U34" s="17">
        <f t="shared" si="81"/>
        <v>13.067438355437105</v>
      </c>
      <c r="V34" s="17"/>
      <c r="W34" s="17">
        <f t="shared" ref="W34:Z34" si="82">W16/W$18*100</f>
        <v>10.043236342724695</v>
      </c>
      <c r="X34" s="17">
        <f t="shared" si="82"/>
        <v>19.912052619672256</v>
      </c>
      <c r="Y34" s="17">
        <f t="shared" si="82"/>
        <v>5.1882493931748126</v>
      </c>
      <c r="Z34" s="17">
        <f t="shared" si="82"/>
        <v>10.899673266471144</v>
      </c>
      <c r="AA34" s="17"/>
      <c r="AB34" s="17">
        <f t="shared" ref="AB34:AE34" si="83">AB16/AB$18*100</f>
        <v>9.1316269881529806</v>
      </c>
      <c r="AC34" s="17">
        <f t="shared" si="83"/>
        <v>15.303530739278504</v>
      </c>
      <c r="AD34" s="17">
        <f t="shared" si="83"/>
        <v>6.5692224178701064</v>
      </c>
      <c r="AE34" s="17">
        <f t="shared" si="83"/>
        <v>9.7576083279198134</v>
      </c>
      <c r="AG34" t="str">
        <f>$A$16</f>
        <v>Elementary occupations</v>
      </c>
      <c r="AH34" s="17">
        <f t="shared" ref="AH34:AK34" si="84">AH16/AH$18*100</f>
        <v>6.7846336972416434</v>
      </c>
      <c r="AI34" s="17">
        <f t="shared" si="84"/>
        <v>17.587766139403676</v>
      </c>
      <c r="AJ34" s="17">
        <f t="shared" si="84"/>
        <v>6.2130889975137613</v>
      </c>
      <c r="AK34" s="17">
        <f t="shared" si="84"/>
        <v>11.636376135479297</v>
      </c>
      <c r="AL34" s="17"/>
      <c r="AM34" s="17">
        <f t="shared" ref="AM34:AP34" si="85">AM16/AM$18*100</f>
        <v>5.4535274707483952</v>
      </c>
      <c r="AN34" s="17">
        <f t="shared" si="85"/>
        <v>15.934978173656459</v>
      </c>
      <c r="AO34" s="17">
        <f t="shared" si="85"/>
        <v>4.3405762662841294</v>
      </c>
      <c r="AP34" s="17">
        <f t="shared" si="85"/>
        <v>9.8431017916548633</v>
      </c>
      <c r="AQ34" s="17"/>
      <c r="AR34" s="17">
        <f t="shared" ref="AR34:AU34" si="86">AR16/AR$18*100</f>
        <v>5.305047251820632</v>
      </c>
      <c r="AS34" s="17">
        <f t="shared" si="86"/>
        <v>12.703756690482507</v>
      </c>
      <c r="AT34" s="17">
        <f t="shared" si="86"/>
        <v>4.8954518504009563</v>
      </c>
      <c r="AU34" s="17">
        <f t="shared" si="86"/>
        <v>8.2668484087016623</v>
      </c>
    </row>
    <row r="35" spans="1:47" x14ac:dyDescent="0.2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</row>
    <row r="36" spans="1:47" x14ac:dyDescent="0.2">
      <c r="A36" s="23" t="str">
        <f>$A$18</f>
        <v>All occupations</v>
      </c>
      <c r="B36" s="25">
        <f>B18/B$18*100</f>
        <v>100</v>
      </c>
      <c r="C36" s="25">
        <f t="shared" ref="C36:O36" si="87">C18/C$18*100</f>
        <v>100</v>
      </c>
      <c r="D36" s="25">
        <f t="shared" si="87"/>
        <v>100</v>
      </c>
      <c r="E36" s="25">
        <f t="shared" si="87"/>
        <v>100</v>
      </c>
      <c r="F36" s="25"/>
      <c r="G36" s="25">
        <f t="shared" si="87"/>
        <v>100</v>
      </c>
      <c r="H36" s="25">
        <f t="shared" si="87"/>
        <v>100</v>
      </c>
      <c r="I36" s="25">
        <f t="shared" si="87"/>
        <v>100</v>
      </c>
      <c r="J36" s="25">
        <f t="shared" si="87"/>
        <v>100</v>
      </c>
      <c r="K36" s="25"/>
      <c r="L36" s="25">
        <f t="shared" si="87"/>
        <v>100</v>
      </c>
      <c r="M36" s="25">
        <f t="shared" si="87"/>
        <v>100</v>
      </c>
      <c r="N36" s="25">
        <f t="shared" si="87"/>
        <v>100</v>
      </c>
      <c r="O36" s="25">
        <f t="shared" si="87"/>
        <v>100</v>
      </c>
      <c r="Q36" s="23" t="str">
        <f>$A$18</f>
        <v>All occupations</v>
      </c>
      <c r="R36" s="25">
        <f>R18/R$18*100</f>
        <v>100</v>
      </c>
      <c r="S36" s="25">
        <f t="shared" ref="S36:U36" si="88">S18/S$18*100</f>
        <v>100</v>
      </c>
      <c r="T36" s="25">
        <f t="shared" si="88"/>
        <v>100</v>
      </c>
      <c r="U36" s="25">
        <f t="shared" si="88"/>
        <v>100</v>
      </c>
      <c r="V36" s="25"/>
      <c r="W36" s="25">
        <f t="shared" ref="W36:Z36" si="89">W18/W$18*100</f>
        <v>100</v>
      </c>
      <c r="X36" s="25">
        <f t="shared" si="89"/>
        <v>100</v>
      </c>
      <c r="Y36" s="25">
        <f t="shared" si="89"/>
        <v>100</v>
      </c>
      <c r="Z36" s="25">
        <f t="shared" si="89"/>
        <v>100</v>
      </c>
      <c r="AA36" s="25"/>
      <c r="AB36" s="25">
        <f t="shared" ref="AB36:AE36" si="90">AB18/AB$18*100</f>
        <v>100</v>
      </c>
      <c r="AC36" s="25">
        <f t="shared" si="90"/>
        <v>100</v>
      </c>
      <c r="AD36" s="25">
        <f t="shared" si="90"/>
        <v>100</v>
      </c>
      <c r="AE36" s="25">
        <f t="shared" si="90"/>
        <v>100</v>
      </c>
      <c r="AG36" s="23" t="str">
        <f>$A$18</f>
        <v>All occupations</v>
      </c>
      <c r="AH36" s="25">
        <f>AH18/AH$18*100</f>
        <v>100</v>
      </c>
      <c r="AI36" s="25">
        <f t="shared" ref="AI36:AK36" si="91">AI18/AI$18*100</f>
        <v>100</v>
      </c>
      <c r="AJ36" s="25">
        <f t="shared" si="91"/>
        <v>100</v>
      </c>
      <c r="AK36" s="25">
        <f t="shared" si="91"/>
        <v>100</v>
      </c>
      <c r="AL36" s="25"/>
      <c r="AM36" s="25">
        <f t="shared" ref="AM36:AP36" si="92">AM18/AM$18*100</f>
        <v>100</v>
      </c>
      <c r="AN36" s="25">
        <f t="shared" si="92"/>
        <v>100</v>
      </c>
      <c r="AO36" s="25">
        <f t="shared" si="92"/>
        <v>100</v>
      </c>
      <c r="AP36" s="25">
        <f t="shared" si="92"/>
        <v>100</v>
      </c>
      <c r="AQ36" s="25"/>
      <c r="AR36" s="25">
        <f t="shared" ref="AR36:AU36" si="93">AR18/AR$18*100</f>
        <v>100</v>
      </c>
      <c r="AS36" s="25">
        <f t="shared" si="93"/>
        <v>100</v>
      </c>
      <c r="AT36" s="25">
        <f t="shared" si="93"/>
        <v>100</v>
      </c>
      <c r="AU36" s="25">
        <f t="shared" si="93"/>
        <v>100</v>
      </c>
    </row>
    <row r="37" spans="1:47" x14ac:dyDescent="0.2"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</row>
    <row r="38" spans="1:47" x14ac:dyDescent="0.2"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</row>
    <row r="39" spans="1:47" x14ac:dyDescent="0.2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</row>
    <row r="40" spans="1:47" x14ac:dyDescent="0.2">
      <c r="A40" s="3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Q40" s="3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G40" s="3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</row>
    <row r="41" spans="1:47" x14ac:dyDescent="0.2">
      <c r="B41" s="375" t="str">
        <f>B5&amp;"-"&amp;G5</f>
        <v>2015-2020</v>
      </c>
      <c r="C41" s="375"/>
      <c r="D41" s="375"/>
      <c r="E41" s="375"/>
      <c r="F41" s="1"/>
      <c r="G41" s="375" t="str">
        <f>G5&amp;"-"&amp;L5</f>
        <v>2020-2035</v>
      </c>
      <c r="H41" s="375"/>
      <c r="I41" s="375"/>
      <c r="J41" s="375"/>
      <c r="K41" s="1"/>
      <c r="L41" s="375" t="str">
        <f>B5&amp;"-"&amp;L5</f>
        <v>2015-2035</v>
      </c>
      <c r="M41" s="375"/>
      <c r="N41" s="375"/>
      <c r="O41" s="375"/>
      <c r="R41" s="375" t="str">
        <f>R5&amp;"-"&amp;W5</f>
        <v>2015-2020</v>
      </c>
      <c r="S41" s="375"/>
      <c r="T41" s="375"/>
      <c r="U41" s="375"/>
      <c r="V41" s="1"/>
      <c r="W41" s="375" t="str">
        <f>W5&amp;"-"&amp;AB5</f>
        <v>2020-2035</v>
      </c>
      <c r="X41" s="375"/>
      <c r="Y41" s="375"/>
      <c r="Z41" s="375"/>
      <c r="AA41" s="1"/>
      <c r="AB41" s="375" t="str">
        <f>R5&amp;"-"&amp;AB5</f>
        <v>2015-2035</v>
      </c>
      <c r="AC41" s="375"/>
      <c r="AD41" s="375"/>
      <c r="AE41" s="375"/>
      <c r="AH41" s="375" t="str">
        <f>AH5&amp;"-"&amp;AM5</f>
        <v>2015-2020</v>
      </c>
      <c r="AI41" s="375"/>
      <c r="AJ41" s="375"/>
      <c r="AK41" s="375"/>
      <c r="AL41" s="1"/>
      <c r="AM41" s="375" t="str">
        <f>AM5&amp;"-"&amp;AR5</f>
        <v>2020-2035</v>
      </c>
      <c r="AN41" s="375"/>
      <c r="AO41" s="375"/>
      <c r="AP41" s="375"/>
      <c r="AQ41" s="1"/>
      <c r="AR41" s="375" t="str">
        <f>AH5&amp;"-"&amp;AR5</f>
        <v>2015-2035</v>
      </c>
      <c r="AS41" s="375"/>
      <c r="AT41" s="375"/>
      <c r="AU41" s="375"/>
    </row>
    <row r="42" spans="1:47" x14ac:dyDescent="0.2">
      <c r="A42" s="40" t="s">
        <v>15</v>
      </c>
      <c r="B42" s="337" t="s">
        <v>339</v>
      </c>
      <c r="C42" s="337" t="s">
        <v>341</v>
      </c>
      <c r="D42" s="337" t="s">
        <v>337</v>
      </c>
      <c r="E42" s="337" t="s">
        <v>32</v>
      </c>
      <c r="F42" s="338"/>
      <c r="G42" s="337" t="s">
        <v>339</v>
      </c>
      <c r="H42" s="337" t="s">
        <v>341</v>
      </c>
      <c r="I42" s="337" t="s">
        <v>337</v>
      </c>
      <c r="J42" s="337" t="s">
        <v>32</v>
      </c>
      <c r="K42" s="338"/>
      <c r="L42" s="337" t="s">
        <v>339</v>
      </c>
      <c r="M42" s="337" t="s">
        <v>341</v>
      </c>
      <c r="N42" s="337" t="s">
        <v>337</v>
      </c>
      <c r="O42" s="337" t="s">
        <v>32</v>
      </c>
      <c r="Q42" s="40" t="s">
        <v>15</v>
      </c>
      <c r="R42" s="337" t="s">
        <v>339</v>
      </c>
      <c r="S42" s="337" t="s">
        <v>341</v>
      </c>
      <c r="T42" s="337" t="s">
        <v>337</v>
      </c>
      <c r="U42" s="337" t="s">
        <v>32</v>
      </c>
      <c r="V42" s="338"/>
      <c r="W42" s="337" t="s">
        <v>339</v>
      </c>
      <c r="X42" s="337" t="s">
        <v>341</v>
      </c>
      <c r="Y42" s="337" t="s">
        <v>337</v>
      </c>
      <c r="Z42" s="337" t="s">
        <v>32</v>
      </c>
      <c r="AA42" s="338"/>
      <c r="AB42" s="337" t="s">
        <v>339</v>
      </c>
      <c r="AC42" s="337" t="s">
        <v>341</v>
      </c>
      <c r="AD42" s="337" t="s">
        <v>337</v>
      </c>
      <c r="AE42" s="337" t="s">
        <v>32</v>
      </c>
      <c r="AG42" s="40" t="s">
        <v>15</v>
      </c>
      <c r="AH42" s="337" t="s">
        <v>339</v>
      </c>
      <c r="AI42" s="337" t="s">
        <v>341</v>
      </c>
      <c r="AJ42" s="337" t="s">
        <v>337</v>
      </c>
      <c r="AK42" s="337" t="s">
        <v>32</v>
      </c>
      <c r="AL42" s="338"/>
      <c r="AM42" s="337" t="s">
        <v>339</v>
      </c>
      <c r="AN42" s="337" t="s">
        <v>341</v>
      </c>
      <c r="AO42" s="337" t="s">
        <v>337</v>
      </c>
      <c r="AP42" s="337" t="s">
        <v>32</v>
      </c>
      <c r="AQ42" s="338"/>
      <c r="AR42" s="337" t="s">
        <v>339</v>
      </c>
      <c r="AS42" s="337" t="s">
        <v>341</v>
      </c>
      <c r="AT42" s="337" t="s">
        <v>337</v>
      </c>
      <c r="AU42" s="337" t="s">
        <v>32</v>
      </c>
    </row>
    <row r="43" spans="1:47" x14ac:dyDescent="0.2">
      <c r="A43" s="1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Q43" s="1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G43" s="1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</row>
    <row r="44" spans="1:47" x14ac:dyDescent="0.2">
      <c r="A44" t="str">
        <f>$A$8</f>
        <v>Managers, directors and senior officials</v>
      </c>
      <c r="B44" s="26">
        <f>G8-B8</f>
        <v>27.445991863307427</v>
      </c>
      <c r="C44" s="26">
        <f t="shared" ref="C44:E44" si="94">H8-C8</f>
        <v>12.582861998104079</v>
      </c>
      <c r="D44" s="26">
        <f t="shared" si="94"/>
        <v>8.6031375286567169</v>
      </c>
      <c r="E44" s="26">
        <f t="shared" si="94"/>
        <v>48.631991390068208</v>
      </c>
      <c r="F44" s="26"/>
      <c r="G44" s="26">
        <f>L8-G8</f>
        <v>16.288872461494435</v>
      </c>
      <c r="H44" s="26">
        <f t="shared" ref="H44:J44" si="95">M8-H8</f>
        <v>9.9711492438137768</v>
      </c>
      <c r="I44" s="26">
        <f t="shared" si="95"/>
        <v>8.4876307550169514</v>
      </c>
      <c r="J44" s="26">
        <f t="shared" si="95"/>
        <v>34.747652460325185</v>
      </c>
      <c r="K44" s="26"/>
      <c r="L44" s="26">
        <f>L8-B8</f>
        <v>43.734864324801862</v>
      </c>
      <c r="M44" s="26">
        <f t="shared" ref="M44:O44" si="96">M8-C8</f>
        <v>22.554011241917856</v>
      </c>
      <c r="N44" s="26">
        <f t="shared" si="96"/>
        <v>17.090768283673668</v>
      </c>
      <c r="O44" s="26">
        <f t="shared" si="96"/>
        <v>83.379643850393393</v>
      </c>
      <c r="Q44" t="str">
        <f>$A$8</f>
        <v>Managers, directors and senior officials</v>
      </c>
      <c r="R44" s="26">
        <f>W8-R8</f>
        <v>17.871813190162158</v>
      </c>
      <c r="S44" s="26">
        <f t="shared" ref="S44:S52" si="97">X8-S8</f>
        <v>5.6852125062621823</v>
      </c>
      <c r="T44" s="26">
        <f t="shared" ref="T44:T52" si="98">Y8-T8</f>
        <v>4.9073618453904828</v>
      </c>
      <c r="U44" s="26">
        <f t="shared" ref="U44:U52" si="99">Z8-U8</f>
        <v>28.46438754181483</v>
      </c>
      <c r="V44" s="26"/>
      <c r="W44" s="26">
        <f>AB8-W8</f>
        <v>3.1536316343801047</v>
      </c>
      <c r="X44" s="26">
        <f t="shared" ref="X44:X52" si="100">AC8-X8</f>
        <v>6.5070781879539528</v>
      </c>
      <c r="Y44" s="26">
        <f t="shared" ref="Y44:Y52" si="101">AD8-Y8</f>
        <v>6.6095826011401364</v>
      </c>
      <c r="Z44" s="26">
        <f t="shared" ref="Z44:Z52" si="102">AE8-Z8</f>
        <v>16.270292423474189</v>
      </c>
      <c r="AA44" s="26"/>
      <c r="AB44" s="26">
        <f>AB8-R8</f>
        <v>21.025444824542262</v>
      </c>
      <c r="AC44" s="26">
        <f t="shared" ref="AC44:AC52" si="103">AC8-S8</f>
        <v>12.192290694216135</v>
      </c>
      <c r="AD44" s="26">
        <f t="shared" ref="AD44:AD52" si="104">AD8-T8</f>
        <v>11.516944446530619</v>
      </c>
      <c r="AE44" s="26">
        <f t="shared" ref="AE44:AE52" si="105">AE8-U8</f>
        <v>44.734679965289018</v>
      </c>
      <c r="AG44" t="str">
        <f>$A$8</f>
        <v>Managers, directors and senior officials</v>
      </c>
      <c r="AH44" s="26">
        <f>AM8-AH8</f>
        <v>9.5741786731451697</v>
      </c>
      <c r="AI44" s="26">
        <f t="shared" ref="AI44:AI52" si="106">AN8-AI8</f>
        <v>6.8976494918419267</v>
      </c>
      <c r="AJ44" s="26">
        <f t="shared" ref="AJ44:AJ52" si="107">AO8-AJ8</f>
        <v>3.6957756832662483</v>
      </c>
      <c r="AK44" s="26">
        <f t="shared" ref="AK44:AK52" si="108">AP8-AK8</f>
        <v>20.16760384825335</v>
      </c>
      <c r="AL44" s="26"/>
      <c r="AM44" s="26">
        <f>AR8-AM8</f>
        <v>13.135240827114238</v>
      </c>
      <c r="AN44" s="26">
        <f t="shared" ref="AN44:AN52" si="109">AS8-AN8</f>
        <v>3.4640710558598151</v>
      </c>
      <c r="AO44" s="26">
        <f t="shared" ref="AO44:AO52" si="110">AT8-AO8</f>
        <v>1.8780481538768399</v>
      </c>
      <c r="AP44" s="26">
        <f t="shared" ref="AP44:AP52" si="111">AU8-AP8</f>
        <v>18.477360036850882</v>
      </c>
      <c r="AQ44" s="26"/>
      <c r="AR44" s="26">
        <f>AR8-AH8</f>
        <v>22.709419500259408</v>
      </c>
      <c r="AS44" s="26">
        <f t="shared" ref="AS44:AS52" si="112">AS8-AI8</f>
        <v>10.361720547701742</v>
      </c>
      <c r="AT44" s="26">
        <f t="shared" ref="AT44:AT52" si="113">AT8-AJ8</f>
        <v>5.5738238371430882</v>
      </c>
      <c r="AU44" s="26">
        <f t="shared" ref="AU44:AU52" si="114">AU8-AK8</f>
        <v>38.644963885104232</v>
      </c>
    </row>
    <row r="45" spans="1:47" x14ac:dyDescent="0.2">
      <c r="A45" t="str">
        <f>$A$9</f>
        <v>Professional occupations</v>
      </c>
      <c r="B45" s="26">
        <f t="shared" ref="B45:B54" si="115">G9-B9</f>
        <v>70.743621098944232</v>
      </c>
      <c r="C45" s="26">
        <f t="shared" ref="C45:C54" si="116">H9-C9</f>
        <v>20.915565814328062</v>
      </c>
      <c r="D45" s="26">
        <f t="shared" ref="D45:D54" si="117">I9-D9</f>
        <v>2.315458392934957</v>
      </c>
      <c r="E45" s="26">
        <f t="shared" ref="E45:E54" si="118">J9-E9</f>
        <v>93.974645306207208</v>
      </c>
      <c r="F45" s="26"/>
      <c r="G45" s="26">
        <f t="shared" ref="G45:G54" si="119">L9-G9</f>
        <v>67.147199709698555</v>
      </c>
      <c r="H45" s="26">
        <f t="shared" ref="H45:H54" si="120">M9-H9</f>
        <v>19.552141778297951</v>
      </c>
      <c r="I45" s="26">
        <f t="shared" ref="I45:I54" si="121">N9-I9</f>
        <v>-0.31323563771797325</v>
      </c>
      <c r="J45" s="26">
        <f t="shared" ref="J45:J54" si="122">O9-J9</f>
        <v>86.386105850278568</v>
      </c>
      <c r="K45" s="26"/>
      <c r="L45" s="26">
        <f t="shared" ref="L45:L54" si="123">L9-B9</f>
        <v>137.89082080864279</v>
      </c>
      <c r="M45" s="26">
        <f t="shared" ref="M45:M54" si="124">M9-C9</f>
        <v>40.467707592626013</v>
      </c>
      <c r="N45" s="26">
        <f t="shared" ref="N45:N54" si="125">N9-D9</f>
        <v>2.0022227552169838</v>
      </c>
      <c r="O45" s="26">
        <f t="shared" ref="O45:O54" si="126">O9-E9</f>
        <v>180.36075115648578</v>
      </c>
      <c r="Q45" t="str">
        <f>$A$9</f>
        <v>Professional occupations</v>
      </c>
      <c r="R45" s="26">
        <f t="shared" ref="R45:R52" si="127">W9-R9</f>
        <v>39.401015682719247</v>
      </c>
      <c r="S45" s="26">
        <f t="shared" si="97"/>
        <v>8.5632030782380451</v>
      </c>
      <c r="T45" s="26">
        <f t="shared" si="98"/>
        <v>-6.7793398054388376</v>
      </c>
      <c r="U45" s="26">
        <f t="shared" si="99"/>
        <v>41.184878955518457</v>
      </c>
      <c r="V45" s="26"/>
      <c r="W45" s="26">
        <f t="shared" ref="W45:W52" si="128">AB9-W9</f>
        <v>34.858409301924667</v>
      </c>
      <c r="X45" s="26">
        <f t="shared" si="100"/>
        <v>6.2225230879294209</v>
      </c>
      <c r="Y45" s="26">
        <f t="shared" si="101"/>
        <v>-3.1500657774630731</v>
      </c>
      <c r="Z45" s="26">
        <f t="shared" si="102"/>
        <v>37.930866612391014</v>
      </c>
      <c r="AA45" s="26"/>
      <c r="AB45" s="26">
        <f t="shared" ref="AB45:AB52" si="129">AB9-R9</f>
        <v>74.259424984643914</v>
      </c>
      <c r="AC45" s="26">
        <f t="shared" si="103"/>
        <v>14.785726166167466</v>
      </c>
      <c r="AD45" s="26">
        <f t="shared" si="104"/>
        <v>-9.9294055829019108</v>
      </c>
      <c r="AE45" s="26">
        <f t="shared" si="105"/>
        <v>79.115745567909471</v>
      </c>
      <c r="AG45" t="str">
        <f>$A$9</f>
        <v>Professional occupations</v>
      </c>
      <c r="AH45" s="26">
        <f t="shared" ref="AH45:AH52" si="130">AM9-AH9</f>
        <v>31.342605416224927</v>
      </c>
      <c r="AI45" s="26">
        <f t="shared" si="106"/>
        <v>12.352362736090043</v>
      </c>
      <c r="AJ45" s="26">
        <f t="shared" si="107"/>
        <v>9.094798198373752</v>
      </c>
      <c r="AK45" s="26">
        <f t="shared" si="108"/>
        <v>52.789766350688694</v>
      </c>
      <c r="AL45" s="26"/>
      <c r="AM45" s="26">
        <f t="shared" ref="AM45:AM52" si="131">AR9-AM9</f>
        <v>32.288790407773632</v>
      </c>
      <c r="AN45" s="26">
        <f t="shared" si="109"/>
        <v>13.329618690368491</v>
      </c>
      <c r="AO45" s="26">
        <f t="shared" si="110"/>
        <v>2.836830139745107</v>
      </c>
      <c r="AP45" s="26">
        <f t="shared" si="111"/>
        <v>48.45523923788727</v>
      </c>
      <c r="AQ45" s="26"/>
      <c r="AR45" s="26">
        <f t="shared" ref="AR45:AR52" si="132">AR9-AH9</f>
        <v>63.63139582399856</v>
      </c>
      <c r="AS45" s="26">
        <f t="shared" si="112"/>
        <v>25.681981426458535</v>
      </c>
      <c r="AT45" s="26">
        <f t="shared" si="113"/>
        <v>11.931628338118859</v>
      </c>
      <c r="AU45" s="26">
        <f t="shared" si="114"/>
        <v>101.24500558857596</v>
      </c>
    </row>
    <row r="46" spans="1:47" x14ac:dyDescent="0.2">
      <c r="A46" t="str">
        <f>$A$10</f>
        <v>Associate professional occupations</v>
      </c>
      <c r="B46" s="26">
        <f t="shared" si="115"/>
        <v>30.581128679367367</v>
      </c>
      <c r="C46" s="26">
        <f t="shared" si="116"/>
        <v>9.9206990203022727</v>
      </c>
      <c r="D46" s="26">
        <f t="shared" si="117"/>
        <v>-1.6271883368529245</v>
      </c>
      <c r="E46" s="26">
        <f t="shared" si="118"/>
        <v>38.874639362816708</v>
      </c>
      <c r="F46" s="26"/>
      <c r="G46" s="26">
        <f t="shared" si="119"/>
        <v>7.7681706603553664</v>
      </c>
      <c r="H46" s="26">
        <f t="shared" si="120"/>
        <v>2.7424267114465479</v>
      </c>
      <c r="I46" s="26">
        <f t="shared" si="121"/>
        <v>-5.6151595826300138E-2</v>
      </c>
      <c r="J46" s="26">
        <f t="shared" si="122"/>
        <v>10.454445775975614</v>
      </c>
      <c r="K46" s="26"/>
      <c r="L46" s="26">
        <f t="shared" si="123"/>
        <v>38.349299339722734</v>
      </c>
      <c r="M46" s="26">
        <f t="shared" si="124"/>
        <v>12.663125731748821</v>
      </c>
      <c r="N46" s="26">
        <f t="shared" si="125"/>
        <v>-1.6833399326792247</v>
      </c>
      <c r="O46" s="26">
        <f t="shared" si="126"/>
        <v>49.329085138792323</v>
      </c>
      <c r="Q46" t="str">
        <f>$A$10</f>
        <v>Associate professional occupations</v>
      </c>
      <c r="R46" s="26">
        <f t="shared" si="127"/>
        <v>16.079196625909049</v>
      </c>
      <c r="S46" s="26">
        <f t="shared" si="97"/>
        <v>4.8638795145943874</v>
      </c>
      <c r="T46" s="26">
        <f t="shared" si="98"/>
        <v>-4.5089688808735477</v>
      </c>
      <c r="U46" s="26">
        <f t="shared" si="99"/>
        <v>16.434107259629883</v>
      </c>
      <c r="V46" s="26"/>
      <c r="W46" s="26">
        <f t="shared" si="128"/>
        <v>-4.4745626016842124</v>
      </c>
      <c r="X46" s="26">
        <f t="shared" si="100"/>
        <v>-2.1601952019396666</v>
      </c>
      <c r="Y46" s="26">
        <f t="shared" si="101"/>
        <v>-1.3893661264698363</v>
      </c>
      <c r="Z46" s="26">
        <f t="shared" si="102"/>
        <v>-8.0241239300937366</v>
      </c>
      <c r="AA46" s="26"/>
      <c r="AB46" s="26">
        <f t="shared" si="129"/>
        <v>11.604634024224836</v>
      </c>
      <c r="AC46" s="26">
        <f t="shared" si="103"/>
        <v>2.7036843126547208</v>
      </c>
      <c r="AD46" s="26">
        <f t="shared" si="104"/>
        <v>-5.898335007343384</v>
      </c>
      <c r="AE46" s="26">
        <f t="shared" si="105"/>
        <v>8.4099833295361464</v>
      </c>
      <c r="AG46" t="str">
        <f>$A$10</f>
        <v>Associate professional occupations</v>
      </c>
      <c r="AH46" s="26">
        <f t="shared" si="130"/>
        <v>14.501932053458276</v>
      </c>
      <c r="AI46" s="26">
        <f t="shared" si="106"/>
        <v>5.0568195057078924</v>
      </c>
      <c r="AJ46" s="26">
        <f t="shared" si="107"/>
        <v>2.881780544020625</v>
      </c>
      <c r="AK46" s="26">
        <f t="shared" si="108"/>
        <v>22.440532103186797</v>
      </c>
      <c r="AL46" s="26"/>
      <c r="AM46" s="26">
        <f t="shared" si="131"/>
        <v>12.242733262039479</v>
      </c>
      <c r="AN46" s="26">
        <f t="shared" si="109"/>
        <v>4.902621913386227</v>
      </c>
      <c r="AO46" s="26">
        <f t="shared" si="110"/>
        <v>1.3332145306435415</v>
      </c>
      <c r="AP46" s="26">
        <f t="shared" si="111"/>
        <v>18.478569706069237</v>
      </c>
      <c r="AQ46" s="26"/>
      <c r="AR46" s="26">
        <f t="shared" si="132"/>
        <v>26.744665315497755</v>
      </c>
      <c r="AS46" s="26">
        <f t="shared" si="112"/>
        <v>9.9594414190941194</v>
      </c>
      <c r="AT46" s="26">
        <f t="shared" si="113"/>
        <v>4.2149950746641665</v>
      </c>
      <c r="AU46" s="26">
        <f t="shared" si="114"/>
        <v>40.919101809256034</v>
      </c>
    </row>
    <row r="47" spans="1:47" x14ac:dyDescent="0.2">
      <c r="A47" t="str">
        <f>$A$11</f>
        <v>Administrative and secretarial occupations</v>
      </c>
      <c r="B47" s="26">
        <f t="shared" si="115"/>
        <v>7.7168480893432445</v>
      </c>
      <c r="C47" s="26">
        <f t="shared" si="116"/>
        <v>0.18076518021237575</v>
      </c>
      <c r="D47" s="26">
        <f t="shared" si="117"/>
        <v>1.3521983504765842</v>
      </c>
      <c r="E47" s="26">
        <f t="shared" si="118"/>
        <v>9.2498116200322045</v>
      </c>
      <c r="F47" s="26"/>
      <c r="G47" s="26">
        <f t="shared" si="119"/>
        <v>-19.447012424081379</v>
      </c>
      <c r="H47" s="26">
        <f t="shared" si="120"/>
        <v>-15.139688693248573</v>
      </c>
      <c r="I47" s="26">
        <f t="shared" si="121"/>
        <v>-0.61262251381831057</v>
      </c>
      <c r="J47" s="26">
        <f t="shared" si="122"/>
        <v>-35.199323631148275</v>
      </c>
      <c r="K47" s="26"/>
      <c r="L47" s="26">
        <f t="shared" si="123"/>
        <v>-11.730164334738134</v>
      </c>
      <c r="M47" s="26">
        <f t="shared" si="124"/>
        <v>-14.958923513036197</v>
      </c>
      <c r="N47" s="26">
        <f t="shared" si="125"/>
        <v>0.73957583665827364</v>
      </c>
      <c r="O47" s="26">
        <f t="shared" si="126"/>
        <v>-25.94951201111607</v>
      </c>
      <c r="Q47" t="str">
        <f>$A$11</f>
        <v>Administrative and secretarial occupations</v>
      </c>
      <c r="R47" s="26">
        <f t="shared" si="127"/>
        <v>6.034262462105346</v>
      </c>
      <c r="S47" s="26">
        <f t="shared" si="97"/>
        <v>1.5368165164271232</v>
      </c>
      <c r="T47" s="26">
        <f t="shared" si="98"/>
        <v>-0.48152012921476572</v>
      </c>
      <c r="U47" s="26">
        <f t="shared" si="99"/>
        <v>7.0895588493177044</v>
      </c>
      <c r="V47" s="26"/>
      <c r="W47" s="26">
        <f t="shared" si="128"/>
        <v>1.5130010337775701</v>
      </c>
      <c r="X47" s="26">
        <f t="shared" si="100"/>
        <v>-0.90295028524156962</v>
      </c>
      <c r="Y47" s="26">
        <f t="shared" si="101"/>
        <v>0.46540148831958694</v>
      </c>
      <c r="Z47" s="26">
        <f t="shared" si="102"/>
        <v>1.0754522368555826</v>
      </c>
      <c r="AA47" s="26"/>
      <c r="AB47" s="26">
        <f t="shared" si="129"/>
        <v>7.5472634958829161</v>
      </c>
      <c r="AC47" s="26">
        <f t="shared" si="103"/>
        <v>0.63386623118555363</v>
      </c>
      <c r="AD47" s="26">
        <f t="shared" si="104"/>
        <v>-1.6118640895178782E-2</v>
      </c>
      <c r="AE47" s="26">
        <f t="shared" si="105"/>
        <v>8.165011086173287</v>
      </c>
      <c r="AG47" t="str">
        <f>$A$11</f>
        <v>Administrative and secretarial occupations</v>
      </c>
      <c r="AH47" s="26">
        <f t="shared" si="130"/>
        <v>1.6825856272376569</v>
      </c>
      <c r="AI47" s="26">
        <f t="shared" si="106"/>
        <v>-1.3560513362147901</v>
      </c>
      <c r="AJ47" s="26">
        <f t="shared" si="107"/>
        <v>1.8337184796913544</v>
      </c>
      <c r="AK47" s="26">
        <f t="shared" si="108"/>
        <v>2.1602527707142087</v>
      </c>
      <c r="AL47" s="26"/>
      <c r="AM47" s="26">
        <f t="shared" si="131"/>
        <v>-20.960013457858864</v>
      </c>
      <c r="AN47" s="26">
        <f t="shared" si="109"/>
        <v>-14.236738408006943</v>
      </c>
      <c r="AO47" s="26">
        <f t="shared" si="110"/>
        <v>-1.0780240021378891</v>
      </c>
      <c r="AP47" s="26">
        <f t="shared" si="111"/>
        <v>-36.274775868003701</v>
      </c>
      <c r="AQ47" s="26"/>
      <c r="AR47" s="26">
        <f t="shared" si="132"/>
        <v>-19.277427830621207</v>
      </c>
      <c r="AS47" s="26">
        <f t="shared" si="112"/>
        <v>-15.592789744221733</v>
      </c>
      <c r="AT47" s="26">
        <f t="shared" si="113"/>
        <v>0.7556944775534653</v>
      </c>
      <c r="AU47" s="26">
        <f t="shared" si="114"/>
        <v>-34.114523097289492</v>
      </c>
    </row>
    <row r="48" spans="1:47" x14ac:dyDescent="0.2">
      <c r="A48" t="str">
        <f>$A$12</f>
        <v>Skilled trades occupations</v>
      </c>
      <c r="B48" s="26">
        <f t="shared" si="115"/>
        <v>-16.696625912092912</v>
      </c>
      <c r="C48" s="26">
        <f t="shared" si="116"/>
        <v>-4.7195028184129733</v>
      </c>
      <c r="D48" s="26">
        <f t="shared" si="117"/>
        <v>-2.7888756761749249</v>
      </c>
      <c r="E48" s="26">
        <f t="shared" si="118"/>
        <v>-24.205004406680814</v>
      </c>
      <c r="F48" s="26"/>
      <c r="G48" s="26">
        <f t="shared" si="119"/>
        <v>-20.942448283257136</v>
      </c>
      <c r="H48" s="26">
        <f t="shared" si="120"/>
        <v>1.1648437199858996</v>
      </c>
      <c r="I48" s="26">
        <f t="shared" si="121"/>
        <v>0.69721471539716617</v>
      </c>
      <c r="J48" s="26">
        <f t="shared" si="122"/>
        <v>-19.080389847874073</v>
      </c>
      <c r="K48" s="26"/>
      <c r="L48" s="26">
        <f t="shared" si="123"/>
        <v>-37.639074195350048</v>
      </c>
      <c r="M48" s="26">
        <f t="shared" si="124"/>
        <v>-3.5546590984270736</v>
      </c>
      <c r="N48" s="26">
        <f t="shared" si="125"/>
        <v>-2.0916609607777588</v>
      </c>
      <c r="O48" s="26">
        <f t="shared" si="126"/>
        <v>-43.285394254554888</v>
      </c>
      <c r="Q48" t="str">
        <f>$A$12</f>
        <v>Skilled trades occupations</v>
      </c>
      <c r="R48" s="26">
        <f t="shared" si="127"/>
        <v>-17.770856700881851</v>
      </c>
      <c r="S48" s="26">
        <f t="shared" si="97"/>
        <v>-4.1903278855772363</v>
      </c>
      <c r="T48" s="26">
        <f t="shared" si="98"/>
        <v>-4.2799364840683722</v>
      </c>
      <c r="U48" s="26">
        <f t="shared" si="99"/>
        <v>-26.24112107052747</v>
      </c>
      <c r="V48" s="26"/>
      <c r="W48" s="26">
        <f t="shared" si="128"/>
        <v>-22.473105491388665</v>
      </c>
      <c r="X48" s="26">
        <f t="shared" si="100"/>
        <v>1.231991523271093</v>
      </c>
      <c r="Y48" s="26">
        <f t="shared" si="101"/>
        <v>-0.82869385180168109</v>
      </c>
      <c r="Z48" s="26">
        <f t="shared" si="102"/>
        <v>-22.069807819919248</v>
      </c>
      <c r="AA48" s="26"/>
      <c r="AB48" s="26">
        <f t="shared" si="129"/>
        <v>-40.243962192270516</v>
      </c>
      <c r="AC48" s="26">
        <f t="shared" si="103"/>
        <v>-2.9583363623061434</v>
      </c>
      <c r="AD48" s="26">
        <f t="shared" si="104"/>
        <v>-5.1086303358700533</v>
      </c>
      <c r="AE48" s="26">
        <f t="shared" si="105"/>
        <v>-48.310928890446718</v>
      </c>
      <c r="AG48" t="str">
        <f>$A$12</f>
        <v>Skilled trades occupations</v>
      </c>
      <c r="AH48" s="26">
        <f t="shared" si="130"/>
        <v>1.0742307887887836</v>
      </c>
      <c r="AI48" s="26">
        <f t="shared" si="106"/>
        <v>-0.52917493283572625</v>
      </c>
      <c r="AJ48" s="26">
        <f t="shared" si="107"/>
        <v>1.4910608078934446</v>
      </c>
      <c r="AK48" s="26">
        <f t="shared" si="108"/>
        <v>2.0361166638465029</v>
      </c>
      <c r="AL48" s="26"/>
      <c r="AM48" s="26">
        <f t="shared" si="131"/>
        <v>1.5306572081315171</v>
      </c>
      <c r="AN48" s="26">
        <f t="shared" si="109"/>
        <v>-6.7147803285188878E-2</v>
      </c>
      <c r="AO48" s="26">
        <f t="shared" si="110"/>
        <v>1.5259085671988508</v>
      </c>
      <c r="AP48" s="26">
        <f t="shared" si="111"/>
        <v>2.9894179720451781</v>
      </c>
      <c r="AQ48" s="26"/>
      <c r="AR48" s="26">
        <f t="shared" si="132"/>
        <v>2.6048879969203007</v>
      </c>
      <c r="AS48" s="26">
        <f t="shared" si="112"/>
        <v>-0.59632273612091513</v>
      </c>
      <c r="AT48" s="26">
        <f t="shared" si="113"/>
        <v>3.0169693750922955</v>
      </c>
      <c r="AU48" s="26">
        <f t="shared" si="114"/>
        <v>5.025534635891681</v>
      </c>
    </row>
    <row r="49" spans="1:47" x14ac:dyDescent="0.2">
      <c r="A49" t="str">
        <f>$A$13</f>
        <v>Caring, leisure and other service occupations</v>
      </c>
      <c r="B49" s="26">
        <f t="shared" si="115"/>
        <v>1.0763034815637695</v>
      </c>
      <c r="C49" s="26">
        <f t="shared" si="116"/>
        <v>-2.4412051320905164</v>
      </c>
      <c r="D49" s="26">
        <f t="shared" si="117"/>
        <v>9.1644827778919122</v>
      </c>
      <c r="E49" s="26">
        <f t="shared" si="118"/>
        <v>7.7995811273651725</v>
      </c>
      <c r="F49" s="26"/>
      <c r="G49" s="26">
        <f t="shared" si="119"/>
        <v>23.869977059096669</v>
      </c>
      <c r="H49" s="26">
        <f t="shared" si="120"/>
        <v>7.6946950126420859</v>
      </c>
      <c r="I49" s="26">
        <f t="shared" si="121"/>
        <v>3.7419597895791341</v>
      </c>
      <c r="J49" s="26">
        <f t="shared" si="122"/>
        <v>35.306631861317896</v>
      </c>
      <c r="K49" s="26"/>
      <c r="L49" s="26">
        <f t="shared" si="123"/>
        <v>24.946280540660439</v>
      </c>
      <c r="M49" s="26">
        <f t="shared" si="124"/>
        <v>5.2534898805515695</v>
      </c>
      <c r="N49" s="26">
        <f t="shared" si="125"/>
        <v>12.906442567471046</v>
      </c>
      <c r="O49" s="26">
        <f t="shared" si="126"/>
        <v>43.106212988683069</v>
      </c>
      <c r="Q49" t="str">
        <f>$A$13</f>
        <v>Caring, leisure and other service occupations</v>
      </c>
      <c r="R49" s="26">
        <f t="shared" si="127"/>
        <v>0.89735497101301931</v>
      </c>
      <c r="S49" s="26">
        <f t="shared" si="97"/>
        <v>1.7196657795533365</v>
      </c>
      <c r="T49" s="26">
        <f t="shared" si="98"/>
        <v>0.35704563082808471</v>
      </c>
      <c r="U49" s="26">
        <f t="shared" si="99"/>
        <v>2.9740663813944508</v>
      </c>
      <c r="V49" s="26"/>
      <c r="W49" s="26">
        <f t="shared" si="128"/>
        <v>8.6462437327172772</v>
      </c>
      <c r="X49" s="26">
        <f t="shared" si="100"/>
        <v>3.7601104089660105</v>
      </c>
      <c r="Y49" s="26">
        <f t="shared" si="101"/>
        <v>1.8900599711895869</v>
      </c>
      <c r="Z49" s="26">
        <f t="shared" si="102"/>
        <v>14.296414112872867</v>
      </c>
      <c r="AA49" s="26"/>
      <c r="AB49" s="26">
        <f t="shared" si="129"/>
        <v>9.5435987037302965</v>
      </c>
      <c r="AC49" s="26">
        <f t="shared" si="103"/>
        <v>5.479776188519347</v>
      </c>
      <c r="AD49" s="26">
        <f t="shared" si="104"/>
        <v>2.2471056020176716</v>
      </c>
      <c r="AE49" s="26">
        <f t="shared" si="105"/>
        <v>17.270480494267318</v>
      </c>
      <c r="AG49" t="str">
        <f>$A$13</f>
        <v>Caring, leisure and other service occupations</v>
      </c>
      <c r="AH49" s="26">
        <f t="shared" si="130"/>
        <v>0.17894851055069694</v>
      </c>
      <c r="AI49" s="26">
        <f t="shared" si="106"/>
        <v>-4.1608709116438121</v>
      </c>
      <c r="AJ49" s="26">
        <f t="shared" si="107"/>
        <v>8.8074371470638262</v>
      </c>
      <c r="AK49" s="26">
        <f t="shared" si="108"/>
        <v>4.8255147459707075</v>
      </c>
      <c r="AL49" s="26"/>
      <c r="AM49" s="26">
        <f t="shared" si="131"/>
        <v>15.223733326379431</v>
      </c>
      <c r="AN49" s="26">
        <f t="shared" si="109"/>
        <v>3.9345846036761003</v>
      </c>
      <c r="AO49" s="26">
        <f t="shared" si="110"/>
        <v>1.8518998183895441</v>
      </c>
      <c r="AP49" s="26">
        <f t="shared" si="111"/>
        <v>21.010217748445058</v>
      </c>
      <c r="AQ49" s="26"/>
      <c r="AR49" s="26">
        <f t="shared" si="132"/>
        <v>15.402681836930128</v>
      </c>
      <c r="AS49" s="26">
        <f t="shared" si="112"/>
        <v>-0.22628630796771176</v>
      </c>
      <c r="AT49" s="26">
        <f t="shared" si="113"/>
        <v>10.65933696545337</v>
      </c>
      <c r="AU49" s="26">
        <f t="shared" si="114"/>
        <v>25.835732494415765</v>
      </c>
    </row>
    <row r="50" spans="1:47" x14ac:dyDescent="0.2">
      <c r="A50" t="str">
        <f>$A$14</f>
        <v>Sales and customer service occupations</v>
      </c>
      <c r="B50" s="26">
        <f t="shared" si="115"/>
        <v>-6.3984285283002151</v>
      </c>
      <c r="C50" s="26">
        <f t="shared" si="116"/>
        <v>-2.0186893100704424</v>
      </c>
      <c r="D50" s="26">
        <f t="shared" si="117"/>
        <v>-2.9791063226348005</v>
      </c>
      <c r="E50" s="26">
        <f t="shared" si="118"/>
        <v>-11.396224161005449</v>
      </c>
      <c r="F50" s="26"/>
      <c r="G50" s="26">
        <f t="shared" si="119"/>
        <v>-1.7239398625236646</v>
      </c>
      <c r="H50" s="26">
        <f t="shared" si="120"/>
        <v>2.3224574215884672</v>
      </c>
      <c r="I50" s="26">
        <f t="shared" si="121"/>
        <v>-1.7495823612378505</v>
      </c>
      <c r="J50" s="26">
        <f t="shared" si="122"/>
        <v>-1.151064802173039</v>
      </c>
      <c r="K50" s="26"/>
      <c r="L50" s="26">
        <f t="shared" si="123"/>
        <v>-8.1223683908238797</v>
      </c>
      <c r="M50" s="26">
        <f t="shared" si="124"/>
        <v>0.30376811151802485</v>
      </c>
      <c r="N50" s="26">
        <f t="shared" si="125"/>
        <v>-4.728688683872651</v>
      </c>
      <c r="O50" s="26">
        <f t="shared" si="126"/>
        <v>-12.547288963178488</v>
      </c>
      <c r="Q50" t="str">
        <f>$A$14</f>
        <v>Sales and customer service occupations</v>
      </c>
      <c r="R50" s="26">
        <f t="shared" si="127"/>
        <v>-1.2493840714131004</v>
      </c>
      <c r="S50" s="26">
        <f t="shared" si="97"/>
        <v>0.54744702667363754</v>
      </c>
      <c r="T50" s="26">
        <f t="shared" si="98"/>
        <v>-0.36018306771228215</v>
      </c>
      <c r="U50" s="26">
        <f t="shared" si="99"/>
        <v>-1.0621201124517512</v>
      </c>
      <c r="V50" s="26"/>
      <c r="W50" s="26">
        <f t="shared" si="128"/>
        <v>0.26358241990563869</v>
      </c>
      <c r="X50" s="26">
        <f t="shared" si="100"/>
        <v>2.2504460888302518</v>
      </c>
      <c r="Y50" s="26">
        <f t="shared" si="101"/>
        <v>-0.96817840387894805</v>
      </c>
      <c r="Z50" s="26">
        <f t="shared" si="102"/>
        <v>1.5458501048569389</v>
      </c>
      <c r="AA50" s="26"/>
      <c r="AB50" s="26">
        <f t="shared" si="129"/>
        <v>-0.98580165150746168</v>
      </c>
      <c r="AC50" s="26">
        <f t="shared" si="103"/>
        <v>2.7978931155038893</v>
      </c>
      <c r="AD50" s="26">
        <f t="shared" si="104"/>
        <v>-1.3283614715912302</v>
      </c>
      <c r="AE50" s="26">
        <f t="shared" si="105"/>
        <v>0.48372999240518766</v>
      </c>
      <c r="AG50" t="str">
        <f>$A$14</f>
        <v>Sales and customer service occupations</v>
      </c>
      <c r="AH50" s="26">
        <f t="shared" si="130"/>
        <v>-5.1490444568870686</v>
      </c>
      <c r="AI50" s="26">
        <f t="shared" si="106"/>
        <v>-2.5661363367440799</v>
      </c>
      <c r="AJ50" s="26">
        <f t="shared" si="107"/>
        <v>-2.6189232549224855</v>
      </c>
      <c r="AK50" s="26">
        <f t="shared" si="108"/>
        <v>-10.334104048553641</v>
      </c>
      <c r="AL50" s="26"/>
      <c r="AM50" s="26">
        <f t="shared" si="131"/>
        <v>-1.9875222824293175</v>
      </c>
      <c r="AN50" s="26">
        <f t="shared" si="109"/>
        <v>7.2011332758251001E-2</v>
      </c>
      <c r="AO50" s="26">
        <f t="shared" si="110"/>
        <v>-0.78140395735890467</v>
      </c>
      <c r="AP50" s="26">
        <f t="shared" si="111"/>
        <v>-2.6969149070299636</v>
      </c>
      <c r="AQ50" s="26"/>
      <c r="AR50" s="26">
        <f t="shared" si="132"/>
        <v>-7.1365667393163861</v>
      </c>
      <c r="AS50" s="26">
        <f t="shared" si="112"/>
        <v>-2.4941250039858289</v>
      </c>
      <c r="AT50" s="26">
        <f t="shared" si="113"/>
        <v>-3.4003272122813901</v>
      </c>
      <c r="AU50" s="26">
        <f t="shared" si="114"/>
        <v>-13.031018955583605</v>
      </c>
    </row>
    <row r="51" spans="1:47" x14ac:dyDescent="0.2">
      <c r="A51" t="str">
        <f>$A$15</f>
        <v>Process, plant and machine operatives</v>
      </c>
      <c r="B51" s="26">
        <f t="shared" si="115"/>
        <v>-13.663409884271772</v>
      </c>
      <c r="C51" s="26">
        <f t="shared" si="116"/>
        <v>5.2181476844203516</v>
      </c>
      <c r="D51" s="26">
        <f t="shared" si="117"/>
        <v>7.3055240174248262</v>
      </c>
      <c r="E51" s="26">
        <f t="shared" si="118"/>
        <v>-1.139738182426612</v>
      </c>
      <c r="F51" s="26"/>
      <c r="G51" s="26">
        <f t="shared" si="119"/>
        <v>7.2986651870785408</v>
      </c>
      <c r="H51" s="26">
        <f t="shared" si="120"/>
        <v>7.7910219392928788</v>
      </c>
      <c r="I51" s="26">
        <f t="shared" si="121"/>
        <v>2.9529118932269292</v>
      </c>
      <c r="J51" s="26">
        <f t="shared" si="122"/>
        <v>18.042599019598356</v>
      </c>
      <c r="K51" s="26"/>
      <c r="L51" s="26">
        <f t="shared" si="123"/>
        <v>-6.3647446971932311</v>
      </c>
      <c r="M51" s="26">
        <f t="shared" si="124"/>
        <v>13.00916962371323</v>
      </c>
      <c r="N51" s="26">
        <f t="shared" si="125"/>
        <v>10.258435910651755</v>
      </c>
      <c r="O51" s="26">
        <f t="shared" si="126"/>
        <v>16.902860837171744</v>
      </c>
      <c r="Q51" t="str">
        <f>$A$15</f>
        <v>Process, plant and machine operatives</v>
      </c>
      <c r="R51" s="26">
        <f t="shared" si="127"/>
        <v>-9.9739633612275895</v>
      </c>
      <c r="S51" s="26">
        <f t="shared" si="97"/>
        <v>5.0645263991251319</v>
      </c>
      <c r="T51" s="26">
        <f t="shared" si="98"/>
        <v>6.0996010271271999</v>
      </c>
      <c r="U51" s="26">
        <f t="shared" si="99"/>
        <v>1.1901640650247316</v>
      </c>
      <c r="V51" s="26"/>
      <c r="W51" s="26">
        <f t="shared" si="128"/>
        <v>1.8122380528068192</v>
      </c>
      <c r="X51" s="26">
        <f t="shared" si="100"/>
        <v>2.6725433085946229</v>
      </c>
      <c r="Y51" s="26">
        <f t="shared" si="101"/>
        <v>3.0296413150687869</v>
      </c>
      <c r="Z51" s="26">
        <f t="shared" si="102"/>
        <v>7.5144226764702182</v>
      </c>
      <c r="AA51" s="26"/>
      <c r="AB51" s="26">
        <f t="shared" si="129"/>
        <v>-8.1617253084207704</v>
      </c>
      <c r="AC51" s="26">
        <f t="shared" si="103"/>
        <v>7.7370697077197548</v>
      </c>
      <c r="AD51" s="26">
        <f t="shared" si="104"/>
        <v>9.1292423421959867</v>
      </c>
      <c r="AE51" s="26">
        <f t="shared" si="105"/>
        <v>8.7045867414949498</v>
      </c>
      <c r="AG51" t="str">
        <f>$A$15</f>
        <v>Process, plant and machine operatives</v>
      </c>
      <c r="AH51" s="26">
        <f t="shared" si="130"/>
        <v>-3.689446523044106</v>
      </c>
      <c r="AI51" s="26">
        <f t="shared" si="106"/>
        <v>0.15362128529522412</v>
      </c>
      <c r="AJ51" s="26">
        <f t="shared" si="107"/>
        <v>1.2059229902976014</v>
      </c>
      <c r="AK51" s="26">
        <f t="shared" si="108"/>
        <v>-2.3299022474512796</v>
      </c>
      <c r="AL51" s="26"/>
      <c r="AM51" s="26">
        <f t="shared" si="131"/>
        <v>5.4864271342717981</v>
      </c>
      <c r="AN51" s="26">
        <f t="shared" si="109"/>
        <v>5.1184786306982826</v>
      </c>
      <c r="AO51" s="26">
        <f t="shared" si="110"/>
        <v>-7.6729421841821299E-2</v>
      </c>
      <c r="AP51" s="26">
        <f t="shared" si="111"/>
        <v>10.528176343128255</v>
      </c>
      <c r="AQ51" s="26"/>
      <c r="AR51" s="26">
        <f t="shared" si="132"/>
        <v>1.796980611227692</v>
      </c>
      <c r="AS51" s="26">
        <f t="shared" si="112"/>
        <v>5.2720999159935067</v>
      </c>
      <c r="AT51" s="26">
        <f t="shared" si="113"/>
        <v>1.1291935684557801</v>
      </c>
      <c r="AU51" s="26">
        <f t="shared" si="114"/>
        <v>8.1982740956769753</v>
      </c>
    </row>
    <row r="52" spans="1:47" x14ac:dyDescent="0.2">
      <c r="A52" t="str">
        <f>$A$16</f>
        <v>Elementary occupations</v>
      </c>
      <c r="B52" s="26">
        <f t="shared" si="115"/>
        <v>-19.375428888643881</v>
      </c>
      <c r="C52" s="26">
        <f t="shared" si="116"/>
        <v>-12.36964243647995</v>
      </c>
      <c r="D52" s="26">
        <f t="shared" si="117"/>
        <v>-0.29763073214322588</v>
      </c>
      <c r="E52" s="26">
        <f t="shared" si="118"/>
        <v>-32.042702057267064</v>
      </c>
      <c r="F52" s="26"/>
      <c r="G52" s="26">
        <f t="shared" si="119"/>
        <v>-4.2474845039233884</v>
      </c>
      <c r="H52" s="26">
        <f t="shared" si="120"/>
        <v>-22.874047139133964</v>
      </c>
      <c r="I52" s="26">
        <f t="shared" si="121"/>
        <v>4.0708749576886856</v>
      </c>
      <c r="J52" s="26">
        <f t="shared" si="122"/>
        <v>-23.050656685368665</v>
      </c>
      <c r="K52" s="26"/>
      <c r="L52" s="26">
        <f t="shared" si="123"/>
        <v>-23.62291339256727</v>
      </c>
      <c r="M52" s="26">
        <f t="shared" si="124"/>
        <v>-35.243689575613914</v>
      </c>
      <c r="N52" s="26">
        <f t="shared" si="125"/>
        <v>3.7732442255454597</v>
      </c>
      <c r="O52" s="26">
        <f t="shared" si="126"/>
        <v>-55.093358742635729</v>
      </c>
      <c r="Q52" t="str">
        <f>$A$16</f>
        <v>Elementary occupations</v>
      </c>
      <c r="R52" s="26">
        <f t="shared" si="127"/>
        <v>-15.401438799668298</v>
      </c>
      <c r="S52" s="26">
        <f t="shared" si="97"/>
        <v>-5.9074229344756048</v>
      </c>
      <c r="T52" s="26">
        <f t="shared" si="98"/>
        <v>0.35193986368777708</v>
      </c>
      <c r="U52" s="26">
        <f t="shared" si="99"/>
        <v>-20.956921870456142</v>
      </c>
      <c r="V52" s="26"/>
      <c r="W52" s="26">
        <f t="shared" si="128"/>
        <v>-6.6064380816047219</v>
      </c>
      <c r="X52" s="26">
        <f t="shared" si="100"/>
        <v>-7.1085471186758618</v>
      </c>
      <c r="Y52" s="26">
        <f t="shared" si="101"/>
        <v>2.9846187841120102</v>
      </c>
      <c r="Z52" s="26">
        <f t="shared" si="102"/>
        <v>-10.730366416168579</v>
      </c>
      <c r="AA52" s="26"/>
      <c r="AB52" s="26">
        <f t="shared" si="129"/>
        <v>-22.00787688127302</v>
      </c>
      <c r="AC52" s="26">
        <f t="shared" si="103"/>
        <v>-13.015970053151467</v>
      </c>
      <c r="AD52" s="26">
        <f t="shared" si="104"/>
        <v>3.3365586477997873</v>
      </c>
      <c r="AE52" s="26">
        <f t="shared" si="105"/>
        <v>-31.687288286624721</v>
      </c>
      <c r="AG52" t="str">
        <f>$A$16</f>
        <v>Elementary occupations</v>
      </c>
      <c r="AH52" s="26">
        <f t="shared" si="130"/>
        <v>-3.9739900889753415</v>
      </c>
      <c r="AI52" s="26">
        <f t="shared" si="106"/>
        <v>-6.4622195020045581</v>
      </c>
      <c r="AJ52" s="26">
        <f t="shared" si="107"/>
        <v>-0.64957059583098253</v>
      </c>
      <c r="AK52" s="26">
        <f t="shared" si="108"/>
        <v>-11.085780186810879</v>
      </c>
      <c r="AL52" s="26"/>
      <c r="AM52" s="26">
        <f t="shared" si="131"/>
        <v>2.3589535776812234</v>
      </c>
      <c r="AN52" s="26">
        <f t="shared" si="109"/>
        <v>-15.76550002045817</v>
      </c>
      <c r="AO52" s="26">
        <f t="shared" si="110"/>
        <v>1.0862561735766709</v>
      </c>
      <c r="AP52" s="26">
        <f t="shared" si="111"/>
        <v>-12.320290269200285</v>
      </c>
      <c r="AQ52" s="26"/>
      <c r="AR52" s="26">
        <f t="shared" si="132"/>
        <v>-1.6150365112941181</v>
      </c>
      <c r="AS52" s="26">
        <f t="shared" si="112"/>
        <v>-22.227719522462728</v>
      </c>
      <c r="AT52" s="26">
        <f t="shared" si="113"/>
        <v>0.43668557774568839</v>
      </c>
      <c r="AU52" s="26">
        <f t="shared" si="114"/>
        <v>-23.406070456011165</v>
      </c>
    </row>
    <row r="53" spans="1:47" x14ac:dyDescent="0.2"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</row>
    <row r="54" spans="1:47" x14ac:dyDescent="0.2">
      <c r="A54" s="23" t="str">
        <f>$A$18</f>
        <v>All occupations</v>
      </c>
      <c r="B54" s="28">
        <f t="shared" si="115"/>
        <v>81.429999999217216</v>
      </c>
      <c r="C54" s="28">
        <f t="shared" si="116"/>
        <v>27.269000000313326</v>
      </c>
      <c r="D54" s="28">
        <f t="shared" si="117"/>
        <v>21.047999999579076</v>
      </c>
      <c r="E54" s="28">
        <f t="shared" si="118"/>
        <v>129.7469999991099</v>
      </c>
      <c r="F54" s="28"/>
      <c r="G54" s="28">
        <f t="shared" si="119"/>
        <v>76.012000003937828</v>
      </c>
      <c r="H54" s="28">
        <f t="shared" si="120"/>
        <v>13.224999994685049</v>
      </c>
      <c r="I54" s="28">
        <f t="shared" si="121"/>
        <v>17.219000002308462</v>
      </c>
      <c r="J54" s="28">
        <f t="shared" si="122"/>
        <v>106.45600000093145</v>
      </c>
      <c r="K54" s="28"/>
      <c r="L54" s="28">
        <f t="shared" si="123"/>
        <v>157.44200000315504</v>
      </c>
      <c r="M54" s="28">
        <f t="shared" si="124"/>
        <v>40.493999994998376</v>
      </c>
      <c r="N54" s="28">
        <f t="shared" si="125"/>
        <v>38.267000001887538</v>
      </c>
      <c r="O54" s="28">
        <f t="shared" si="126"/>
        <v>236.20300000004136</v>
      </c>
      <c r="Q54" s="23" t="str">
        <f>$A$18</f>
        <v>All occupations</v>
      </c>
      <c r="R54" s="28">
        <f t="shared" ref="R54" si="133">W18-R18</f>
        <v>35.887999998717987</v>
      </c>
      <c r="S54" s="28">
        <f t="shared" ref="S54" si="134">X18-S18</f>
        <v>17.883000000820999</v>
      </c>
      <c r="T54" s="28">
        <f t="shared" ref="T54" si="135">Y18-T18</f>
        <v>-4.6940000002742863</v>
      </c>
      <c r="U54" s="28">
        <f t="shared" ref="U54" si="136">Z18-U18</f>
        <v>49.076999999264899</v>
      </c>
      <c r="V54" s="28"/>
      <c r="W54" s="28">
        <f t="shared" ref="W54" si="137">AB18-W18</f>
        <v>16.693000000834445</v>
      </c>
      <c r="X54" s="28">
        <f t="shared" ref="X54" si="138">AC18-X18</f>
        <v>12.472999999688227</v>
      </c>
      <c r="Y54" s="28">
        <f t="shared" ref="Y54" si="139">AD18-Y18</f>
        <v>8.643000000216631</v>
      </c>
      <c r="Z54" s="28">
        <f t="shared" ref="Z54" si="140">AE18-Z18</f>
        <v>37.809000000739388</v>
      </c>
      <c r="AA54" s="28"/>
      <c r="AB54" s="28">
        <f t="shared" ref="AB54" si="141">AB18-R18</f>
        <v>52.580999999552432</v>
      </c>
      <c r="AC54" s="28">
        <f t="shared" ref="AC54" si="142">AC18-S18</f>
        <v>30.356000000509226</v>
      </c>
      <c r="AD54" s="28">
        <f t="shared" ref="AD54" si="143">AD18-T18</f>
        <v>3.9489999999423446</v>
      </c>
      <c r="AE54" s="28">
        <f t="shared" ref="AE54" si="144">AE18-U18</f>
        <v>86.886000000004287</v>
      </c>
      <c r="AG54" s="23" t="str">
        <f>$A$18</f>
        <v>All occupations</v>
      </c>
      <c r="AH54" s="28">
        <f t="shared" ref="AH54" si="145">AM18-AH18</f>
        <v>45.542000000499002</v>
      </c>
      <c r="AI54" s="28">
        <f t="shared" ref="AI54" si="146">AN18-AI18</f>
        <v>9.3859999994921282</v>
      </c>
      <c r="AJ54" s="28">
        <f t="shared" ref="AJ54" si="147">AO18-AJ18</f>
        <v>25.741999999853391</v>
      </c>
      <c r="AK54" s="28">
        <f t="shared" ref="AK54" si="148">AP18-AK18</f>
        <v>80.669999999844549</v>
      </c>
      <c r="AL54" s="28"/>
      <c r="AM54" s="28">
        <f t="shared" ref="AM54" si="149">AR18-AM18</f>
        <v>59.319000003103156</v>
      </c>
      <c r="AN54" s="28">
        <f t="shared" ref="AN54" si="150">AS18-AN18</f>
        <v>0.75199999499693604</v>
      </c>
      <c r="AO54" s="28">
        <f t="shared" ref="AO54" si="151">AT18-AO18</f>
        <v>8.5760000020919591</v>
      </c>
      <c r="AP54" s="28">
        <f t="shared" ref="AP54" si="152">AU18-AP18</f>
        <v>68.647000000192065</v>
      </c>
      <c r="AQ54" s="28"/>
      <c r="AR54" s="28">
        <f t="shared" ref="AR54" si="153">AR18-AH18</f>
        <v>104.86100000360216</v>
      </c>
      <c r="AS54" s="28">
        <f t="shared" ref="AS54" si="154">AS18-AI18</f>
        <v>10.137999994489064</v>
      </c>
      <c r="AT54" s="28">
        <f t="shared" ref="AT54" si="155">AT18-AJ18</f>
        <v>34.31800000194535</v>
      </c>
      <c r="AU54" s="28">
        <f t="shared" ref="AU54" si="156">AU18-AK18</f>
        <v>149.31700000003661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6" orientation="portrait" r:id="rId1"/>
  <headerFooter alignWithMargins="0"/>
  <colBreaks count="2" manualBreakCount="2">
    <brk id="15" max="1048575" man="1"/>
    <brk id="31" max="1048575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6"/>
  <dimension ref="A1:P163"/>
  <sheetViews>
    <sheetView zoomScale="75" zoomScaleNormal="75" workbookViewId="0"/>
  </sheetViews>
  <sheetFormatPr defaultColWidth="9.140625" defaultRowHeight="12.75" x14ac:dyDescent="0.2"/>
  <cols>
    <col min="1" max="1" width="11" style="156" bestFit="1" customWidth="1"/>
    <col min="2" max="9" width="9.140625" style="156"/>
    <col min="10" max="10" width="17.5703125" style="156" customWidth="1"/>
    <col min="11" max="11" width="8.28515625" style="156" customWidth="1"/>
    <col min="12" max="12" width="52.7109375" style="90" customWidth="1"/>
    <col min="13" max="13" width="12.42578125" style="90" customWidth="1"/>
    <col min="14" max="14" width="10.140625" style="90" customWidth="1"/>
    <col min="15" max="16384" width="9.140625" style="90"/>
  </cols>
  <sheetData>
    <row r="1" spans="1:14" ht="15.75" x14ac:dyDescent="0.25">
      <c r="A1" s="155" t="str">
        <f>CONCATENATE("Occupation Figure 1  Growth in Employment by Occupation (SOC 2020), ",M6," and ",N6,", ",Info!B5)</f>
        <v>Occupation Figure 1  Growth in Employment by Occupation (SOC 2020), 2015-2020 and 2020-2035, East Midlands</v>
      </c>
    </row>
    <row r="2" spans="1:14" x14ac:dyDescent="0.2">
      <c r="A2" s="181" t="s">
        <v>538</v>
      </c>
    </row>
    <row r="3" spans="1:14" x14ac:dyDescent="0.2">
      <c r="L3" s="157" t="s">
        <v>439</v>
      </c>
    </row>
    <row r="5" spans="1:14" x14ac:dyDescent="0.2">
      <c r="L5" s="121" t="s">
        <v>422</v>
      </c>
    </row>
    <row r="6" spans="1:14" x14ac:dyDescent="0.2">
      <c r="M6" s="177" t="str">
        <f>'Occ T2'!H151</f>
        <v>2015-2020</v>
      </c>
      <c r="N6" s="177" t="str">
        <f>'Occ T2'!I151</f>
        <v>2020-2035</v>
      </c>
    </row>
    <row r="7" spans="1:14" x14ac:dyDescent="0.2">
      <c r="L7" s="113" t="str">
        <f>'Occ T3'!A51</f>
        <v>All occupations</v>
      </c>
      <c r="M7" s="90">
        <f>'Occ T2'!H180</f>
        <v>1.115712608503272</v>
      </c>
      <c r="N7" s="90">
        <f>'Occ T2'!I180</f>
        <v>0.28925885184052369</v>
      </c>
    </row>
    <row r="8" spans="1:14" x14ac:dyDescent="0.2">
      <c r="L8" s="113"/>
    </row>
    <row r="9" spans="1:14" x14ac:dyDescent="0.2">
      <c r="L9" s="90" t="str">
        <f>'Occ T3'!A49</f>
        <v>92 Elementary administration and service occupations</v>
      </c>
      <c r="M9" s="90">
        <f>'Occ T2'!H178</f>
        <v>-2.2034610695766399</v>
      </c>
      <c r="N9" s="90">
        <f>'Occ T2'!I178</f>
        <v>-0.45042236148963299</v>
      </c>
    </row>
    <row r="10" spans="1:14" x14ac:dyDescent="0.2">
      <c r="L10" s="90" t="str">
        <f>'Occ T3'!A48</f>
        <v>91 Elementary trades and related occupations</v>
      </c>
      <c r="M10" s="90">
        <f>'Occ T2'!H177</f>
        <v>-3.1895830395356151</v>
      </c>
      <c r="N10" s="90">
        <f>'Occ T2'!I177</f>
        <v>-1.6081373684155631</v>
      </c>
    </row>
    <row r="11" spans="1:14" x14ac:dyDescent="0.2">
      <c r="L11" s="113" t="str">
        <f>"["&amp;'Occ T3'!A47&amp;"]"</f>
        <v>[Elementary occupations]</v>
      </c>
      <c r="M11" s="90">
        <f>'Occ T1'!H88</f>
        <v>-2.3831691825608403</v>
      </c>
      <c r="N11" s="90">
        <f>'Occ T1'!I88</f>
        <v>-0.64284102520940634</v>
      </c>
    </row>
    <row r="12" spans="1:14" x14ac:dyDescent="0.2">
      <c r="L12" s="113"/>
    </row>
    <row r="13" spans="1:14" x14ac:dyDescent="0.2">
      <c r="L13" s="90" t="str">
        <f>'Occ T3'!A45</f>
        <v>82 Transport and mobile machine drivers and operatives</v>
      </c>
      <c r="M13" s="90">
        <f>'Occ T2'!H176</f>
        <v>2.5002516992214119</v>
      </c>
      <c r="N13" s="90">
        <f>'Occ T2'!I176</f>
        <v>0.15002531237895411</v>
      </c>
    </row>
    <row r="14" spans="1:14" x14ac:dyDescent="0.2">
      <c r="L14" s="90" t="str">
        <f>'Occ T3'!A44</f>
        <v>81 Process, plant and machine operatives</v>
      </c>
      <c r="M14" s="90">
        <f>'Occ T2'!H175</f>
        <v>-2.9406197949755963</v>
      </c>
      <c r="N14" s="90">
        <f>'Occ T2'!I175</f>
        <v>1.1585495788117628</v>
      </c>
    </row>
    <row r="15" spans="1:14" x14ac:dyDescent="0.2">
      <c r="L15" s="113" t="str">
        <f>"["&amp;'Occ T3'!A43&amp;"]"</f>
        <v>[Process, plant and machine operatives]</v>
      </c>
      <c r="M15" s="90">
        <f>'Occ T1'!H87</f>
        <v>-0.12071516026116447</v>
      </c>
      <c r="N15" s="90">
        <f>'Occ T1'!I87</f>
        <v>0.61234877452847059</v>
      </c>
    </row>
    <row r="16" spans="1:14" x14ac:dyDescent="0.2">
      <c r="L16" s="113"/>
    </row>
    <row r="17" spans="12:14" x14ac:dyDescent="0.2">
      <c r="L17" s="90" t="str">
        <f>'Occ T3'!A41</f>
        <v>72 Customer service occupations</v>
      </c>
      <c r="M17" s="90">
        <f>'Occ T2'!H174</f>
        <v>1.9800802806441364</v>
      </c>
      <c r="N17" s="90">
        <f>'Occ T2'!I174</f>
        <v>2.4911346256979661</v>
      </c>
    </row>
    <row r="18" spans="12:14" x14ac:dyDescent="0.2">
      <c r="L18" s="90" t="str">
        <f>'Occ T3'!A40</f>
        <v>71 Sales occupations</v>
      </c>
      <c r="M18" s="90">
        <f>'Occ T2'!H173</f>
        <v>-1.8107653629982234</v>
      </c>
      <c r="N18" s="90">
        <f>'Occ T2'!I173</f>
        <v>-0.85012606715892947</v>
      </c>
    </row>
    <row r="19" spans="12:14" x14ac:dyDescent="0.2">
      <c r="L19" s="113" t="str">
        <f>"["&amp;'Occ T3'!A39&amp;"]"</f>
        <v>[Sales and customer service occupations]</v>
      </c>
      <c r="M19" s="90">
        <f>'Occ T1'!H86</f>
        <v>-1.111995614768535</v>
      </c>
      <c r="N19" s="90">
        <f>'Occ T1'!I86</f>
        <v>-3.8826123578483696E-2</v>
      </c>
    </row>
    <row r="20" spans="12:14" x14ac:dyDescent="0.2">
      <c r="L20" s="113"/>
    </row>
    <row r="21" spans="12:14" x14ac:dyDescent="0.2">
      <c r="L21" s="106" t="str">
        <f>'Occ T3'!A37</f>
        <v>63 Community and civil enforcement occupations</v>
      </c>
      <c r="M21" s="90">
        <f>'Occ T2'!H172</f>
        <v>1.2797998716970849</v>
      </c>
      <c r="N21" s="90">
        <f>'Occ T2'!I172</f>
        <v>-0.59912840817828439</v>
      </c>
    </row>
    <row r="22" spans="12:14" x14ac:dyDescent="0.2">
      <c r="L22" s="90" t="str">
        <f>'Occ T3'!A36</f>
        <v>62 Leisure, travel and related personal service occupations</v>
      </c>
      <c r="M22" s="90">
        <f>'Occ T2'!H171</f>
        <v>3.6179238936282054</v>
      </c>
      <c r="N22" s="90">
        <f>'Occ T2'!I171</f>
        <v>0.15814754583474144</v>
      </c>
    </row>
    <row r="23" spans="12:14" x14ac:dyDescent="0.2">
      <c r="L23" s="90" t="str">
        <f>'Occ T3'!A35</f>
        <v>61 Caring personal service occupations</v>
      </c>
      <c r="M23" s="90">
        <f>'Occ T2'!H170</f>
        <v>-0.1998161609227167</v>
      </c>
      <c r="N23" s="90">
        <f>'Occ T2'!I170</f>
        <v>1.0797130460473703</v>
      </c>
    </row>
    <row r="24" spans="12:14" x14ac:dyDescent="0.2">
      <c r="L24" s="113" t="str">
        <f>"["&amp;'Occ T3'!A34&amp;"]"</f>
        <v>[Caring, leisure and other service occupations]</v>
      </c>
      <c r="M24" s="90">
        <f>'Occ T1'!H85</f>
        <v>0.61900913426777837</v>
      </c>
      <c r="N24" s="90">
        <f>'Occ T1'!I85</f>
        <v>0.86282029835396123</v>
      </c>
    </row>
    <row r="25" spans="12:14" x14ac:dyDescent="0.2">
      <c r="L25" s="113"/>
    </row>
    <row r="26" spans="12:14" x14ac:dyDescent="0.2">
      <c r="L26" s="90" t="str">
        <f>'Occ T3'!A32</f>
        <v>54 Textiles, printing and other skilled trades</v>
      </c>
      <c r="M26" s="90">
        <f>'Occ T2'!H169</f>
        <v>-3.2279393649460864</v>
      </c>
      <c r="N26" s="90">
        <f>'Occ T2'!I169</f>
        <v>-0.8761274543655162</v>
      </c>
    </row>
    <row r="27" spans="12:14" x14ac:dyDescent="0.2">
      <c r="L27" s="90" t="str">
        <f>'Occ T3'!A31</f>
        <v>53 Skilled construction and building trades</v>
      </c>
      <c r="M27" s="90">
        <f>'Occ T2'!H168</f>
        <v>-4.5368522939296714</v>
      </c>
      <c r="N27" s="90">
        <f>'Occ T2'!I168</f>
        <v>-0.75761307864201655</v>
      </c>
    </row>
    <row r="28" spans="12:14" x14ac:dyDescent="0.2">
      <c r="L28" s="90" t="str">
        <f>'Occ T3'!A30</f>
        <v>52 Skilled metal, electrical and electronic trades</v>
      </c>
      <c r="M28" s="90">
        <f>'Occ T2'!H167</f>
        <v>-2.3721024118824041</v>
      </c>
      <c r="N28" s="90">
        <f>'Occ T2'!I167</f>
        <v>-0.65607274430817819</v>
      </c>
    </row>
    <row r="29" spans="12:14" x14ac:dyDescent="0.2">
      <c r="L29" s="90" t="str">
        <f>'Occ T3'!A29</f>
        <v>51 Skilled agricultural and related trades</v>
      </c>
      <c r="M29" s="90">
        <f>'Occ T2'!H166</f>
        <v>4.4585801144174431</v>
      </c>
      <c r="N29" s="90">
        <f>'Occ T2'!I166</f>
        <v>-0.16486577793266566</v>
      </c>
    </row>
    <row r="30" spans="12:14" x14ac:dyDescent="0.2">
      <c r="L30" s="113" t="str">
        <f>"["&amp;'Occ T3'!A28&amp;"]"</f>
        <v>[Skilled trades occupations]</v>
      </c>
      <c r="M30" s="90">
        <f>'Occ T1'!H84</f>
        <v>-2.1697255514382952</v>
      </c>
      <c r="N30" s="90">
        <f>'Occ T1'!I84</f>
        <v>-0.6368112207248644</v>
      </c>
    </row>
    <row r="31" spans="12:14" x14ac:dyDescent="0.2">
      <c r="L31" s="113"/>
    </row>
    <row r="32" spans="12:14" x14ac:dyDescent="0.2">
      <c r="L32" s="90" t="str">
        <f>'Occ T3'!A26</f>
        <v>42 Secretarial and related occupations</v>
      </c>
      <c r="M32" s="90">
        <f>'Occ T2'!H165</f>
        <v>-0.9889909078993453</v>
      </c>
      <c r="N32" s="90">
        <f>'Occ T2'!I165</f>
        <v>-1.2196675458392203</v>
      </c>
    </row>
    <row r="33" spans="12:14" x14ac:dyDescent="0.2">
      <c r="L33" s="90" t="str">
        <f>'Occ T3'!A25</f>
        <v>41 Administrative occupations</v>
      </c>
      <c r="M33" s="90">
        <f>'Occ T2'!H164</f>
        <v>1.1552858285445833</v>
      </c>
      <c r="N33" s="90">
        <f>'Occ T2'!I164</f>
        <v>-0.95083303144160025</v>
      </c>
    </row>
    <row r="34" spans="12:14" x14ac:dyDescent="0.2">
      <c r="L34" s="113" t="str">
        <f>"["&amp;'Occ T3'!A24&amp;"]"</f>
        <v>[Administrative and secretarial occupations]</v>
      </c>
      <c r="M34" s="90">
        <f>'Occ T1'!H83</f>
        <v>0.75086893452342984</v>
      </c>
      <c r="N34" s="90">
        <f>'Occ T1'!I83</f>
        <v>-0.99818800017190679</v>
      </c>
    </row>
    <row r="35" spans="12:14" x14ac:dyDescent="0.2">
      <c r="L35" s="113"/>
    </row>
    <row r="36" spans="12:14" x14ac:dyDescent="0.2">
      <c r="L36" s="90" t="str">
        <f>'Occ T3'!A22</f>
        <v>35 Business and public service associate professionals</v>
      </c>
      <c r="M36" s="90">
        <f>'Occ T2'!H163</f>
        <v>2.8720658531207865</v>
      </c>
      <c r="N36" s="90">
        <f>'Occ T2'!I163</f>
        <v>-3.475064431593955E-2</v>
      </c>
    </row>
    <row r="37" spans="12:14" x14ac:dyDescent="0.2">
      <c r="L37" s="90" t="str">
        <f>'Occ T3'!A21</f>
        <v>34 Culture, media and sports occupations</v>
      </c>
      <c r="M37" s="90">
        <f>'Occ T2'!H162</f>
        <v>0.22265068089779572</v>
      </c>
      <c r="N37" s="90">
        <f>'Occ T2'!I162</f>
        <v>-1.8459143798976729E-2</v>
      </c>
    </row>
    <row r="38" spans="12:14" x14ac:dyDescent="0.2">
      <c r="L38" s="90" t="str">
        <f>'Occ T3'!A20</f>
        <v>33 Protective service occupations</v>
      </c>
      <c r="M38" s="90">
        <f>'Occ T2'!H161</f>
        <v>1.3786218791278504</v>
      </c>
      <c r="N38" s="90">
        <f>'Occ T2'!I161</f>
        <v>2.206523081509415</v>
      </c>
    </row>
    <row r="39" spans="12:14" x14ac:dyDescent="0.2">
      <c r="L39" s="90" t="str">
        <f>'Occ T3'!A19</f>
        <v>32 Health and social care associate professionals</v>
      </c>
      <c r="M39" s="90">
        <f>'Occ T2'!H160</f>
        <v>3.018232505760654</v>
      </c>
      <c r="N39" s="90">
        <f>'Occ T2'!I160</f>
        <v>0.69641310546697532</v>
      </c>
    </row>
    <row r="40" spans="12:14" x14ac:dyDescent="0.2">
      <c r="L40" s="90" t="str">
        <f>'Occ T3'!A18</f>
        <v>31 Science, engineering and technology associate professionals</v>
      </c>
      <c r="M40" s="90">
        <f>'Occ T2'!H159</f>
        <v>5.7977216071058546</v>
      </c>
      <c r="N40" s="90">
        <f>'Occ T2'!I159</f>
        <v>-0.53193425260152916</v>
      </c>
    </row>
    <row r="41" spans="12:14" x14ac:dyDescent="0.2">
      <c r="L41" s="113" t="str">
        <f>"["&amp;'Occ T3'!A17&amp;"]"</f>
        <v>[Associate professional occupations]</v>
      </c>
      <c r="M41" s="90">
        <f>'Occ T1'!H82</f>
        <v>2.8839336511390146</v>
      </c>
      <c r="N41" s="90">
        <f>'Occ T1'!I82</f>
        <v>0.23371579413067334</v>
      </c>
    </row>
    <row r="42" spans="12:14" x14ac:dyDescent="0.2">
      <c r="L42" s="113"/>
    </row>
    <row r="43" spans="12:14" x14ac:dyDescent="0.2">
      <c r="L43" s="90" t="str">
        <f>'Occ T3'!A15</f>
        <v>24 Business, media and public service professionals</v>
      </c>
      <c r="M43" s="90">
        <f>'Occ T2'!H158</f>
        <v>6.41370300231352</v>
      </c>
      <c r="N43" s="90">
        <f>'Occ T2'!I158</f>
        <v>1.5278006457507542</v>
      </c>
    </row>
    <row r="44" spans="12:14" x14ac:dyDescent="0.2">
      <c r="L44" s="90" t="str">
        <f>'Occ T3'!A14</f>
        <v>23 Teaching and other educational professionals</v>
      </c>
      <c r="M44" s="90">
        <f>'Occ T2'!H157</f>
        <v>2.5281257822568071</v>
      </c>
      <c r="N44" s="90">
        <f>'Occ T2'!I157</f>
        <v>0.2311573726335725</v>
      </c>
    </row>
    <row r="45" spans="12:14" x14ac:dyDescent="0.2">
      <c r="L45" s="90" t="str">
        <f>'Occ T3'!A13</f>
        <v>22 Health professionals</v>
      </c>
      <c r="M45" s="90">
        <f>'Occ T2'!H156</f>
        <v>2.8335550947052646</v>
      </c>
      <c r="N45" s="90">
        <f>'Occ T2'!I156</f>
        <v>1.0739945851860222</v>
      </c>
    </row>
    <row r="46" spans="12:14" x14ac:dyDescent="0.2">
      <c r="L46" s="90" t="str">
        <f>'Occ T3'!A12</f>
        <v>21 Science, research, engineering and technology professionals</v>
      </c>
      <c r="M46" s="90">
        <f>'Occ T2'!H155</f>
        <v>4.3415980395241416</v>
      </c>
      <c r="N46" s="90">
        <f>'Occ T2'!I155</f>
        <v>1.0848490001600153</v>
      </c>
    </row>
    <row r="47" spans="12:14" x14ac:dyDescent="0.2">
      <c r="L47" s="113" t="str">
        <f>"["&amp;'Occ T3'!A11&amp;"]"</f>
        <v>[Professional occupations]</v>
      </c>
      <c r="M47" s="90">
        <f>'Occ T1'!H81</f>
        <v>4.2956739999366444</v>
      </c>
      <c r="N47" s="90">
        <f>'Occ T1'!I81</f>
        <v>1.0771501729611943</v>
      </c>
    </row>
    <row r="49" spans="12:14" x14ac:dyDescent="0.2">
      <c r="L49" s="106" t="str">
        <f>'Occ T3'!A9</f>
        <v>12 Other managers and proprietors</v>
      </c>
      <c r="M49" s="90">
        <f>'Occ T2'!H154</f>
        <v>2.9955489346220832</v>
      </c>
      <c r="N49" s="90">
        <f>'Occ T2'!I154</f>
        <v>2.3267871551273966</v>
      </c>
    </row>
    <row r="50" spans="12:14" x14ac:dyDescent="0.2">
      <c r="L50" s="106" t="str">
        <f>'Occ T3'!A8</f>
        <v>11 Corporate managers and directors</v>
      </c>
      <c r="M50" s="90">
        <f>'Occ T2'!H153</f>
        <v>4.7606957530791139</v>
      </c>
      <c r="N50" s="90">
        <f>'Occ T2'!I153</f>
        <v>6.0428117746491594E-2</v>
      </c>
    </row>
    <row r="51" spans="12:14" x14ac:dyDescent="0.2">
      <c r="L51" s="113" t="str">
        <f>"["&amp;'Occ T3'!A7&amp;"]"</f>
        <v>[Managers, directors and senior officials]</v>
      </c>
      <c r="M51" s="90">
        <f>'Occ T1'!H80</f>
        <v>4.1992887318633043</v>
      </c>
      <c r="N51" s="90">
        <f>'Occ T1'!I80</f>
        <v>0.83491361200913605</v>
      </c>
    </row>
    <row r="80" spans="1:1" ht="15.75" x14ac:dyDescent="0.25">
      <c r="A80" s="155" t="str">
        <f>CONCATENATE("Occupation Figure 1.1  Change in Employment by Occupation (SOC 2020), ",M81," and ",N81,", ",Info!B5)</f>
        <v>Occupation Figure 1.1  Change in Employment by Occupation (SOC 2020), 2015-2020 and 2020-2035, East Midlands</v>
      </c>
    </row>
    <row r="81" spans="12:14" x14ac:dyDescent="0.2">
      <c r="M81" s="106" t="str">
        <f>'Occ F1'!M6</f>
        <v>2015-2020</v>
      </c>
      <c r="N81" s="106" t="str">
        <f>'Occ F1'!N6</f>
        <v>2020-2035</v>
      </c>
    </row>
    <row r="82" spans="12:14" x14ac:dyDescent="0.2">
      <c r="L82" s="10" t="str">
        <f>name!D4</f>
        <v>11 Corporate managers and directors</v>
      </c>
      <c r="M82" s="93">
        <f>'Occ T2'!D8-'Occ T2'!B8</f>
        <v>37.61024140493231</v>
      </c>
      <c r="N82" s="93">
        <f>'Occ T2'!F119</f>
        <v>1.6500236073523524</v>
      </c>
    </row>
    <row r="83" spans="12:14" x14ac:dyDescent="0.2">
      <c r="L83" s="10" t="str">
        <f>name!D5</f>
        <v>12 Other managers and proprietors</v>
      </c>
      <c r="M83" s="93">
        <f>'Occ T2'!D9-'Occ T2'!B9</f>
        <v>11.021749985135529</v>
      </c>
      <c r="N83" s="93">
        <f>'Occ T2'!F120</f>
        <v>33.097628852973102</v>
      </c>
    </row>
    <row r="84" spans="12:14" x14ac:dyDescent="0.2">
      <c r="L84" s="10" t="str">
        <f>name!D6</f>
        <v>21 Science, research, engineering and technology professionals</v>
      </c>
      <c r="M84" s="93">
        <f>'Occ T2'!D10-'Occ T2'!B10</f>
        <v>27.979429186025953</v>
      </c>
      <c r="N84" s="93">
        <f>'Occ T2'!F121</f>
        <v>25.67688798472264</v>
      </c>
    </row>
    <row r="85" spans="12:14" x14ac:dyDescent="0.2">
      <c r="L85" s="10" t="str">
        <f>name!D7</f>
        <v>22 Health professionals</v>
      </c>
      <c r="M85" s="93">
        <f>'Occ T2'!D11-'Occ T2'!B11</f>
        <v>12.735917903601973</v>
      </c>
      <c r="N85" s="93">
        <f>'Occ T2'!F122</f>
        <v>16.975632419535273</v>
      </c>
    </row>
    <row r="86" spans="12:14" x14ac:dyDescent="0.2">
      <c r="L86" s="10" t="str">
        <f>name!D8</f>
        <v>23 Teaching and other educational professionals</v>
      </c>
      <c r="M86" s="93">
        <f>'Occ T2'!D12-'Occ T2'!B12</f>
        <v>10.948135708580594</v>
      </c>
      <c r="N86" s="93">
        <f>'Occ T2'!F123</f>
        <v>3.2875298033721805</v>
      </c>
    </row>
    <row r="87" spans="12:14" x14ac:dyDescent="0.2">
      <c r="L87" s="10" t="str">
        <f>name!D9</f>
        <v>24 Business, media and public service professionals</v>
      </c>
      <c r="M87" s="93">
        <f>'Occ T2'!D13-'Occ T2'!B13</f>
        <v>42.311162507998603</v>
      </c>
      <c r="N87" s="93">
        <f>'Occ T2'!F124</f>
        <v>40.446055642649213</v>
      </c>
    </row>
    <row r="88" spans="12:14" x14ac:dyDescent="0.2">
      <c r="L88" s="10" t="str">
        <f>name!D10</f>
        <v>31 Science, engineering and technology associate professionals</v>
      </c>
      <c r="M88" s="93">
        <f>'Occ T2'!D14-'Occ T2'!B14</f>
        <v>12.007543728039799</v>
      </c>
      <c r="N88" s="93">
        <f>'Occ T2'!F125</f>
        <v>-3.7594773908632746</v>
      </c>
    </row>
    <row r="89" spans="12:14" x14ac:dyDescent="0.2">
      <c r="L89" s="10" t="str">
        <f>name!D11</f>
        <v>32 Health and social care associate professionals</v>
      </c>
      <c r="M89" s="93">
        <f>'Occ T2'!D15-'Occ T2'!B15</f>
        <v>6.0523372463894844</v>
      </c>
      <c r="N89" s="93">
        <f>'Occ T2'!F126</f>
        <v>4.8062922900845848</v>
      </c>
    </row>
    <row r="90" spans="12:14" x14ac:dyDescent="0.2">
      <c r="L90" s="10" t="str">
        <f>name!D12</f>
        <v>33 Protective service occupations</v>
      </c>
      <c r="M90" s="93">
        <f>'Occ T2'!D16-'Occ T2'!B16</f>
        <v>1.7484046243858486</v>
      </c>
      <c r="N90" s="93">
        <f>'Occ T2'!F127</f>
        <v>10.23442948222765</v>
      </c>
    </row>
    <row r="91" spans="12:14" x14ac:dyDescent="0.2">
      <c r="L91" s="10" t="str">
        <f>name!D13</f>
        <v>34 Culture, media and sports occupations</v>
      </c>
      <c r="M91" s="93">
        <f>'Occ T2'!D17-'Occ T2'!B17</f>
        <v>0.35975218392246688</v>
      </c>
      <c r="N91" s="93">
        <f>'Occ T2'!F128</f>
        <v>-8.9959419088181392E-2</v>
      </c>
    </row>
    <row r="92" spans="12:14" x14ac:dyDescent="0.2">
      <c r="L92" s="10" t="str">
        <f>name!D14</f>
        <v>35 Business and public service associate professionals</v>
      </c>
      <c r="M92" s="93">
        <f>'Occ T2'!D18-'Occ T2'!B18</f>
        <v>18.706601580079294</v>
      </c>
      <c r="N92" s="93">
        <f>'Occ T2'!F129</f>
        <v>-0.73683918638468526</v>
      </c>
    </row>
    <row r="93" spans="12:14" x14ac:dyDescent="0.2">
      <c r="L93" s="10" t="str">
        <f>name!D15</f>
        <v>41 Administrative occupations</v>
      </c>
      <c r="M93" s="93">
        <f>'Occ T2'!D19-'Occ T2'!B19</f>
        <v>11.54667796915453</v>
      </c>
      <c r="N93" s="93">
        <f>'Occ T2'!F130</f>
        <v>-27.620228858618731</v>
      </c>
    </row>
    <row r="94" spans="12:14" x14ac:dyDescent="0.2">
      <c r="L94" s="10" t="str">
        <f>name!D16</f>
        <v>42 Secretarial and related occupations</v>
      </c>
      <c r="M94" s="93">
        <f>'Occ T2'!D20-'Occ T2'!B20</f>
        <v>-2.2968663491230856</v>
      </c>
      <c r="N94" s="93">
        <f>'Occ T2'!F131</f>
        <v>-7.5790947725288689</v>
      </c>
    </row>
    <row r="95" spans="12:14" x14ac:dyDescent="0.2">
      <c r="L95" s="10" t="str">
        <f>name!D17</f>
        <v>51 Skilled agricultural and related trades</v>
      </c>
      <c r="M95" s="93">
        <f>'Occ T2'!D21-'Occ T2'!B21</f>
        <v>6.6839723120618153</v>
      </c>
      <c r="N95" s="93">
        <f>'Occ T2'!F132</f>
        <v>-0.8338560063895315</v>
      </c>
    </row>
    <row r="96" spans="12:14" x14ac:dyDescent="0.2">
      <c r="L96" s="10" t="str">
        <f>name!D18</f>
        <v>52 Skilled metal, electrical and electronic trades</v>
      </c>
      <c r="M96" s="93">
        <f>'Occ T2'!D22-'Occ T2'!B22</f>
        <v>-11.041627694449076</v>
      </c>
      <c r="N96" s="93">
        <f>'Occ T2'!F133</f>
        <v>-8.1397176405314298</v>
      </c>
    </row>
    <row r="97" spans="12:14" x14ac:dyDescent="0.2">
      <c r="L97" s="10" t="str">
        <f>name!D19</f>
        <v>53 Skilled construction and building trades</v>
      </c>
      <c r="M97" s="93">
        <f>'Occ T2'!D23-'Occ T2'!B23</f>
        <v>-13.021099844614973</v>
      </c>
      <c r="N97" s="93">
        <f>'Occ T2'!F134</f>
        <v>-5.3721486918589818</v>
      </c>
    </row>
    <row r="98" spans="12:14" x14ac:dyDescent="0.2">
      <c r="L98" s="10" t="str">
        <f>name!D20</f>
        <v>54 Textiles, printing and other skilled trades</v>
      </c>
      <c r="M98" s="93">
        <f>'Occ T2'!D24-'Occ T2'!B24</f>
        <v>-6.8262491796784062</v>
      </c>
      <c r="N98" s="93">
        <f>'Occ T2'!F135</f>
        <v>-4.7346675090944146</v>
      </c>
    </row>
    <row r="99" spans="12:14" x14ac:dyDescent="0.2">
      <c r="L99" s="10" t="str">
        <f>name!D21</f>
        <v>61 Caring personal service occupations</v>
      </c>
      <c r="M99" s="93">
        <f>'Occ T2'!D25-'Occ T2'!B25</f>
        <v>-1.9615397818745919</v>
      </c>
      <c r="N99" s="93">
        <f>'Occ T2'!F136</f>
        <v>34.111733326376708</v>
      </c>
    </row>
    <row r="100" spans="12:14" x14ac:dyDescent="0.2">
      <c r="L100" s="10" t="str">
        <f>name!D22</f>
        <v>62 Leisure, travel and related personal service occupations</v>
      </c>
      <c r="M100" s="93">
        <f>'Occ T2'!D26-'Occ T2'!B26</f>
        <v>9.6038520266498111</v>
      </c>
      <c r="N100" s="93">
        <f>'Occ T2'!F137</f>
        <v>1.4149467715841837</v>
      </c>
    </row>
    <row r="101" spans="12:14" x14ac:dyDescent="0.2">
      <c r="L101" s="10" t="str">
        <f>name!D23</f>
        <v>63 Community and civil enforcement occupations</v>
      </c>
      <c r="M101" s="93">
        <f>'Occ T2'!D27-'Occ T2'!B27</f>
        <v>0.15726888259049465</v>
      </c>
      <c r="N101" s="93">
        <f>'Occ T2'!F138</f>
        <v>-0.22004823664294504</v>
      </c>
    </row>
    <row r="102" spans="12:14" x14ac:dyDescent="0.2">
      <c r="L102" s="10" t="str">
        <f>name!D24</f>
        <v>71 Sales occupations</v>
      </c>
      <c r="M102" s="93">
        <f>'Occ T2'!D28-'Occ T2'!B28</f>
        <v>-15.132596793173633</v>
      </c>
      <c r="N102" s="93">
        <f>'Occ T2'!F139</f>
        <v>-19.012667928112734</v>
      </c>
    </row>
    <row r="103" spans="12:14" x14ac:dyDescent="0.2">
      <c r="L103" s="10" t="str">
        <f>name!D25</f>
        <v>72 Customer service occupations</v>
      </c>
      <c r="M103" s="93">
        <f>'Occ T2'!D29-'Occ T2'!B29</f>
        <v>3.736372632167928</v>
      </c>
      <c r="N103" s="93">
        <f>'Occ T2'!F140</f>
        <v>17.861603125939403</v>
      </c>
    </row>
    <row r="104" spans="12:14" x14ac:dyDescent="0.2">
      <c r="L104" s="10" t="str">
        <f>name!D26</f>
        <v>81 Process, plant and machine operatives</v>
      </c>
      <c r="M104" s="93">
        <f>'Occ T2'!D30-'Occ T2'!B30</f>
        <v>-13.355545295976114</v>
      </c>
      <c r="N104" s="93">
        <f>'Occ T2'!F141</f>
        <v>15.650931746062696</v>
      </c>
    </row>
    <row r="105" spans="12:14" x14ac:dyDescent="0.2">
      <c r="L105" s="10" t="str">
        <f>name!D27</f>
        <v>82 Transport and mobile machine drivers and operatives</v>
      </c>
      <c r="M105" s="93">
        <f>'Occ T2'!D31-'Occ T2'!B31</f>
        <v>12.215807113549445</v>
      </c>
      <c r="N105" s="93">
        <f>'Occ T2'!F142</f>
        <v>2.3916672735362425</v>
      </c>
    </row>
    <row r="106" spans="12:14" x14ac:dyDescent="0.2">
      <c r="L106" s="10" t="str">
        <f>name!D28</f>
        <v>91 Elementary trades and related occupations</v>
      </c>
      <c r="M106" s="93">
        <f>'Occ T2'!D32-'Occ T2'!B32</f>
        <v>-7.8181804232440228</v>
      </c>
      <c r="N106" s="93">
        <f>'Occ T2'!F143</f>
        <v>-9.5919149612556183</v>
      </c>
    </row>
    <row r="107" spans="12:14" x14ac:dyDescent="0.2">
      <c r="L107" s="10" t="str">
        <f>name!D29</f>
        <v>92 Elementary administration and service occupations</v>
      </c>
      <c r="M107" s="93">
        <f>'Occ T2'!D33-'Occ T2'!B33</f>
        <v>-24.224521634023091</v>
      </c>
      <c r="N107" s="93">
        <f>'Occ T2'!F144</f>
        <v>-13.458741724112542</v>
      </c>
    </row>
    <row r="108" spans="12:14" x14ac:dyDescent="0.2">
      <c r="L108" s="10"/>
      <c r="M108" s="93"/>
      <c r="N108" s="93"/>
    </row>
    <row r="109" spans="12:14" x14ac:dyDescent="0.2">
      <c r="L109" s="10" t="str">
        <f>name!D3</f>
        <v>All occupations</v>
      </c>
      <c r="M109" s="93">
        <f>'Occ T2'!D35-'Occ T2'!B35</f>
        <v>129.74699999910854</v>
      </c>
      <c r="N109" s="93">
        <f>'Occ T2'!F146</f>
        <v>106.45600000093464</v>
      </c>
    </row>
    <row r="150" spans="1:16" ht="15.75" x14ac:dyDescent="0.25">
      <c r="A150" s="155" t="str">
        <f>CONCATENATE("Occupation Figure 1.2  Change in Employment by Occupation (SOC 2020), ",M152," and ",N152,", ",Info!B5)</f>
        <v>Occupation Figure 1.2  Change in Employment by Occupation (SOC 2020), 2015 - 2020 and 2020-2035, East Midlands</v>
      </c>
    </row>
    <row r="151" spans="1:16" x14ac:dyDescent="0.2">
      <c r="P151" s="93"/>
    </row>
    <row r="152" spans="1:16" x14ac:dyDescent="0.2">
      <c r="M152" s="90" t="str">
        <f>'Occ T1'!B6&amp;" - "&amp;'Occ T1'!D6</f>
        <v>2015 - 2020</v>
      </c>
      <c r="N152" s="90" t="str">
        <f>'Occ T1'!H4</f>
        <v>2020-2035</v>
      </c>
      <c r="P152" s="93"/>
    </row>
    <row r="153" spans="1:16" x14ac:dyDescent="0.2">
      <c r="L153" s="10" t="str">
        <f>name!E4</f>
        <v>Managers, directors and senior officials</v>
      </c>
      <c r="M153" s="93">
        <f>'Occ T1'!D8-'Occ T1'!B8</f>
        <v>48.63199139006781</v>
      </c>
      <c r="N153" s="93">
        <f>'Occ T1'!H8</f>
        <v>34.747652460325469</v>
      </c>
      <c r="P153" s="93"/>
    </row>
    <row r="154" spans="1:16" x14ac:dyDescent="0.2">
      <c r="L154" s="10" t="str">
        <f>name!E5</f>
        <v>Professional occupations</v>
      </c>
      <c r="M154" s="93">
        <f>'Occ T1'!D9-'Occ T1'!B9</f>
        <v>93.974645306207151</v>
      </c>
      <c r="N154" s="93">
        <f>'Occ T1'!H9</f>
        <v>86.38610585027925</v>
      </c>
      <c r="P154" s="93"/>
    </row>
    <row r="155" spans="1:16" x14ac:dyDescent="0.2">
      <c r="L155" s="10" t="str">
        <f>name!E6</f>
        <v>Associate professional occupations</v>
      </c>
      <c r="M155" s="93">
        <f>'Occ T1'!D10-'Occ T1'!B10</f>
        <v>38.874639362816936</v>
      </c>
      <c r="N155" s="93">
        <f>'Occ T1'!H10</f>
        <v>10.454445775976069</v>
      </c>
      <c r="P155" s="93"/>
    </row>
    <row r="156" spans="1:16" x14ac:dyDescent="0.2">
      <c r="L156" s="10" t="str">
        <f>name!E7</f>
        <v>Administrative and secretarial occupations</v>
      </c>
      <c r="M156" s="93">
        <f>'Occ T1'!D11-'Occ T1'!B11</f>
        <v>9.2498116200314655</v>
      </c>
      <c r="N156" s="93">
        <f>'Occ T1'!H11</f>
        <v>-35.199323631147621</v>
      </c>
      <c r="P156" s="93"/>
    </row>
    <row r="157" spans="1:16" x14ac:dyDescent="0.2">
      <c r="L157" s="10" t="str">
        <f>name!E8</f>
        <v>Skilled trades occupations</v>
      </c>
      <c r="M157" s="93">
        <f>'Occ T1'!D12-'Occ T1'!B12</f>
        <v>-24.205004406680644</v>
      </c>
      <c r="N157" s="93">
        <f>'Occ T1'!H12</f>
        <v>-19.080389847874358</v>
      </c>
      <c r="P157" s="93"/>
    </row>
    <row r="158" spans="1:16" x14ac:dyDescent="0.2">
      <c r="L158" s="10" t="str">
        <f>name!E9</f>
        <v>Caring, leisure and other service occupations</v>
      </c>
      <c r="M158" s="93">
        <f>'Occ T1'!D13-'Occ T1'!B13</f>
        <v>7.7995811273657409</v>
      </c>
      <c r="N158" s="93">
        <f>'Occ T1'!H13</f>
        <v>35.306631861317896</v>
      </c>
      <c r="P158" s="93"/>
    </row>
    <row r="159" spans="1:16" x14ac:dyDescent="0.2">
      <c r="L159" s="10" t="str">
        <f>name!E10</f>
        <v>Sales and customer service occupations</v>
      </c>
      <c r="M159" s="93">
        <f>'Occ T1'!D14-'Occ T1'!B14</f>
        <v>-11.396224161005705</v>
      </c>
      <c r="N159" s="93">
        <f>'Occ T1'!H14</f>
        <v>-1.1510648021733232</v>
      </c>
      <c r="P159" s="93"/>
    </row>
    <row r="160" spans="1:16" x14ac:dyDescent="0.2">
      <c r="L160" s="10" t="str">
        <f>name!E11</f>
        <v>Process, plant and machine operatives</v>
      </c>
      <c r="M160" s="93">
        <f>'Occ T1'!D15-'Occ T1'!B15</f>
        <v>-1.1397381824266972</v>
      </c>
      <c r="N160" s="93">
        <f>'Occ T1'!H15</f>
        <v>18.042599019598953</v>
      </c>
      <c r="P160" s="93"/>
    </row>
    <row r="161" spans="12:16" x14ac:dyDescent="0.2">
      <c r="L161" s="10" t="str">
        <f>name!E12</f>
        <v>Elementary occupations</v>
      </c>
      <c r="M161" s="93">
        <f>'Occ T1'!D16-'Occ T1'!B16</f>
        <v>-32.042702057267093</v>
      </c>
      <c r="N161" s="93">
        <f>'Occ T1'!H16</f>
        <v>-23.050656685368153</v>
      </c>
      <c r="P161" s="93"/>
    </row>
    <row r="162" spans="12:16" x14ac:dyDescent="0.2">
      <c r="L162" s="10"/>
      <c r="M162" s="93"/>
      <c r="N162" s="93"/>
      <c r="P162" s="93"/>
    </row>
    <row r="163" spans="12:16" x14ac:dyDescent="0.2">
      <c r="L163" s="10" t="str">
        <f>name!E3</f>
        <v>All occupations</v>
      </c>
      <c r="M163" s="93">
        <f>'Occ T1'!D18-'Occ T1'!B18</f>
        <v>129.74699999910899</v>
      </c>
      <c r="N163" s="93">
        <f>'Occ T1'!H18</f>
        <v>106.45600000093418</v>
      </c>
    </row>
  </sheetData>
  <conditionalFormatting sqref="L17:L18 L6:N6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rowBreaks count="2" manualBreakCount="2">
    <brk id="78" max="16383" man="1"/>
    <brk id="149" max="9" man="1"/>
  </rowBreaks>
  <colBreaks count="1" manualBreakCount="1">
    <brk id="10" max="147" man="1"/>
  </col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BO508"/>
  <sheetViews>
    <sheetView zoomScale="75" zoomScaleNormal="75" workbookViewId="0"/>
  </sheetViews>
  <sheetFormatPr defaultColWidth="9.140625" defaultRowHeight="12.75" x14ac:dyDescent="0.2"/>
  <cols>
    <col min="1" max="1" width="17" style="80" customWidth="1"/>
    <col min="2" max="8" width="9.140625" style="80"/>
    <col min="9" max="9" width="31.85546875" style="80" customWidth="1"/>
    <col min="10" max="10" width="11.28515625" style="80" customWidth="1"/>
    <col min="11" max="11" width="6.140625" style="80" customWidth="1"/>
    <col min="12" max="12" width="52.28515625" customWidth="1"/>
    <col min="13" max="38" width="15.7109375" customWidth="1"/>
    <col min="39" max="39" width="7.7109375" customWidth="1"/>
    <col min="40" max="63" width="6.28515625" customWidth="1"/>
  </cols>
  <sheetData>
    <row r="1" spans="1:67" ht="15.75" x14ac:dyDescent="0.25">
      <c r="A1" s="79" t="str">
        <f>CONCATENATE("Occupation Figure 2  Employment by Occupation (SOC 2020), ",$M$2,"-",$O$2,", ",Info!B5)</f>
        <v>Occupation Figure 2  Employment by Occupation (SOC 2020), 2010-2035, East Midlands</v>
      </c>
      <c r="L1" s="45"/>
    </row>
    <row r="2" spans="1:67" x14ac:dyDescent="0.2">
      <c r="A2" s="181" t="s">
        <v>538</v>
      </c>
      <c r="L2" s="15" t="s">
        <v>28</v>
      </c>
      <c r="M2" s="47">
        <f>M4</f>
        <v>2010</v>
      </c>
      <c r="N2" s="46" t="s">
        <v>27</v>
      </c>
      <c r="O2" s="47">
        <f>MAX(Q4:BO4)</f>
        <v>2035</v>
      </c>
    </row>
    <row r="3" spans="1:67" x14ac:dyDescent="0.2">
      <c r="L3" s="15"/>
      <c r="M3" s="15"/>
      <c r="N3" s="46"/>
      <c r="O3" s="15"/>
    </row>
    <row r="4" spans="1:67" x14ac:dyDescent="0.2">
      <c r="L4" s="1" t="s">
        <v>35</v>
      </c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/>
      <c r="AN4" s="47"/>
      <c r="AO4" s="47"/>
      <c r="AP4" s="47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</row>
    <row r="5" spans="1:67" x14ac:dyDescent="0.2">
      <c r="L5" s="16" t="str">
        <f>'Occ T3'!A7</f>
        <v>Managers, directors and senior officials</v>
      </c>
      <c r="M5" s="86">
        <f t="shared" ref="M5:P5" si="0">SUM(M6:M7)</f>
        <v>181.22324954747921</v>
      </c>
      <c r="N5" s="86">
        <f t="shared" si="0"/>
        <v>199.21275524854815</v>
      </c>
      <c r="O5" s="86">
        <f t="shared" si="0"/>
        <v>205.48201875379851</v>
      </c>
      <c r="P5" s="86">
        <f t="shared" si="0"/>
        <v>201.03765741158446</v>
      </c>
      <c r="Q5" s="86">
        <f>SUM(Q6:Q7)</f>
        <v>206.23738652814882</v>
      </c>
      <c r="R5" s="86">
        <f t="shared" ref="R5:AL5" si="1">SUM(R6:R7)</f>
        <v>212.96694651679297</v>
      </c>
      <c r="S5" s="86">
        <f t="shared" si="1"/>
        <v>222.1670119678808</v>
      </c>
      <c r="T5" s="86">
        <f t="shared" si="1"/>
        <v>231.14499496428817</v>
      </c>
      <c r="U5" s="86">
        <f t="shared" si="1"/>
        <v>230.10820927930325</v>
      </c>
      <c r="V5" s="86">
        <f t="shared" si="1"/>
        <v>251.40387626698799</v>
      </c>
      <c r="W5" s="86">
        <f t="shared" si="1"/>
        <v>261.59893790686078</v>
      </c>
      <c r="X5" s="86">
        <f t="shared" si="1"/>
        <v>254.67753564271678</v>
      </c>
      <c r="Y5" s="86">
        <f t="shared" si="1"/>
        <v>257.26702574199339</v>
      </c>
      <c r="Z5" s="86">
        <f t="shared" si="1"/>
        <v>260.19232933033783</v>
      </c>
      <c r="AA5" s="86">
        <f t="shared" si="1"/>
        <v>263.63052693820634</v>
      </c>
      <c r="AB5" s="86">
        <f t="shared" si="1"/>
        <v>266.6330838180192</v>
      </c>
      <c r="AC5" s="86">
        <f t="shared" si="1"/>
        <v>269.53224355172893</v>
      </c>
      <c r="AD5" s="86">
        <f t="shared" si="1"/>
        <v>272.44805725617118</v>
      </c>
      <c r="AE5" s="86">
        <f t="shared" si="1"/>
        <v>275.30790272373952</v>
      </c>
      <c r="AF5" s="86">
        <f t="shared" si="1"/>
        <v>278.15103756261328</v>
      </c>
      <c r="AG5" s="86">
        <f t="shared" si="1"/>
        <v>281.14577657388088</v>
      </c>
      <c r="AH5" s="86">
        <f t="shared" si="1"/>
        <v>284.17833969657221</v>
      </c>
      <c r="AI5" s="86">
        <f t="shared" si="1"/>
        <v>287.11786726022763</v>
      </c>
      <c r="AJ5" s="86">
        <f t="shared" si="1"/>
        <v>290.09343155082524</v>
      </c>
      <c r="AK5" s="86">
        <f t="shared" si="1"/>
        <v>293.18249994784225</v>
      </c>
      <c r="AL5" s="86">
        <f t="shared" si="1"/>
        <v>296.34659036718625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x14ac:dyDescent="0.2">
      <c r="L6" s="232" t="str">
        <f>'Occ T3'!A8</f>
        <v>11 Corporate managers and directors</v>
      </c>
      <c r="M6" s="11">
        <v>121.36204899769251</v>
      </c>
      <c r="N6" s="11">
        <v>133.37120697251515</v>
      </c>
      <c r="O6" s="11">
        <v>137.63940703126633</v>
      </c>
      <c r="P6" s="11">
        <v>134.93508776074805</v>
      </c>
      <c r="Q6" s="11">
        <v>134.64793320045516</v>
      </c>
      <c r="R6" s="11">
        <v>143.65805606021732</v>
      </c>
      <c r="S6" s="11">
        <v>154.68112331364111</v>
      </c>
      <c r="T6" s="11">
        <v>159.62860898336498</v>
      </c>
      <c r="U6" s="11">
        <v>161.0682532600996</v>
      </c>
      <c r="V6" s="11">
        <v>174.21928226313696</v>
      </c>
      <c r="W6" s="11">
        <v>181.26829746514963</v>
      </c>
      <c r="X6" s="11">
        <v>161.39484692546628</v>
      </c>
      <c r="Y6" s="11">
        <v>162.77477851735725</v>
      </c>
      <c r="Z6" s="11">
        <v>164.34202710004496</v>
      </c>
      <c r="AA6" s="11">
        <v>166.16973545202595</v>
      </c>
      <c r="AB6" s="11">
        <v>167.75005991181814</v>
      </c>
      <c r="AC6" s="11">
        <v>169.25664827658039</v>
      </c>
      <c r="AD6" s="11">
        <v>170.72320942090448</v>
      </c>
      <c r="AE6" s="11">
        <v>172.17515786431636</v>
      </c>
      <c r="AF6" s="11">
        <v>173.63507579216233</v>
      </c>
      <c r="AG6" s="11">
        <v>175.18651793257649</v>
      </c>
      <c r="AH6" s="11">
        <v>176.71852849496722</v>
      </c>
      <c r="AI6" s="11">
        <v>178.20713141489898</v>
      </c>
      <c r="AJ6" s="11">
        <v>179.71502678076118</v>
      </c>
      <c r="AK6" s="11">
        <v>181.29887262316257</v>
      </c>
      <c r="AL6" s="11">
        <v>182.91832107250198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x14ac:dyDescent="0.2">
      <c r="L7" s="232" t="str">
        <f>'Occ T3'!A9</f>
        <v>12 Other managers and proprietors</v>
      </c>
      <c r="M7" s="11">
        <v>59.861200549786702</v>
      </c>
      <c r="N7" s="11">
        <v>65.841548276032995</v>
      </c>
      <c r="O7" s="11">
        <v>67.842611722532183</v>
      </c>
      <c r="P7" s="11">
        <v>66.102569650836415</v>
      </c>
      <c r="Q7" s="11">
        <v>71.589453327693661</v>
      </c>
      <c r="R7" s="11">
        <v>69.308890456575654</v>
      </c>
      <c r="S7" s="11">
        <v>67.485888654239673</v>
      </c>
      <c r="T7" s="11">
        <v>71.516385980923204</v>
      </c>
      <c r="U7" s="11">
        <v>69.039956019203657</v>
      </c>
      <c r="V7" s="11">
        <v>77.184594003851032</v>
      </c>
      <c r="W7" s="11">
        <v>80.330640441711182</v>
      </c>
      <c r="X7" s="11">
        <v>93.282688717250494</v>
      </c>
      <c r="Y7" s="11">
        <v>94.492247224636117</v>
      </c>
      <c r="Z7" s="11">
        <v>95.850302230292868</v>
      </c>
      <c r="AA7" s="11">
        <v>97.460791486180426</v>
      </c>
      <c r="AB7" s="11">
        <v>98.883023906201075</v>
      </c>
      <c r="AC7" s="11">
        <v>100.27559527514853</v>
      </c>
      <c r="AD7" s="11">
        <v>101.72484783526671</v>
      </c>
      <c r="AE7" s="11">
        <v>103.13274485942318</v>
      </c>
      <c r="AF7" s="11">
        <v>104.51596177045093</v>
      </c>
      <c r="AG7" s="11">
        <v>105.95925864130442</v>
      </c>
      <c r="AH7" s="11">
        <v>107.45981120160499</v>
      </c>
      <c r="AI7" s="11">
        <v>108.91073584532867</v>
      </c>
      <c r="AJ7" s="11">
        <v>110.37840477006405</v>
      </c>
      <c r="AK7" s="11">
        <v>111.88362732467967</v>
      </c>
      <c r="AL7" s="11">
        <v>113.42826929468428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</row>
    <row r="8" spans="1:67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</row>
    <row r="9" spans="1:67" x14ac:dyDescent="0.2">
      <c r="L9" s="16" t="str">
        <f>'Occ T3'!A11</f>
        <v>Professional occupations</v>
      </c>
      <c r="M9" s="86">
        <f t="shared" ref="M9:P9" si="2">SUM(M10:M13)</f>
        <v>385.77735003956502</v>
      </c>
      <c r="N9" s="86">
        <f t="shared" si="2"/>
        <v>379.45202058090644</v>
      </c>
      <c r="O9" s="86">
        <f t="shared" si="2"/>
        <v>382.94887087206411</v>
      </c>
      <c r="P9" s="86">
        <f t="shared" si="2"/>
        <v>385.07626592502731</v>
      </c>
      <c r="Q9" s="86">
        <f>SUM(Q10:Q13)</f>
        <v>408.54747570370415</v>
      </c>
      <c r="R9" s="86">
        <f t="shared" ref="R9:AL9" si="3">SUM(R10:R13)</f>
        <v>401.52149990473055</v>
      </c>
      <c r="S9" s="86">
        <f t="shared" si="3"/>
        <v>423.86587745760102</v>
      </c>
      <c r="T9" s="86">
        <f t="shared" si="3"/>
        <v>422.55891914065518</v>
      </c>
      <c r="U9" s="86">
        <f t="shared" si="3"/>
        <v>440.58508249339752</v>
      </c>
      <c r="V9" s="86">
        <f t="shared" si="3"/>
        <v>466.24681865163171</v>
      </c>
      <c r="W9" s="86">
        <f t="shared" si="3"/>
        <v>495.4961452109377</v>
      </c>
      <c r="X9" s="86">
        <f t="shared" si="3"/>
        <v>506.66133250709095</v>
      </c>
      <c r="Y9" s="86">
        <f t="shared" si="3"/>
        <v>510.37333163231216</v>
      </c>
      <c r="Z9" s="86">
        <f t="shared" si="3"/>
        <v>516.03023090793795</v>
      </c>
      <c r="AA9" s="86">
        <f t="shared" si="3"/>
        <v>522.46264682732578</v>
      </c>
      <c r="AB9" s="86">
        <f t="shared" si="3"/>
        <v>527.95954237323895</v>
      </c>
      <c r="AC9" s="86">
        <f t="shared" si="3"/>
        <v>533.19590778913448</v>
      </c>
      <c r="AD9" s="86">
        <f t="shared" si="3"/>
        <v>538.40528567800948</v>
      </c>
      <c r="AE9" s="86">
        <f t="shared" si="3"/>
        <v>543.75033434037402</v>
      </c>
      <c r="AF9" s="86">
        <f t="shared" si="3"/>
        <v>549.05835385498187</v>
      </c>
      <c r="AG9" s="86">
        <f t="shared" si="3"/>
        <v>554.72395089730935</v>
      </c>
      <c r="AH9" s="86">
        <f t="shared" si="3"/>
        <v>560.27680031330874</v>
      </c>
      <c r="AI9" s="86">
        <f t="shared" si="3"/>
        <v>565.60327435722957</v>
      </c>
      <c r="AJ9" s="86">
        <f t="shared" si="3"/>
        <v>570.95888839783163</v>
      </c>
      <c r="AK9" s="86">
        <f t="shared" si="3"/>
        <v>576.33810759735422</v>
      </c>
      <c r="AL9" s="86">
        <f t="shared" si="3"/>
        <v>581.88225106121695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</row>
    <row r="10" spans="1:67" x14ac:dyDescent="0.2">
      <c r="L10" s="232" t="str">
        <f>'Occ T3'!A12</f>
        <v>21 Science, research, engineering and technology professionals</v>
      </c>
      <c r="M10" s="11">
        <v>111.46153692182338</v>
      </c>
      <c r="N10" s="11">
        <v>104.29905729826477</v>
      </c>
      <c r="O10" s="11">
        <v>106.29556822128735</v>
      </c>
      <c r="P10" s="11">
        <v>107.43727983972583</v>
      </c>
      <c r="Q10" s="11">
        <v>115.40016064072408</v>
      </c>
      <c r="R10" s="11">
        <v>118.17350877122848</v>
      </c>
      <c r="S10" s="11">
        <v>123.41674473004348</v>
      </c>
      <c r="T10" s="11">
        <v>122.81392847936647</v>
      </c>
      <c r="U10" s="11">
        <v>132.13329546161668</v>
      </c>
      <c r="V10" s="11">
        <v>139.32948990430606</v>
      </c>
      <c r="W10" s="11">
        <v>146.15293795725444</v>
      </c>
      <c r="X10" s="11">
        <v>146.72892375800836</v>
      </c>
      <c r="Y10" s="11">
        <v>148.25091575498132</v>
      </c>
      <c r="Z10" s="11">
        <v>150.18068018364144</v>
      </c>
      <c r="AA10" s="11">
        <v>152.28606020898772</v>
      </c>
      <c r="AB10" s="11">
        <v>154.11944030831137</v>
      </c>
      <c r="AC10" s="11">
        <v>155.84668534636612</v>
      </c>
      <c r="AD10" s="11">
        <v>157.51635306402341</v>
      </c>
      <c r="AE10" s="11">
        <v>159.25432131313136</v>
      </c>
      <c r="AF10" s="11">
        <v>160.98963042641088</v>
      </c>
      <c r="AG10" s="11">
        <v>162.80670021475325</v>
      </c>
      <c r="AH10" s="11">
        <v>164.6146128152669</v>
      </c>
      <c r="AI10" s="11">
        <v>166.39879550283112</v>
      </c>
      <c r="AJ10" s="11">
        <v>168.18249293666867</v>
      </c>
      <c r="AK10" s="11">
        <v>169.98792148397217</v>
      </c>
      <c r="AL10" s="11">
        <v>171.82982594197708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67" x14ac:dyDescent="0.2">
      <c r="L11" s="232" t="str">
        <f>'Occ T3'!A13</f>
        <v>22 Health professionals</v>
      </c>
      <c r="M11" s="11">
        <v>75.75689528459948</v>
      </c>
      <c r="N11" s="11">
        <v>81.008865596738886</v>
      </c>
      <c r="O11" s="11">
        <v>83.432060866652961</v>
      </c>
      <c r="P11" s="11">
        <v>81.360962878524788</v>
      </c>
      <c r="Q11" s="11">
        <v>85.903212934879122</v>
      </c>
      <c r="R11" s="11">
        <v>84.941490204701466</v>
      </c>
      <c r="S11" s="11">
        <v>90.168193907388357</v>
      </c>
      <c r="T11" s="11">
        <v>96.449243146480839</v>
      </c>
      <c r="U11" s="11">
        <v>95.74480460255316</v>
      </c>
      <c r="V11" s="11">
        <v>97.766943133398073</v>
      </c>
      <c r="W11" s="11">
        <v>97.677408108303439</v>
      </c>
      <c r="X11" s="11">
        <v>100.7838010825873</v>
      </c>
      <c r="Y11" s="11">
        <v>101.69318622213503</v>
      </c>
      <c r="Z11" s="11">
        <v>102.8629730483912</v>
      </c>
      <c r="AA11" s="11">
        <v>104.12579391008974</v>
      </c>
      <c r="AB11" s="11">
        <v>105.14697949418867</v>
      </c>
      <c r="AC11" s="11">
        <v>106.0749289518412</v>
      </c>
      <c r="AD11" s="11">
        <v>107.10103388225048</v>
      </c>
      <c r="AE11" s="11">
        <v>108.10869326627159</v>
      </c>
      <c r="AF11" s="11">
        <v>109.00018938912881</v>
      </c>
      <c r="AG11" s="11">
        <v>109.97641665628876</v>
      </c>
      <c r="AH11" s="11">
        <v>110.90488562448782</v>
      </c>
      <c r="AI11" s="11">
        <v>111.84570533959577</v>
      </c>
      <c r="AJ11" s="11">
        <v>112.76520766549166</v>
      </c>
      <c r="AK11" s="11">
        <v>113.65617120301729</v>
      </c>
      <c r="AL11" s="11">
        <v>114.65304052783871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</row>
    <row r="12" spans="1:67" x14ac:dyDescent="0.2">
      <c r="L12" s="232" t="str">
        <f>'Occ T3'!A14</f>
        <v>23 Teaching and other educational professionals</v>
      </c>
      <c r="M12" s="11">
        <v>80.383182624117381</v>
      </c>
      <c r="N12" s="11">
        <v>81.990055223937077</v>
      </c>
      <c r="O12" s="11">
        <v>83.948973352793658</v>
      </c>
      <c r="P12" s="11">
        <v>83.83323276601179</v>
      </c>
      <c r="Q12" s="11">
        <v>85.349793815950989</v>
      </c>
      <c r="R12" s="11">
        <v>82.340741240666205</v>
      </c>
      <c r="S12" s="11">
        <v>83.42666587745984</v>
      </c>
      <c r="T12" s="11">
        <v>79.569527028120774</v>
      </c>
      <c r="U12" s="11">
        <v>82.034031808940654</v>
      </c>
      <c r="V12" s="11">
        <v>89.482943742768015</v>
      </c>
      <c r="W12" s="11">
        <v>93.288876949246799</v>
      </c>
      <c r="X12" s="11">
        <v>92.276639733001545</v>
      </c>
      <c r="Y12" s="11">
        <v>91.739239506019786</v>
      </c>
      <c r="Z12" s="11">
        <v>91.957841085317611</v>
      </c>
      <c r="AA12" s="11">
        <v>92.377065741861188</v>
      </c>
      <c r="AB12" s="11">
        <v>92.704014323923289</v>
      </c>
      <c r="AC12" s="11">
        <v>93.025384416972969</v>
      </c>
      <c r="AD12" s="11">
        <v>93.328772744968887</v>
      </c>
      <c r="AE12" s="11">
        <v>93.711167647404167</v>
      </c>
      <c r="AF12" s="11">
        <v>94.134795316199273</v>
      </c>
      <c r="AG12" s="11">
        <v>94.670326350373074</v>
      </c>
      <c r="AH12" s="11">
        <v>95.099185143485542</v>
      </c>
      <c r="AI12" s="11">
        <v>95.46820373029496</v>
      </c>
      <c r="AJ12" s="11">
        <v>95.839988877765705</v>
      </c>
      <c r="AK12" s="11">
        <v>96.207492125316406</v>
      </c>
      <c r="AL12" s="11">
        <v>96.576406752618979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</row>
    <row r="13" spans="1:67" x14ac:dyDescent="0.2">
      <c r="L13" s="232" t="str">
        <f>'Occ T3'!A15</f>
        <v>24 Business, media and public service professionals</v>
      </c>
      <c r="M13" s="11">
        <v>118.17573520902478</v>
      </c>
      <c r="N13" s="11">
        <v>112.15404246196574</v>
      </c>
      <c r="O13" s="11">
        <v>109.27226843133013</v>
      </c>
      <c r="P13" s="11">
        <v>112.44479044076489</v>
      </c>
      <c r="Q13" s="11">
        <v>121.89430831214999</v>
      </c>
      <c r="R13" s="11">
        <v>116.06575968813439</v>
      </c>
      <c r="S13" s="11">
        <v>126.8542729427093</v>
      </c>
      <c r="T13" s="11">
        <v>123.72622048668713</v>
      </c>
      <c r="U13" s="11">
        <v>130.67295062028697</v>
      </c>
      <c r="V13" s="11">
        <v>139.66744187115961</v>
      </c>
      <c r="W13" s="11">
        <v>158.37692219613299</v>
      </c>
      <c r="X13" s="11">
        <v>166.87196793349375</v>
      </c>
      <c r="Y13" s="11">
        <v>168.68999014917603</v>
      </c>
      <c r="Z13" s="11">
        <v>171.0287365905877</v>
      </c>
      <c r="AA13" s="11">
        <v>173.67372696638714</v>
      </c>
      <c r="AB13" s="11">
        <v>175.98910824681568</v>
      </c>
      <c r="AC13" s="11">
        <v>178.24890907395425</v>
      </c>
      <c r="AD13" s="11">
        <v>180.45912598676668</v>
      </c>
      <c r="AE13" s="11">
        <v>182.67615211356687</v>
      </c>
      <c r="AF13" s="11">
        <v>184.9337387232429</v>
      </c>
      <c r="AG13" s="11">
        <v>187.27050767589424</v>
      </c>
      <c r="AH13" s="11">
        <v>189.65811673006849</v>
      </c>
      <c r="AI13" s="11">
        <v>191.89056978450776</v>
      </c>
      <c r="AJ13" s="11">
        <v>194.17119891790557</v>
      </c>
      <c r="AK13" s="11">
        <v>196.48652278504832</v>
      </c>
      <c r="AL13" s="11">
        <v>198.82297783878221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</row>
    <row r="14" spans="1:67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</row>
    <row r="15" spans="1:67" x14ac:dyDescent="0.2">
      <c r="L15" s="16" t="str">
        <f>'Occ T3'!A17</f>
        <v>Associate professional occupations</v>
      </c>
      <c r="M15" s="86">
        <f>SUM(M16:M20)</f>
        <v>234.73181918269532</v>
      </c>
      <c r="N15" s="86">
        <f t="shared" ref="N15:P15" si="4">SUM(N16:N20)</f>
        <v>242.5518740646433</v>
      </c>
      <c r="O15" s="86">
        <f t="shared" si="4"/>
        <v>247.61607577947552</v>
      </c>
      <c r="P15" s="86">
        <f t="shared" si="4"/>
        <v>239.14664642149012</v>
      </c>
      <c r="Q15" s="86">
        <f>SUM(Q16:Q20)</f>
        <v>250.28075454477099</v>
      </c>
      <c r="R15" s="86">
        <f t="shared" ref="R15:AL15" si="5">SUM(R16:R20)</f>
        <v>254.48663957131549</v>
      </c>
      <c r="S15" s="86">
        <f t="shared" si="5"/>
        <v>259.08119833790954</v>
      </c>
      <c r="T15" s="86">
        <f t="shared" si="5"/>
        <v>269.55644994309012</v>
      </c>
      <c r="U15" s="86">
        <f t="shared" si="5"/>
        <v>270.11876906922623</v>
      </c>
      <c r="V15" s="86">
        <f t="shared" si="5"/>
        <v>277.73375952254469</v>
      </c>
      <c r="W15" s="86">
        <f t="shared" si="5"/>
        <v>293.36127893413243</v>
      </c>
      <c r="X15" s="86">
        <f t="shared" si="5"/>
        <v>275.44424342564218</v>
      </c>
      <c r="Y15" s="86">
        <f t="shared" si="5"/>
        <v>276.98388534562901</v>
      </c>
      <c r="Z15" s="86">
        <f t="shared" si="5"/>
        <v>279.28021460865068</v>
      </c>
      <c r="AA15" s="86">
        <f t="shared" si="5"/>
        <v>282.19897913493674</v>
      </c>
      <c r="AB15" s="86">
        <f t="shared" si="5"/>
        <v>284.42037280035231</v>
      </c>
      <c r="AC15" s="86">
        <f t="shared" si="5"/>
        <v>286.40294688217671</v>
      </c>
      <c r="AD15" s="86">
        <f t="shared" si="5"/>
        <v>288.24309708244454</v>
      </c>
      <c r="AE15" s="86">
        <f t="shared" si="5"/>
        <v>290.00962618947477</v>
      </c>
      <c r="AF15" s="86">
        <f t="shared" si="5"/>
        <v>291.82622364337431</v>
      </c>
      <c r="AG15" s="86">
        <f t="shared" si="5"/>
        <v>293.84201905718794</v>
      </c>
      <c r="AH15" s="86">
        <f t="shared" si="5"/>
        <v>295.88916873392253</v>
      </c>
      <c r="AI15" s="86">
        <f t="shared" si="5"/>
        <v>297.73933132777745</v>
      </c>
      <c r="AJ15" s="86">
        <f t="shared" si="5"/>
        <v>299.69880943290633</v>
      </c>
      <c r="AK15" s="86">
        <f t="shared" si="5"/>
        <v>301.72484676281488</v>
      </c>
      <c r="AL15" s="86">
        <f t="shared" si="5"/>
        <v>303.8157247101085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</row>
    <row r="16" spans="1:67" x14ac:dyDescent="0.2">
      <c r="L16" s="232" t="str">
        <f>'Occ T3'!A18</f>
        <v>31 Science, engineering and technology associate professionals</v>
      </c>
      <c r="M16" s="11">
        <v>38.869479584463562</v>
      </c>
      <c r="N16" s="11">
        <v>36.925538380523676</v>
      </c>
      <c r="O16" s="11">
        <v>38.526543148445136</v>
      </c>
      <c r="P16" s="11">
        <v>39.016195022653378</v>
      </c>
      <c r="Q16" s="11">
        <v>37.32411930124286</v>
      </c>
      <c r="R16" s="11">
        <v>36.888897619733804</v>
      </c>
      <c r="S16" s="11">
        <v>39.0616846002644</v>
      </c>
      <c r="T16" s="11">
        <v>42.963544859898654</v>
      </c>
      <c r="U16" s="11">
        <v>44.391448621398247</v>
      </c>
      <c r="V16" s="11">
        <v>44.133048124382675</v>
      </c>
      <c r="W16" s="11">
        <v>48.896441347773603</v>
      </c>
      <c r="X16" s="11">
        <v>41.197837064116712</v>
      </c>
      <c r="Y16" s="11">
        <v>41.446341360827184</v>
      </c>
      <c r="Z16" s="11">
        <v>41.743681661437257</v>
      </c>
      <c r="AA16" s="11">
        <v>42.106746382785254</v>
      </c>
      <c r="AB16" s="11">
        <v>42.416594537763693</v>
      </c>
      <c r="AC16" s="11">
        <v>42.683325069213801</v>
      </c>
      <c r="AD16" s="11">
        <v>42.912761427879595</v>
      </c>
      <c r="AE16" s="11">
        <v>43.134750248130288</v>
      </c>
      <c r="AF16" s="11">
        <v>43.348161797387711</v>
      </c>
      <c r="AG16" s="11">
        <v>43.636706131815927</v>
      </c>
      <c r="AH16" s="11">
        <v>43.921866678827328</v>
      </c>
      <c r="AI16" s="11">
        <v>44.203466960878437</v>
      </c>
      <c r="AJ16" s="11">
        <v>44.516002315020501</v>
      </c>
      <c r="AK16" s="11">
        <v>44.815781133490923</v>
      </c>
      <c r="AL16" s="11">
        <v>45.136963956910328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</row>
    <row r="17" spans="12:67" x14ac:dyDescent="0.2">
      <c r="L17" s="232" t="str">
        <f>'Occ T3'!A19</f>
        <v>32 Health and social care associate professionals</v>
      </c>
      <c r="M17" s="11">
        <v>28.846493260599598</v>
      </c>
      <c r="N17" s="11">
        <v>37.6075132302188</v>
      </c>
      <c r="O17" s="11">
        <v>37.557009327448839</v>
      </c>
      <c r="P17" s="11">
        <v>35.994064894883692</v>
      </c>
      <c r="Q17" s="11">
        <v>37.879085773478756</v>
      </c>
      <c r="R17" s="11">
        <v>37.756201665299528</v>
      </c>
      <c r="S17" s="11">
        <v>39.04981467307929</v>
      </c>
      <c r="T17" s="11">
        <v>40.102500662221175</v>
      </c>
      <c r="U17" s="11">
        <v>43.600634484780265</v>
      </c>
      <c r="V17" s="11">
        <v>43.058878031001939</v>
      </c>
      <c r="W17" s="11">
        <v>43.808538911689013</v>
      </c>
      <c r="X17" s="11">
        <v>42.440926857339271</v>
      </c>
      <c r="Y17" s="11">
        <v>42.844044003964349</v>
      </c>
      <c r="Z17" s="11">
        <v>43.366000964898632</v>
      </c>
      <c r="AA17" s="11">
        <v>43.928361523826084</v>
      </c>
      <c r="AB17" s="11">
        <v>44.397697953395529</v>
      </c>
      <c r="AC17" s="11">
        <v>44.814470697913741</v>
      </c>
      <c r="AD17" s="11">
        <v>45.224650539000116</v>
      </c>
      <c r="AE17" s="11">
        <v>45.602018060599086</v>
      </c>
      <c r="AF17" s="11">
        <v>46.001343511581332</v>
      </c>
      <c r="AG17" s="11">
        <v>46.478313282063148</v>
      </c>
      <c r="AH17" s="11">
        <v>46.974119819805125</v>
      </c>
      <c r="AI17" s="11">
        <v>47.402816362212477</v>
      </c>
      <c r="AJ17" s="11">
        <v>47.805322950622767</v>
      </c>
      <c r="AK17" s="11">
        <v>48.215449718100835</v>
      </c>
      <c r="AL17" s="11">
        <v>48.614831201773598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</row>
    <row r="18" spans="12:67" x14ac:dyDescent="0.2">
      <c r="L18" s="232" t="str">
        <f>'Occ T3'!A20</f>
        <v>33 Protective service occupations</v>
      </c>
      <c r="M18" s="11">
        <v>24.192283051242807</v>
      </c>
      <c r="N18" s="11">
        <v>27.14070909882215</v>
      </c>
      <c r="O18" s="11">
        <v>26.493201012446946</v>
      </c>
      <c r="P18" s="11">
        <v>24.094820254450212</v>
      </c>
      <c r="Q18" s="11">
        <v>24.928042057479015</v>
      </c>
      <c r="R18" s="11">
        <v>24.674740515945114</v>
      </c>
      <c r="S18" s="11">
        <v>25.76334624089672</v>
      </c>
      <c r="T18" s="11">
        <v>24.412602192673514</v>
      </c>
      <c r="U18" s="11">
        <v>25.09038477206423</v>
      </c>
      <c r="V18" s="11">
        <v>25.28536445042619</v>
      </c>
      <c r="W18" s="11">
        <v>26.423145140330963</v>
      </c>
      <c r="X18" s="11">
        <v>29.352332706359093</v>
      </c>
      <c r="Y18" s="11">
        <v>30.020314697736605</v>
      </c>
      <c r="Z18" s="11">
        <v>30.672568043942771</v>
      </c>
      <c r="AA18" s="11">
        <v>31.420568882452301</v>
      </c>
      <c r="AB18" s="11">
        <v>31.950231148342091</v>
      </c>
      <c r="AC18" s="11">
        <v>32.453778162503198</v>
      </c>
      <c r="AD18" s="11">
        <v>32.925771290936247</v>
      </c>
      <c r="AE18" s="11">
        <v>33.39222088866191</v>
      </c>
      <c r="AF18" s="11">
        <v>33.863240909818757</v>
      </c>
      <c r="AG18" s="11">
        <v>34.321877618939347</v>
      </c>
      <c r="AH18" s="11">
        <v>34.748028789331251</v>
      </c>
      <c r="AI18" s="11">
        <v>35.161910717017669</v>
      </c>
      <c r="AJ18" s="11">
        <v>35.647285831510352</v>
      </c>
      <c r="AK18" s="11">
        <v>36.147291719580586</v>
      </c>
      <c r="AL18" s="11">
        <v>36.657574622558613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</row>
    <row r="19" spans="12:67" x14ac:dyDescent="0.2">
      <c r="L19" s="232" t="str">
        <f>'Occ T3'!A21</f>
        <v>34 Culture, media and sports occupations</v>
      </c>
      <c r="M19" s="11">
        <v>22.075024879386316</v>
      </c>
      <c r="N19" s="11">
        <v>27.54144845546751</v>
      </c>
      <c r="O19" s="11">
        <v>28.110296946778082</v>
      </c>
      <c r="P19" s="11">
        <v>26.816718075554256</v>
      </c>
      <c r="Q19" s="11">
        <v>28.265753442876239</v>
      </c>
      <c r="R19" s="11">
        <v>32.171809576694734</v>
      </c>
      <c r="S19" s="11">
        <v>31.610816991731376</v>
      </c>
      <c r="T19" s="11">
        <v>35.193989056896363</v>
      </c>
      <c r="U19" s="11">
        <v>30.874332940492881</v>
      </c>
      <c r="V19" s="11">
        <v>31.492602905030143</v>
      </c>
      <c r="W19" s="11">
        <v>32.531561760617201</v>
      </c>
      <c r="X19" s="11">
        <v>29.656002261432139</v>
      </c>
      <c r="Y19" s="11">
        <v>29.359027941115798</v>
      </c>
      <c r="Z19" s="11">
        <v>29.44648852374948</v>
      </c>
      <c r="AA19" s="11">
        <v>29.757864094665639</v>
      </c>
      <c r="AB19" s="11">
        <v>30.025971833268073</v>
      </c>
      <c r="AC19" s="11">
        <v>30.256679095370785</v>
      </c>
      <c r="AD19" s="11">
        <v>30.476124357435005</v>
      </c>
      <c r="AE19" s="11">
        <v>30.7128942232508</v>
      </c>
      <c r="AF19" s="11">
        <v>30.96331077227309</v>
      </c>
      <c r="AG19" s="11">
        <v>31.23202671055347</v>
      </c>
      <c r="AH19" s="11">
        <v>31.539050083050025</v>
      </c>
      <c r="AI19" s="11">
        <v>31.76670602374784</v>
      </c>
      <c r="AJ19" s="11">
        <v>31.983962211678048</v>
      </c>
      <c r="AK19" s="11">
        <v>32.217222863862048</v>
      </c>
      <c r="AL19" s="11">
        <v>32.44160234152902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</row>
    <row r="20" spans="12:67" x14ac:dyDescent="0.2">
      <c r="L20" s="232" t="str">
        <f>'Occ T3'!A22</f>
        <v>35 Business and public service associate professionals</v>
      </c>
      <c r="M20" s="11">
        <v>120.74853840700302</v>
      </c>
      <c r="N20" s="11">
        <v>113.33666489961116</v>
      </c>
      <c r="O20" s="11">
        <v>116.92902534435652</v>
      </c>
      <c r="P20" s="11">
        <v>113.22484817394857</v>
      </c>
      <c r="Q20" s="11">
        <v>121.88375396969411</v>
      </c>
      <c r="R20" s="11">
        <v>122.99499019364232</v>
      </c>
      <c r="S20" s="11">
        <v>123.59553583193774</v>
      </c>
      <c r="T20" s="11">
        <v>126.88381317140043</v>
      </c>
      <c r="U20" s="11">
        <v>126.1619682504906</v>
      </c>
      <c r="V20" s="11">
        <v>133.76386601170375</v>
      </c>
      <c r="W20" s="11">
        <v>141.70159177372162</v>
      </c>
      <c r="X20" s="11">
        <v>132.79714453639497</v>
      </c>
      <c r="Y20" s="11">
        <v>133.31415734198504</v>
      </c>
      <c r="Z20" s="11">
        <v>134.05147541462253</v>
      </c>
      <c r="AA20" s="11">
        <v>134.98543825120748</v>
      </c>
      <c r="AB20" s="11">
        <v>135.62987732758296</v>
      </c>
      <c r="AC20" s="11">
        <v>136.19469385717522</v>
      </c>
      <c r="AD20" s="11">
        <v>136.70378946719359</v>
      </c>
      <c r="AE20" s="11">
        <v>137.16774276883268</v>
      </c>
      <c r="AF20" s="11">
        <v>137.65016665231346</v>
      </c>
      <c r="AG20" s="11">
        <v>138.17309531381605</v>
      </c>
      <c r="AH20" s="11">
        <v>138.70610336290881</v>
      </c>
      <c r="AI20" s="11">
        <v>139.20443126392107</v>
      </c>
      <c r="AJ20" s="11">
        <v>139.74623612407464</v>
      </c>
      <c r="AK20" s="11">
        <v>140.32910132778048</v>
      </c>
      <c r="AL20" s="11">
        <v>140.96475258733693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</row>
    <row r="21" spans="12:67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</row>
    <row r="22" spans="12:67" x14ac:dyDescent="0.2">
      <c r="L22" s="16" t="str">
        <f>'Occ T3'!A24</f>
        <v>Administrative and secretarial occupations</v>
      </c>
      <c r="M22" s="86">
        <f t="shared" ref="M22:P22" si="6">SUM(M23:M24)</f>
        <v>234.62818874701776</v>
      </c>
      <c r="N22" s="86">
        <f t="shared" si="6"/>
        <v>236.87700289306801</v>
      </c>
      <c r="O22" s="86">
        <f t="shared" si="6"/>
        <v>238.2446877994463</v>
      </c>
      <c r="P22" s="86">
        <f t="shared" si="6"/>
        <v>234.92976940870847</v>
      </c>
      <c r="Q22" s="86">
        <f>SUM(Q23:Q24)</f>
        <v>239.16556960675914</v>
      </c>
      <c r="R22" s="86">
        <f t="shared" ref="R22:AL22" si="7">SUM(R23:R24)</f>
        <v>242.7039493064492</v>
      </c>
      <c r="S22" s="86">
        <f t="shared" si="7"/>
        <v>236.10278038440188</v>
      </c>
      <c r="T22" s="86">
        <f t="shared" si="7"/>
        <v>245.63739706329193</v>
      </c>
      <c r="U22" s="86">
        <f t="shared" si="7"/>
        <v>241.66181818070365</v>
      </c>
      <c r="V22" s="86">
        <f t="shared" si="7"/>
        <v>242.54836775247864</v>
      </c>
      <c r="W22" s="86">
        <f t="shared" si="7"/>
        <v>251.95376092648067</v>
      </c>
      <c r="X22" s="86">
        <f t="shared" si="7"/>
        <v>241.99483604504317</v>
      </c>
      <c r="Y22" s="86">
        <f t="shared" si="7"/>
        <v>240.23691311828853</v>
      </c>
      <c r="Z22" s="86">
        <f t="shared" si="7"/>
        <v>238.87070520053334</v>
      </c>
      <c r="AA22" s="86">
        <f t="shared" si="7"/>
        <v>238.0983846231486</v>
      </c>
      <c r="AB22" s="86">
        <f t="shared" si="7"/>
        <v>236.66769336702646</v>
      </c>
      <c r="AC22" s="86">
        <f t="shared" si="7"/>
        <v>235.11540943460872</v>
      </c>
      <c r="AD22" s="86">
        <f t="shared" si="7"/>
        <v>233.48633688404675</v>
      </c>
      <c r="AE22" s="86">
        <f t="shared" si="7"/>
        <v>231.77613160325404</v>
      </c>
      <c r="AF22" s="86">
        <f t="shared" si="7"/>
        <v>229.87976855028685</v>
      </c>
      <c r="AG22" s="86">
        <f t="shared" si="7"/>
        <v>227.70634036040718</v>
      </c>
      <c r="AH22" s="86">
        <f t="shared" si="7"/>
        <v>225.27227619977958</v>
      </c>
      <c r="AI22" s="86">
        <f t="shared" si="7"/>
        <v>223.38332735906019</v>
      </c>
      <c r="AJ22" s="86">
        <f t="shared" si="7"/>
        <v>221.41029948249869</v>
      </c>
      <c r="AK22" s="86">
        <f t="shared" si="7"/>
        <v>219.19840064603679</v>
      </c>
      <c r="AL22" s="86">
        <f t="shared" si="7"/>
        <v>216.75443729533305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</row>
    <row r="23" spans="12:67" x14ac:dyDescent="0.2">
      <c r="L23" s="232" t="str">
        <f>'Occ T3'!A25</f>
        <v>41 Administrative occupations</v>
      </c>
      <c r="M23" s="11">
        <v>182.68025836609678</v>
      </c>
      <c r="N23" s="11">
        <v>187.93690502163071</v>
      </c>
      <c r="O23" s="11">
        <v>189.54045044304607</v>
      </c>
      <c r="P23" s="11">
        <v>183.5271341536934</v>
      </c>
      <c r="Q23" s="11">
        <v>188.35731256517661</v>
      </c>
      <c r="R23" s="11">
        <v>195.32738677630536</v>
      </c>
      <c r="S23" s="11">
        <v>190.35377164914715</v>
      </c>
      <c r="T23" s="11">
        <v>197.9318079691823</v>
      </c>
      <c r="U23" s="11">
        <v>193.37761192681998</v>
      </c>
      <c r="V23" s="11">
        <v>196.95581737867408</v>
      </c>
      <c r="W23" s="11">
        <v>206.87406474545989</v>
      </c>
      <c r="X23" s="11">
        <v>192.09235936801346</v>
      </c>
      <c r="Y23" s="11">
        <v>191.05602753857002</v>
      </c>
      <c r="Z23" s="11">
        <v>190.36684244566618</v>
      </c>
      <c r="AA23" s="11">
        <v>190.10784331672369</v>
      </c>
      <c r="AB23" s="11">
        <v>189.33593582652153</v>
      </c>
      <c r="AC23" s="11">
        <v>188.54317313468403</v>
      </c>
      <c r="AD23" s="11">
        <v>187.67279779184832</v>
      </c>
      <c r="AE23" s="11">
        <v>186.5911021554958</v>
      </c>
      <c r="AF23" s="11">
        <v>185.52788249321088</v>
      </c>
      <c r="AG23" s="11">
        <v>184.56759198819631</v>
      </c>
      <c r="AH23" s="11">
        <v>183.58854949777955</v>
      </c>
      <c r="AI23" s="11">
        <v>182.58436281746893</v>
      </c>
      <c r="AJ23" s="11">
        <v>181.56048908848473</v>
      </c>
      <c r="AK23" s="11">
        <v>180.48404720866651</v>
      </c>
      <c r="AL23" s="11">
        <v>179.25383588684116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</row>
    <row r="24" spans="12:67" x14ac:dyDescent="0.2">
      <c r="L24" s="232" t="str">
        <f>'Occ T3'!A26</f>
        <v>42 Secretarial and related occupations</v>
      </c>
      <c r="M24" s="11">
        <v>51.947930380920972</v>
      </c>
      <c r="N24" s="11">
        <v>48.940097871437295</v>
      </c>
      <c r="O24" s="11">
        <v>48.704237356400213</v>
      </c>
      <c r="P24" s="11">
        <v>51.402635255015085</v>
      </c>
      <c r="Q24" s="11">
        <v>50.808257041582529</v>
      </c>
      <c r="R24" s="11">
        <v>47.376562530143858</v>
      </c>
      <c r="S24" s="11">
        <v>45.749008735254726</v>
      </c>
      <c r="T24" s="11">
        <v>47.705589094109634</v>
      </c>
      <c r="U24" s="11">
        <v>48.28420625388366</v>
      </c>
      <c r="V24" s="11">
        <v>45.592550373804556</v>
      </c>
      <c r="W24" s="11">
        <v>45.079696181020772</v>
      </c>
      <c r="X24" s="11">
        <v>49.902476677029703</v>
      </c>
      <c r="Y24" s="11">
        <v>49.180885579718513</v>
      </c>
      <c r="Z24" s="11">
        <v>48.503862754867164</v>
      </c>
      <c r="AA24" s="11">
        <v>47.990541306424923</v>
      </c>
      <c r="AB24" s="11">
        <v>47.331757540504917</v>
      </c>
      <c r="AC24" s="11">
        <v>46.57223629992469</v>
      </c>
      <c r="AD24" s="11">
        <v>45.81353909219844</v>
      </c>
      <c r="AE24" s="11">
        <v>45.185029447758239</v>
      </c>
      <c r="AF24" s="11">
        <v>44.351886057075966</v>
      </c>
      <c r="AG24" s="11">
        <v>43.138748372210884</v>
      </c>
      <c r="AH24" s="11">
        <v>41.683726702000023</v>
      </c>
      <c r="AI24" s="11">
        <v>40.798964541591253</v>
      </c>
      <c r="AJ24" s="11">
        <v>39.849810394013957</v>
      </c>
      <c r="AK24" s="11">
        <v>38.714353437370285</v>
      </c>
      <c r="AL24" s="11">
        <v>37.500601408491903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</row>
    <row r="25" spans="12:67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2:67" x14ac:dyDescent="0.2">
      <c r="L26" s="16" t="str">
        <f>'Occ T3'!A28</f>
        <v>Skilled trades occupations</v>
      </c>
      <c r="M26" s="86">
        <f t="shared" ref="M26:P26" si="8">SUM(M27:M30)</f>
        <v>225.1647492943124</v>
      </c>
      <c r="N26" s="86">
        <f t="shared" si="8"/>
        <v>239.11984536698264</v>
      </c>
      <c r="O26" s="86">
        <f t="shared" si="8"/>
        <v>242.53142272464137</v>
      </c>
      <c r="P26" s="86">
        <f t="shared" si="8"/>
        <v>222.90261623152742</v>
      </c>
      <c r="Q26" s="86">
        <f>SUM(Q27:Q30)</f>
        <v>226.49963009093193</v>
      </c>
      <c r="R26" s="86">
        <f t="shared" ref="R26:AL26" si="9">SUM(R27:R30)</f>
        <v>233.01015943539994</v>
      </c>
      <c r="S26" s="86">
        <f t="shared" si="9"/>
        <v>236.93422728492479</v>
      </c>
      <c r="T26" s="86">
        <f t="shared" si="9"/>
        <v>241.45911985638691</v>
      </c>
      <c r="U26" s="86">
        <f>SUM(U27:U30)</f>
        <v>228.80029941303798</v>
      </c>
      <c r="V26" s="86">
        <f t="shared" si="9"/>
        <v>229.69444665894585</v>
      </c>
      <c r="W26" s="86">
        <f t="shared" si="9"/>
        <v>208.8051550287193</v>
      </c>
      <c r="X26" s="86">
        <f t="shared" si="9"/>
        <v>210.24584941726067</v>
      </c>
      <c r="Y26" s="86">
        <f t="shared" si="9"/>
        <v>208.21293500700551</v>
      </c>
      <c r="Z26" s="86">
        <f t="shared" si="9"/>
        <v>206.41950894119046</v>
      </c>
      <c r="AA26" s="86">
        <f t="shared" si="9"/>
        <v>205.09802688074814</v>
      </c>
      <c r="AB26" s="86">
        <f t="shared" si="9"/>
        <v>203.78046369985992</v>
      </c>
      <c r="AC26" s="86">
        <f t="shared" si="9"/>
        <v>202.42334537503615</v>
      </c>
      <c r="AD26" s="86">
        <f t="shared" si="9"/>
        <v>200.88066083379192</v>
      </c>
      <c r="AE26" s="86">
        <f t="shared" si="9"/>
        <v>199.37533272564502</v>
      </c>
      <c r="AF26" s="86">
        <f t="shared" si="9"/>
        <v>197.88584874587966</v>
      </c>
      <c r="AG26" s="86">
        <f t="shared" si="9"/>
        <v>196.48541094223975</v>
      </c>
      <c r="AH26" s="86">
        <f t="shared" si="9"/>
        <v>195.11697251771272</v>
      </c>
      <c r="AI26" s="86">
        <f t="shared" si="9"/>
        <v>193.73777691863296</v>
      </c>
      <c r="AJ26" s="86">
        <f t="shared" si="9"/>
        <v>192.40491417926978</v>
      </c>
      <c r="AK26" s="86">
        <f t="shared" si="9"/>
        <v>191.05393779049786</v>
      </c>
      <c r="AL26" s="86">
        <f t="shared" si="9"/>
        <v>189.72476518084494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2:67" x14ac:dyDescent="0.2">
      <c r="L27" s="232" t="str">
        <f>'Occ T3'!A29</f>
        <v>51 Skilled agricultural and related trades</v>
      </c>
      <c r="M27" s="11">
        <v>24.099915139219718</v>
      </c>
      <c r="N27" s="11">
        <v>35.962463043136808</v>
      </c>
      <c r="O27" s="11">
        <v>33.986519327446565</v>
      </c>
      <c r="P27" s="11">
        <v>27.460218448259379</v>
      </c>
      <c r="Q27" s="11">
        <v>23.022840906063955</v>
      </c>
      <c r="R27" s="11">
        <v>27.425453405239896</v>
      </c>
      <c r="S27" s="11">
        <v>29.183813698410511</v>
      </c>
      <c r="T27" s="11">
        <v>32.489284424300479</v>
      </c>
      <c r="U27" s="11">
        <v>26.32943220058333</v>
      </c>
      <c r="V27" s="11">
        <v>28.29610204825973</v>
      </c>
      <c r="W27" s="11">
        <v>34.109425717301711</v>
      </c>
      <c r="X27" s="11">
        <v>32.766672609566541</v>
      </c>
      <c r="Y27" s="11">
        <v>32.63204114403257</v>
      </c>
      <c r="Z27" s="11">
        <v>32.605655381992392</v>
      </c>
      <c r="AA27" s="11">
        <v>32.636625137815528</v>
      </c>
      <c r="AB27" s="11">
        <v>32.649710758365593</v>
      </c>
      <c r="AC27" s="11">
        <v>32.639697450842313</v>
      </c>
      <c r="AD27" s="11">
        <v>32.581563069709347</v>
      </c>
      <c r="AE27" s="11">
        <v>32.609685303672485</v>
      </c>
      <c r="AF27" s="11">
        <v>32.685088953339296</v>
      </c>
      <c r="AG27" s="11">
        <v>32.772811233465625</v>
      </c>
      <c r="AH27" s="11">
        <v>32.861010967167815</v>
      </c>
      <c r="AI27" s="11">
        <v>32.946709072468266</v>
      </c>
      <c r="AJ27" s="11">
        <v>33.056519380214795</v>
      </c>
      <c r="AK27" s="11">
        <v>33.165390388324681</v>
      </c>
      <c r="AL27" s="11">
        <v>33.27556971091218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2:67" x14ac:dyDescent="0.2">
      <c r="L28" s="232" t="str">
        <f>'Occ T3'!A30</f>
        <v>52 Skilled metal, electrical and electronic trades</v>
      </c>
      <c r="M28" s="11">
        <v>92.856426980572024</v>
      </c>
      <c r="N28" s="11">
        <v>94.370501539616512</v>
      </c>
      <c r="O28" s="11">
        <v>95.509231155892479</v>
      </c>
      <c r="P28" s="11">
        <v>89.583598999240238</v>
      </c>
      <c r="Q28" s="11">
        <v>97.237386156411233</v>
      </c>
      <c r="R28" s="11">
        <v>97.618362867403548</v>
      </c>
      <c r="S28" s="11">
        <v>97.378525915213203</v>
      </c>
      <c r="T28" s="11">
        <v>98.824214336535491</v>
      </c>
      <c r="U28" s="11">
        <v>94.956488949530083</v>
      </c>
      <c r="V28" s="11">
        <v>99.211343361153794</v>
      </c>
      <c r="W28" s="11">
        <v>86.576735172954471</v>
      </c>
      <c r="X28" s="11">
        <v>86.529624127261059</v>
      </c>
      <c r="Y28" s="11">
        <v>85.848709927747194</v>
      </c>
      <c r="Z28" s="11">
        <v>85.196923186750141</v>
      </c>
      <c r="AA28" s="11">
        <v>84.70475134653573</v>
      </c>
      <c r="AB28" s="11">
        <v>84.192599870846522</v>
      </c>
      <c r="AC28" s="11">
        <v>83.647596262934258</v>
      </c>
      <c r="AD28" s="11">
        <v>83.053770390278061</v>
      </c>
      <c r="AE28" s="11">
        <v>82.472385943876162</v>
      </c>
      <c r="AF28" s="11">
        <v>81.88972032437043</v>
      </c>
      <c r="AG28" s="11">
        <v>81.337143026939032</v>
      </c>
      <c r="AH28" s="11">
        <v>80.762865959092807</v>
      </c>
      <c r="AI28" s="11">
        <v>80.176344119213738</v>
      </c>
      <c r="AJ28" s="11">
        <v>79.594852166552116</v>
      </c>
      <c r="AK28" s="11">
        <v>79.005639789889628</v>
      </c>
      <c r="AL28" s="11">
        <v>78.437017532423042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</row>
    <row r="29" spans="12:67" x14ac:dyDescent="0.2">
      <c r="L29" s="232" t="str">
        <f>'Occ T3'!A31</f>
        <v>53 Skilled construction and building trades</v>
      </c>
      <c r="M29" s="11">
        <v>67.10228482432052</v>
      </c>
      <c r="N29" s="11">
        <v>66.227171143937355</v>
      </c>
      <c r="O29" s="11">
        <v>69.800102642883374</v>
      </c>
      <c r="P29" s="11">
        <v>62.781158110283087</v>
      </c>
      <c r="Q29" s="11">
        <v>64.293401606576467</v>
      </c>
      <c r="R29" s="11">
        <v>62.851513007293811</v>
      </c>
      <c r="S29" s="11">
        <v>65.227258902084742</v>
      </c>
      <c r="T29" s="11">
        <v>65.871313303015498</v>
      </c>
      <c r="U29" s="11">
        <v>65.295188545127374</v>
      </c>
      <c r="V29" s="11">
        <v>62.508631996104207</v>
      </c>
      <c r="W29" s="11">
        <v>49.830413162678838</v>
      </c>
      <c r="X29" s="11">
        <v>53.330578691300332</v>
      </c>
      <c r="Y29" s="11">
        <v>52.481777410933873</v>
      </c>
      <c r="Z29" s="11">
        <v>51.741245223332449</v>
      </c>
      <c r="AA29" s="11">
        <v>51.136976480333828</v>
      </c>
      <c r="AB29" s="11">
        <v>50.552266960065431</v>
      </c>
      <c r="AC29" s="11">
        <v>49.973043027932505</v>
      </c>
      <c r="AD29" s="11">
        <v>49.369338525302915</v>
      </c>
      <c r="AE29" s="11">
        <v>48.741136134160108</v>
      </c>
      <c r="AF29" s="11">
        <v>48.103973630004802</v>
      </c>
      <c r="AG29" s="11">
        <v>47.469716265251726</v>
      </c>
      <c r="AH29" s="11">
        <v>46.846399782772899</v>
      </c>
      <c r="AI29" s="11">
        <v>46.235590063504617</v>
      </c>
      <c r="AJ29" s="11">
        <v>45.6402868860986</v>
      </c>
      <c r="AK29" s="11">
        <v>45.046221726582687</v>
      </c>
      <c r="AL29" s="11">
        <v>44.458264470819856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</row>
    <row r="30" spans="12:67" x14ac:dyDescent="0.2">
      <c r="L30" s="232" t="str">
        <f>'Occ T3'!A32</f>
        <v>54 Textiles, printing and other skilled trades</v>
      </c>
      <c r="M30" s="11">
        <v>41.106122350200145</v>
      </c>
      <c r="N30" s="11">
        <v>42.559709640291942</v>
      </c>
      <c r="O30" s="11">
        <v>43.235569598418941</v>
      </c>
      <c r="P30" s="11">
        <v>43.07764067374471</v>
      </c>
      <c r="Q30" s="11">
        <v>41.94600142188029</v>
      </c>
      <c r="R30" s="11">
        <v>45.114830155462691</v>
      </c>
      <c r="S30" s="11">
        <v>45.144628769216318</v>
      </c>
      <c r="T30" s="11">
        <v>44.274307792535467</v>
      </c>
      <c r="U30" s="11">
        <v>42.219189717797178</v>
      </c>
      <c r="V30" s="11">
        <v>39.678369253428116</v>
      </c>
      <c r="W30" s="11">
        <v>38.288580975784285</v>
      </c>
      <c r="X30" s="11">
        <v>37.618973989132755</v>
      </c>
      <c r="Y30" s="11">
        <v>37.250406524291868</v>
      </c>
      <c r="Z30" s="11">
        <v>36.875685149115476</v>
      </c>
      <c r="AA30" s="11">
        <v>36.619673916063057</v>
      </c>
      <c r="AB30" s="11">
        <v>36.385886110582405</v>
      </c>
      <c r="AC30" s="11">
        <v>36.163008633327088</v>
      </c>
      <c r="AD30" s="11">
        <v>35.875988848501599</v>
      </c>
      <c r="AE30" s="11">
        <v>35.552125343936282</v>
      </c>
      <c r="AF30" s="11">
        <v>35.207065838165114</v>
      </c>
      <c r="AG30" s="11">
        <v>34.905740416583377</v>
      </c>
      <c r="AH30" s="11">
        <v>34.646695808679198</v>
      </c>
      <c r="AI30" s="11">
        <v>34.379133663446339</v>
      </c>
      <c r="AJ30" s="11">
        <v>34.11325574640427</v>
      </c>
      <c r="AK30" s="11">
        <v>33.836685885700874</v>
      </c>
      <c r="AL30" s="11">
        <v>33.55391346668987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</row>
    <row r="31" spans="12:67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</row>
    <row r="32" spans="12:67" x14ac:dyDescent="0.2">
      <c r="L32" s="16" t="str">
        <f>'Occ T3'!A34</f>
        <v>Caring, leisure and other service occupations</v>
      </c>
      <c r="M32" s="86">
        <f>SUM(M33:M35)</f>
        <v>230.77397551987494</v>
      </c>
      <c r="N32" s="86">
        <f t="shared" ref="N32:AL32" si="10">SUM(N33:N35)</f>
        <v>230.98577499787896</v>
      </c>
      <c r="O32" s="86">
        <f t="shared" si="10"/>
        <v>234.04859396822786</v>
      </c>
      <c r="P32" s="86">
        <f t="shared" si="10"/>
        <v>243.61328101558797</v>
      </c>
      <c r="Q32" s="86">
        <f t="shared" si="10"/>
        <v>255.19943285719688</v>
      </c>
      <c r="R32" s="86">
        <f t="shared" si="10"/>
        <v>248.90155334327181</v>
      </c>
      <c r="S32" s="86">
        <f t="shared" si="10"/>
        <v>265.84964187539765</v>
      </c>
      <c r="T32" s="86">
        <f t="shared" si="10"/>
        <v>262.62958667461999</v>
      </c>
      <c r="U32" s="86">
        <f t="shared" si="10"/>
        <v>256.51109638898367</v>
      </c>
      <c r="V32" s="86">
        <f t="shared" si="10"/>
        <v>266.0076197428105</v>
      </c>
      <c r="W32" s="86">
        <f t="shared" si="10"/>
        <v>256.70113447063756</v>
      </c>
      <c r="X32" s="86">
        <f t="shared" si="10"/>
        <v>263.13130810491396</v>
      </c>
      <c r="Y32" s="86">
        <f t="shared" si="10"/>
        <v>264.85663961013006</v>
      </c>
      <c r="Z32" s="86">
        <f t="shared" si="10"/>
        <v>267.31953500692282</v>
      </c>
      <c r="AA32" s="86">
        <f t="shared" si="10"/>
        <v>270.11171418374829</v>
      </c>
      <c r="AB32" s="86">
        <f t="shared" si="10"/>
        <v>272.49511517294417</v>
      </c>
      <c r="AC32" s="86">
        <f t="shared" si="10"/>
        <v>274.56262296085771</v>
      </c>
      <c r="AD32" s="86">
        <f t="shared" si="10"/>
        <v>276.50221294376433</v>
      </c>
      <c r="AE32" s="86">
        <f t="shared" si="10"/>
        <v>278.35742878469648</v>
      </c>
      <c r="AF32" s="86">
        <f t="shared" si="10"/>
        <v>280.24184952576758</v>
      </c>
      <c r="AG32" s="86">
        <f t="shared" si="10"/>
        <v>282.18627791203659</v>
      </c>
      <c r="AH32" s="86">
        <f t="shared" si="10"/>
        <v>284.15219103837211</v>
      </c>
      <c r="AI32" s="86">
        <f t="shared" si="10"/>
        <v>286.1148428789694</v>
      </c>
      <c r="AJ32" s="86">
        <f t="shared" si="10"/>
        <v>288.05108258083135</v>
      </c>
      <c r="AK32" s="86">
        <f t="shared" si="10"/>
        <v>290.02847047597163</v>
      </c>
      <c r="AL32" s="86">
        <f t="shared" si="10"/>
        <v>292.00776633195545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</row>
    <row r="33" spans="12:67" x14ac:dyDescent="0.2">
      <c r="L33" s="232" t="str">
        <f>'Occ T3'!A35</f>
        <v>61 Caring personal service occupations</v>
      </c>
      <c r="M33" s="11">
        <v>177.68288788508673</v>
      </c>
      <c r="N33" s="11">
        <v>174.30704150472579</v>
      </c>
      <c r="O33" s="11">
        <v>179.57010548369189</v>
      </c>
      <c r="P33" s="11">
        <v>182.00610204563196</v>
      </c>
      <c r="Q33" s="11">
        <v>194.83419304412251</v>
      </c>
      <c r="R33" s="11">
        <v>197.12063317402581</v>
      </c>
      <c r="S33" s="11">
        <v>201.96255374978381</v>
      </c>
      <c r="T33" s="11">
        <v>206.72574274281146</v>
      </c>
      <c r="U33" s="11">
        <v>200.94049736168043</v>
      </c>
      <c r="V33" s="11">
        <v>202.10183802163635</v>
      </c>
      <c r="W33" s="11">
        <v>195.15909339215122</v>
      </c>
      <c r="X33" s="11">
        <v>202.83641776277236</v>
      </c>
      <c r="Y33" s="11">
        <v>204.70533059445771</v>
      </c>
      <c r="Z33" s="11">
        <v>206.95515494361737</v>
      </c>
      <c r="AA33" s="11">
        <v>209.3689932357928</v>
      </c>
      <c r="AB33" s="11">
        <v>211.46434592725529</v>
      </c>
      <c r="AC33" s="11">
        <v>213.28179148082395</v>
      </c>
      <c r="AD33" s="11">
        <v>214.99433660768307</v>
      </c>
      <c r="AE33" s="11">
        <v>216.66193717682589</v>
      </c>
      <c r="AF33" s="11">
        <v>218.37112505025851</v>
      </c>
      <c r="AG33" s="11">
        <v>220.12275647270874</v>
      </c>
      <c r="AH33" s="11">
        <v>221.91126614737303</v>
      </c>
      <c r="AI33" s="11">
        <v>223.75299497884575</v>
      </c>
      <c r="AJ33" s="11">
        <v>225.56689243775233</v>
      </c>
      <c r="AK33" s="11">
        <v>227.42362161590859</v>
      </c>
      <c r="AL33" s="11">
        <v>229.27082671852793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</row>
    <row r="34" spans="12:67" x14ac:dyDescent="0.2">
      <c r="L34" s="232" t="str">
        <f>'Occ T3'!A36</f>
        <v>62 Leisure, travel and related personal service occupations</v>
      </c>
      <c r="M34" s="11">
        <v>49.388526914241254</v>
      </c>
      <c r="N34" s="11">
        <v>54.166087732299594</v>
      </c>
      <c r="O34" s="11">
        <v>52.075902868928686</v>
      </c>
      <c r="P34" s="11">
        <v>59.394833218938039</v>
      </c>
      <c r="Q34" s="11">
        <v>57.78345070649889</v>
      </c>
      <c r="R34" s="11">
        <v>49.385317241689229</v>
      </c>
      <c r="S34" s="11">
        <v>61.933982860366477</v>
      </c>
      <c r="T34" s="11">
        <v>53.830934933026391</v>
      </c>
      <c r="U34" s="11">
        <v>53.480615549432379</v>
      </c>
      <c r="V34" s="11">
        <v>61.937701893020744</v>
      </c>
      <c r="W34" s="11">
        <v>58.98916926833904</v>
      </c>
      <c r="X34" s="11">
        <v>58.318554959521443</v>
      </c>
      <c r="Y34" s="11">
        <v>58.14089126488782</v>
      </c>
      <c r="Z34" s="11">
        <v>58.323723035387907</v>
      </c>
      <c r="AA34" s="11">
        <v>58.666016822681982</v>
      </c>
      <c r="AB34" s="11">
        <v>58.928533381600666</v>
      </c>
      <c r="AC34" s="11">
        <v>59.155228207723717</v>
      </c>
      <c r="AD34" s="11">
        <v>59.360392567120478</v>
      </c>
      <c r="AE34" s="11">
        <v>59.525143760009243</v>
      </c>
      <c r="AF34" s="11">
        <v>59.6768703828198</v>
      </c>
      <c r="AG34" s="11">
        <v>59.846330450209209</v>
      </c>
      <c r="AH34" s="11">
        <v>60.001854960350272</v>
      </c>
      <c r="AI34" s="11">
        <v>60.101494880674728</v>
      </c>
      <c r="AJ34" s="11">
        <v>60.20019134285964</v>
      </c>
      <c r="AK34" s="11">
        <v>60.29689644744478</v>
      </c>
      <c r="AL34" s="11">
        <v>60.404116039923224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</row>
    <row r="35" spans="12:67" x14ac:dyDescent="0.2">
      <c r="L35" s="232" t="str">
        <f>'Occ T3'!A37</f>
        <v>63 Community and civil enforcement occupations</v>
      </c>
      <c r="M35" s="11">
        <v>3.7025607205469599</v>
      </c>
      <c r="N35" s="11">
        <v>2.5126457608535744</v>
      </c>
      <c r="O35" s="11">
        <v>2.4025856156072907</v>
      </c>
      <c r="P35" s="11">
        <v>2.2123457510179794</v>
      </c>
      <c r="Q35" s="11">
        <v>2.5817891065754934</v>
      </c>
      <c r="R35" s="11">
        <v>2.3956029275567663</v>
      </c>
      <c r="S35" s="11">
        <v>1.9531052652473806</v>
      </c>
      <c r="T35" s="11">
        <v>2.0729089987821032</v>
      </c>
      <c r="U35" s="11">
        <v>2.0899834778708941</v>
      </c>
      <c r="V35" s="11">
        <v>1.9680798281533916</v>
      </c>
      <c r="W35" s="11">
        <v>2.5528718101472609</v>
      </c>
      <c r="X35" s="11">
        <v>1.976335382620154</v>
      </c>
      <c r="Y35" s="11">
        <v>2.0104177507845526</v>
      </c>
      <c r="Z35" s="11">
        <v>2.0406570279174963</v>
      </c>
      <c r="AA35" s="11">
        <v>2.0767041252735114</v>
      </c>
      <c r="AB35" s="11">
        <v>2.1022358640882035</v>
      </c>
      <c r="AC35" s="11">
        <v>2.1256032723100851</v>
      </c>
      <c r="AD35" s="11">
        <v>2.1474837689607775</v>
      </c>
      <c r="AE35" s="11">
        <v>2.1703478478613403</v>
      </c>
      <c r="AF35" s="11">
        <v>2.1938540926892811</v>
      </c>
      <c r="AG35" s="11">
        <v>2.2171909891186221</v>
      </c>
      <c r="AH35" s="11">
        <v>2.2390699306487862</v>
      </c>
      <c r="AI35" s="11">
        <v>2.2603530194489245</v>
      </c>
      <c r="AJ35" s="11">
        <v>2.2839988002193881</v>
      </c>
      <c r="AK35" s="11">
        <v>2.3079524126182394</v>
      </c>
      <c r="AL35" s="11">
        <v>2.3328235735043159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</row>
    <row r="36" spans="12:67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</row>
    <row r="37" spans="12:67" x14ac:dyDescent="0.2">
      <c r="L37" s="16" t="str">
        <f>'Occ T3'!A39</f>
        <v>Sales and customer service occupations</v>
      </c>
      <c r="M37" s="86">
        <f t="shared" ref="M37:P37" si="11">SUM(M38:M39)</f>
        <v>188.48262911106912</v>
      </c>
      <c r="N37" s="86">
        <f t="shared" si="11"/>
        <v>205.23069577311662</v>
      </c>
      <c r="O37" s="86">
        <f t="shared" si="11"/>
        <v>204.16436377327668</v>
      </c>
      <c r="P37" s="86">
        <f t="shared" si="11"/>
        <v>198.71717315637437</v>
      </c>
      <c r="Q37" s="86">
        <f>SUM(Q38:Q39)</f>
        <v>202.43882695183811</v>
      </c>
      <c r="R37" s="86">
        <f t="shared" ref="R37:AL37" si="12">SUM(R38:R39)</f>
        <v>209.5783298065233</v>
      </c>
      <c r="S37" s="86">
        <f t="shared" si="12"/>
        <v>209.64050749501016</v>
      </c>
      <c r="T37" s="86">
        <f t="shared" si="12"/>
        <v>206.70877755083049</v>
      </c>
      <c r="U37" s="86">
        <f t="shared" si="12"/>
        <v>201.46447275639886</v>
      </c>
      <c r="V37" s="86">
        <f t="shared" si="12"/>
        <v>202.74392844688504</v>
      </c>
      <c r="W37" s="86">
        <f t="shared" si="12"/>
        <v>198.18210564551759</v>
      </c>
      <c r="X37" s="86">
        <f t="shared" si="12"/>
        <v>196.61941710969293</v>
      </c>
      <c r="Y37" s="86">
        <f t="shared" si="12"/>
        <v>197.07846354173421</v>
      </c>
      <c r="Z37" s="86">
        <f t="shared" si="12"/>
        <v>197.39192696862938</v>
      </c>
      <c r="AA37" s="86">
        <f t="shared" si="12"/>
        <v>198.03150560820745</v>
      </c>
      <c r="AB37" s="86">
        <f t="shared" si="12"/>
        <v>198.25611745835891</v>
      </c>
      <c r="AC37" s="86">
        <f t="shared" si="12"/>
        <v>198.29088215529922</v>
      </c>
      <c r="AD37" s="86">
        <f t="shared" si="12"/>
        <v>198.2095063942383</v>
      </c>
      <c r="AE37" s="86">
        <f t="shared" si="12"/>
        <v>198.0392576286707</v>
      </c>
      <c r="AF37" s="86">
        <f t="shared" si="12"/>
        <v>197.85078386863239</v>
      </c>
      <c r="AG37" s="86">
        <f t="shared" si="12"/>
        <v>197.68420921037333</v>
      </c>
      <c r="AH37" s="86">
        <f t="shared" si="12"/>
        <v>197.44911059668371</v>
      </c>
      <c r="AI37" s="86">
        <f t="shared" si="12"/>
        <v>197.32937280544155</v>
      </c>
      <c r="AJ37" s="86">
        <f t="shared" si="12"/>
        <v>197.2136538804661</v>
      </c>
      <c r="AK37" s="86">
        <f t="shared" si="12"/>
        <v>197.12457974097941</v>
      </c>
      <c r="AL37" s="86">
        <f t="shared" si="12"/>
        <v>197.03104084334427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</row>
    <row r="38" spans="12:67" x14ac:dyDescent="0.2">
      <c r="L38" s="232" t="str">
        <f>'Occ T3'!A40</f>
        <v>71 Sales occupations</v>
      </c>
      <c r="M38" s="11">
        <v>155.68399776936837</v>
      </c>
      <c r="N38" s="11">
        <v>172.70134366107058</v>
      </c>
      <c r="O38" s="11">
        <v>171.49330215252439</v>
      </c>
      <c r="P38" s="11">
        <v>166.29118503514613</v>
      </c>
      <c r="Q38" s="11">
        <v>170.57866825525093</v>
      </c>
      <c r="R38" s="11">
        <v>173.30397212646142</v>
      </c>
      <c r="S38" s="11">
        <v>175.33498556935479</v>
      </c>
      <c r="T38" s="11">
        <v>168.95091028402598</v>
      </c>
      <c r="U38" s="11">
        <v>162.98818171174807</v>
      </c>
      <c r="V38" s="11">
        <v>163.81103916015377</v>
      </c>
      <c r="W38" s="11">
        <v>158.17137533328778</v>
      </c>
      <c r="X38" s="11">
        <v>148.50169116531984</v>
      </c>
      <c r="Y38" s="11">
        <v>148.2833872018511</v>
      </c>
      <c r="Z38" s="11">
        <v>147.87756976823965</v>
      </c>
      <c r="AA38" s="11">
        <v>147.70356533982883</v>
      </c>
      <c r="AB38" s="11">
        <v>147.19149086294414</v>
      </c>
      <c r="AC38" s="11">
        <v>146.55651726146539</v>
      </c>
      <c r="AD38" s="11">
        <v>145.82506922406796</v>
      </c>
      <c r="AE38" s="11">
        <v>145.02047096209813</v>
      </c>
      <c r="AF38" s="11">
        <v>144.18949498838123</v>
      </c>
      <c r="AG38" s="11">
        <v>143.3580365188397</v>
      </c>
      <c r="AH38" s="11">
        <v>142.4274903146117</v>
      </c>
      <c r="AI38" s="11">
        <v>141.62471906485516</v>
      </c>
      <c r="AJ38" s="11">
        <v>140.79705878422175</v>
      </c>
      <c r="AK38" s="11">
        <v>139.99126938546522</v>
      </c>
      <c r="AL38" s="11">
        <v>139.15870740517505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</row>
    <row r="39" spans="12:67" x14ac:dyDescent="0.2">
      <c r="L39" s="232" t="str">
        <f>'Occ T3'!A41</f>
        <v>72 Customer service occupations</v>
      </c>
      <c r="M39" s="11">
        <v>32.798631341700755</v>
      </c>
      <c r="N39" s="11">
        <v>32.529352112046041</v>
      </c>
      <c r="O39" s="11">
        <v>32.67106162075229</v>
      </c>
      <c r="P39" s="11">
        <v>32.425988121228229</v>
      </c>
      <c r="Q39" s="11">
        <v>31.860158696587174</v>
      </c>
      <c r="R39" s="11">
        <v>36.274357680061875</v>
      </c>
      <c r="S39" s="11">
        <v>34.305521925655377</v>
      </c>
      <c r="T39" s="11">
        <v>37.757867266804517</v>
      </c>
      <c r="U39" s="11">
        <v>38.476291044650786</v>
      </c>
      <c r="V39" s="11">
        <v>38.932889286731253</v>
      </c>
      <c r="W39" s="11">
        <v>40.010730312229803</v>
      </c>
      <c r="X39" s="11">
        <v>48.117725944373092</v>
      </c>
      <c r="Y39" s="11">
        <v>48.795076339883124</v>
      </c>
      <c r="Z39" s="11">
        <v>49.514357200389725</v>
      </c>
      <c r="AA39" s="11">
        <v>50.327940268378626</v>
      </c>
      <c r="AB39" s="11">
        <v>51.064626595414765</v>
      </c>
      <c r="AC39" s="11">
        <v>51.734364893833835</v>
      </c>
      <c r="AD39" s="11">
        <v>52.38443717017033</v>
      </c>
      <c r="AE39" s="11">
        <v>53.018786666572566</v>
      </c>
      <c r="AF39" s="11">
        <v>53.661288880251149</v>
      </c>
      <c r="AG39" s="11">
        <v>54.326172691533628</v>
      </c>
      <c r="AH39" s="11">
        <v>55.021620282072</v>
      </c>
      <c r="AI39" s="11">
        <v>55.704653740586402</v>
      </c>
      <c r="AJ39" s="11">
        <v>56.416595096244336</v>
      </c>
      <c r="AK39" s="11">
        <v>57.133310355514205</v>
      </c>
      <c r="AL39" s="11">
        <v>57.872333438169207</v>
      </c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</row>
    <row r="40" spans="12:67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</row>
    <row r="41" spans="12:67" x14ac:dyDescent="0.2">
      <c r="L41" s="16" t="str">
        <f>'Occ T3'!A43</f>
        <v>Process, plant and machine operatives</v>
      </c>
      <c r="M41" s="86">
        <f t="shared" ref="M41:P41" si="13">SUM(M42:M43)</f>
        <v>189.86015879271307</v>
      </c>
      <c r="N41" s="86">
        <f t="shared" si="13"/>
        <v>179.95462025959779</v>
      </c>
      <c r="O41" s="86">
        <f t="shared" si="13"/>
        <v>182.59403810253082</v>
      </c>
      <c r="P41" s="86">
        <f t="shared" si="13"/>
        <v>185.45184320990614</v>
      </c>
      <c r="Q41" s="86">
        <f>SUM(Q42:Q43)</f>
        <v>179.74933239087096</v>
      </c>
      <c r="R41" s="86">
        <f t="shared" ref="R41:AL41" si="14">SUM(R42:R43)</f>
        <v>189.28743948869192</v>
      </c>
      <c r="S41" s="86">
        <f t="shared" si="14"/>
        <v>197.54153250770014</v>
      </c>
      <c r="T41" s="86">
        <f t="shared" si="14"/>
        <v>200.89281839212998</v>
      </c>
      <c r="U41" s="86">
        <f t="shared" si="14"/>
        <v>200.21258781914543</v>
      </c>
      <c r="V41" s="86">
        <f t="shared" si="14"/>
        <v>200.07980909128071</v>
      </c>
      <c r="W41" s="86">
        <f t="shared" si="14"/>
        <v>188.14770130626522</v>
      </c>
      <c r="X41" s="86">
        <f t="shared" si="14"/>
        <v>210.9740964526645</v>
      </c>
      <c r="Y41" s="86">
        <f t="shared" si="14"/>
        <v>209.92935530004468</v>
      </c>
      <c r="Z41" s="86">
        <f t="shared" si="14"/>
        <v>209.62156693206578</v>
      </c>
      <c r="AA41" s="86">
        <f t="shared" si="14"/>
        <v>209.75653431875247</v>
      </c>
      <c r="AB41" s="86">
        <f t="shared" si="14"/>
        <v>209.72785783508925</v>
      </c>
      <c r="AC41" s="86">
        <f t="shared" si="14"/>
        <v>209.55600345296085</v>
      </c>
      <c r="AD41" s="86">
        <f t="shared" si="14"/>
        <v>209.12540084417805</v>
      </c>
      <c r="AE41" s="86">
        <f t="shared" si="14"/>
        <v>208.89505860805704</v>
      </c>
      <c r="AF41" s="86">
        <f t="shared" si="14"/>
        <v>208.67797289384819</v>
      </c>
      <c r="AG41" s="86">
        <f t="shared" si="14"/>
        <v>208.51213399056979</v>
      </c>
      <c r="AH41" s="86">
        <f t="shared" si="14"/>
        <v>208.29041275432377</v>
      </c>
      <c r="AI41" s="86">
        <f t="shared" si="14"/>
        <v>207.91184942527099</v>
      </c>
      <c r="AJ41" s="86">
        <f t="shared" si="14"/>
        <v>207.45988862532937</v>
      </c>
      <c r="AK41" s="86">
        <f t="shared" si="14"/>
        <v>206.85929484868865</v>
      </c>
      <c r="AL41" s="86">
        <f t="shared" si="14"/>
        <v>206.19030032586417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</row>
    <row r="42" spans="12:67" x14ac:dyDescent="0.2">
      <c r="L42" s="232" t="str">
        <f>'Occ T3'!A44</f>
        <v>81 Process, plant and machine operatives</v>
      </c>
      <c r="M42" s="11">
        <v>94.047235701308352</v>
      </c>
      <c r="N42" s="11">
        <v>86.309455868035812</v>
      </c>
      <c r="O42" s="11">
        <v>92.230012166899485</v>
      </c>
      <c r="P42" s="11">
        <v>93.116675066677175</v>
      </c>
      <c r="Q42" s="11">
        <v>92.444265298291114</v>
      </c>
      <c r="R42" s="11">
        <v>96.336507305577143</v>
      </c>
      <c r="S42" s="11">
        <v>98.547484509134918</v>
      </c>
      <c r="T42" s="11">
        <v>99.379093623060129</v>
      </c>
      <c r="U42" s="11">
        <v>97.874176368426063</v>
      </c>
      <c r="V42" s="11">
        <v>95.330232078847629</v>
      </c>
      <c r="W42" s="11">
        <v>82.980962009601029</v>
      </c>
      <c r="X42" s="11">
        <v>100.10999193234504</v>
      </c>
      <c r="Y42" s="11">
        <v>100.12500538708116</v>
      </c>
      <c r="Z42" s="11">
        <v>100.01860774060161</v>
      </c>
      <c r="AA42" s="11">
        <v>100.03312402824795</v>
      </c>
      <c r="AB42" s="11">
        <v>100.06163022108568</v>
      </c>
      <c r="AC42" s="11">
        <v>100.02172593296524</v>
      </c>
      <c r="AD42" s="11">
        <v>99.803390661826384</v>
      </c>
      <c r="AE42" s="11">
        <v>99.776281734587542</v>
      </c>
      <c r="AF42" s="11">
        <v>99.780206416208969</v>
      </c>
      <c r="AG42" s="11">
        <v>99.771694732083375</v>
      </c>
      <c r="AH42" s="11">
        <v>99.704930867815762</v>
      </c>
      <c r="AI42" s="11">
        <v>99.570912355965845</v>
      </c>
      <c r="AJ42" s="11">
        <v>99.368918070508386</v>
      </c>
      <c r="AK42" s="11">
        <v>99.028919970655011</v>
      </c>
      <c r="AL42" s="11">
        <v>98.631893755663725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</row>
    <row r="43" spans="12:67" x14ac:dyDescent="0.2">
      <c r="L43" s="232" t="str">
        <f>'Occ T3'!A45</f>
        <v>82 Transport and mobile machine drivers and operatives</v>
      </c>
      <c r="M43" s="11">
        <v>95.812923091404713</v>
      </c>
      <c r="N43" s="11">
        <v>93.645164391561977</v>
      </c>
      <c r="O43" s="11">
        <v>90.364025935631332</v>
      </c>
      <c r="P43" s="11">
        <v>92.335168143228984</v>
      </c>
      <c r="Q43" s="11">
        <v>87.305067092579833</v>
      </c>
      <c r="R43" s="11">
        <v>92.950932183114759</v>
      </c>
      <c r="S43" s="11">
        <v>98.994047998565222</v>
      </c>
      <c r="T43" s="11">
        <v>101.51372476906984</v>
      </c>
      <c r="U43" s="11">
        <v>102.33841145071935</v>
      </c>
      <c r="V43" s="11">
        <v>104.74957701243308</v>
      </c>
      <c r="W43" s="11">
        <v>105.1667392966642</v>
      </c>
      <c r="X43" s="11">
        <v>110.86410452031946</v>
      </c>
      <c r="Y43" s="11">
        <v>109.80434991296353</v>
      </c>
      <c r="Z43" s="11">
        <v>109.60295919146417</v>
      </c>
      <c r="AA43" s="11">
        <v>109.72341029050453</v>
      </c>
      <c r="AB43" s="11">
        <v>109.66622761400357</v>
      </c>
      <c r="AC43" s="11">
        <v>109.53427751999561</v>
      </c>
      <c r="AD43" s="11">
        <v>109.32201018235166</v>
      </c>
      <c r="AE43" s="11">
        <v>109.1187768734695</v>
      </c>
      <c r="AF43" s="11">
        <v>108.89776647763922</v>
      </c>
      <c r="AG43" s="11">
        <v>108.74043925848642</v>
      </c>
      <c r="AH43" s="11">
        <v>108.58548188650802</v>
      </c>
      <c r="AI43" s="11">
        <v>108.34093706930513</v>
      </c>
      <c r="AJ43" s="11">
        <v>108.09097055482098</v>
      </c>
      <c r="AK43" s="11">
        <v>107.83037487803362</v>
      </c>
      <c r="AL43" s="11">
        <v>107.55840657020045</v>
      </c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</row>
    <row r="44" spans="12:67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</row>
    <row r="45" spans="12:67" x14ac:dyDescent="0.2">
      <c r="L45" s="16" t="str">
        <f>'Occ T3'!A47</f>
        <v>Elementary occupations</v>
      </c>
      <c r="M45" s="86">
        <f t="shared" ref="M45:P45" si="15">SUM(M46:M47)</f>
        <v>270.57687976466434</v>
      </c>
      <c r="N45" s="86">
        <f t="shared" si="15"/>
        <v>271.67541081308838</v>
      </c>
      <c r="O45" s="86">
        <f t="shared" si="15"/>
        <v>263.81792822447176</v>
      </c>
      <c r="P45" s="86">
        <f t="shared" si="15"/>
        <v>264.54474721694874</v>
      </c>
      <c r="Q45" s="86">
        <f>SUM(Q46:Q47)</f>
        <v>268.49059132501333</v>
      </c>
      <c r="R45" s="86">
        <f t="shared" ref="R45:AL45" si="16">SUM(R46:R47)</f>
        <v>282.03448262605309</v>
      </c>
      <c r="S45" s="86">
        <f t="shared" si="16"/>
        <v>281.68922268756484</v>
      </c>
      <c r="T45" s="86">
        <f t="shared" si="16"/>
        <v>274.19293641434365</v>
      </c>
      <c r="U45" s="86">
        <f t="shared" si="16"/>
        <v>267.86366459993985</v>
      </c>
      <c r="V45" s="86">
        <f t="shared" si="16"/>
        <v>268.92537386524066</v>
      </c>
      <c r="W45" s="86">
        <f t="shared" si="16"/>
        <v>249.991780568786</v>
      </c>
      <c r="X45" s="86">
        <f t="shared" si="16"/>
        <v>248.8023812918116</v>
      </c>
      <c r="Y45" s="86">
        <f t="shared" si="16"/>
        <v>247.51145070406668</v>
      </c>
      <c r="Z45" s="86">
        <f t="shared" si="16"/>
        <v>245.68398210493422</v>
      </c>
      <c r="AA45" s="86">
        <f t="shared" si="16"/>
        <v>244.50268148595205</v>
      </c>
      <c r="AB45" s="86">
        <f t="shared" si="16"/>
        <v>242.85975347981034</v>
      </c>
      <c r="AC45" s="86">
        <f t="shared" si="16"/>
        <v>241.11163840235409</v>
      </c>
      <c r="AD45" s="86">
        <f t="shared" si="16"/>
        <v>239.33544208792648</v>
      </c>
      <c r="AE45" s="86">
        <f t="shared" si="16"/>
        <v>237.53792740002598</v>
      </c>
      <c r="AF45" s="86">
        <f t="shared" si="16"/>
        <v>235.82016135934214</v>
      </c>
      <c r="AG45" s="86">
        <f t="shared" si="16"/>
        <v>234.23688106093937</v>
      </c>
      <c r="AH45" s="86">
        <f t="shared" si="16"/>
        <v>232.75372815358182</v>
      </c>
      <c r="AI45" s="86">
        <f t="shared" si="16"/>
        <v>231.23035767212289</v>
      </c>
      <c r="AJ45" s="86">
        <f t="shared" si="16"/>
        <v>229.80403187509637</v>
      </c>
      <c r="AK45" s="86">
        <f t="shared" si="16"/>
        <v>228.3858621944338</v>
      </c>
      <c r="AL45" s="86">
        <f t="shared" si="16"/>
        <v>226.94112388341784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</row>
    <row r="46" spans="12:67" x14ac:dyDescent="0.2">
      <c r="L46" s="232" t="str">
        <f>'Occ T3'!A48</f>
        <v>91 Elementary trades and related occupations</v>
      </c>
      <c r="M46" s="11">
        <v>46.555268950397739</v>
      </c>
      <c r="N46" s="11">
        <v>48.657065749630839</v>
      </c>
      <c r="O46" s="11">
        <v>48.30480029492162</v>
      </c>
      <c r="P46" s="11">
        <v>46.899148483925558</v>
      </c>
      <c r="Q46" s="11">
        <v>48.120409616880728</v>
      </c>
      <c r="R46" s="11">
        <v>52.251811311873347</v>
      </c>
      <c r="S46" s="11">
        <v>53.818926356936167</v>
      </c>
      <c r="T46" s="11">
        <v>49.001832989287898</v>
      </c>
      <c r="U46" s="11">
        <v>48.613099224861486</v>
      </c>
      <c r="V46" s="11">
        <v>48.014879756415723</v>
      </c>
      <c r="W46" s="11">
        <v>44.433630888629324</v>
      </c>
      <c r="X46" s="11">
        <v>37.927322514126253</v>
      </c>
      <c r="Y46" s="11">
        <v>37.783076210169924</v>
      </c>
      <c r="Z46" s="11">
        <v>37.634639829769199</v>
      </c>
      <c r="AA46" s="11">
        <v>37.527889633645728</v>
      </c>
      <c r="AB46" s="11">
        <v>37.359177856192218</v>
      </c>
      <c r="AC46" s="11">
        <v>37.152535688208907</v>
      </c>
      <c r="AD46" s="11">
        <v>36.983104430589883</v>
      </c>
      <c r="AE46" s="11">
        <v>36.71275634285702</v>
      </c>
      <c r="AF46" s="11">
        <v>36.436151177302833</v>
      </c>
      <c r="AG46" s="11">
        <v>36.175264101784776</v>
      </c>
      <c r="AH46" s="11">
        <v>35.919173017246642</v>
      </c>
      <c r="AI46" s="11">
        <v>35.652862823220396</v>
      </c>
      <c r="AJ46" s="11">
        <v>35.385563474695772</v>
      </c>
      <c r="AK46" s="11">
        <v>35.117254965388589</v>
      </c>
      <c r="AL46" s="11">
        <v>34.841715927373706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</row>
    <row r="47" spans="12:67" x14ac:dyDescent="0.2">
      <c r="L47" s="232" t="str">
        <f>'Occ T3'!A49</f>
        <v>92 Elementary administration and service occupations</v>
      </c>
      <c r="M47" s="11">
        <v>224.02161081426661</v>
      </c>
      <c r="N47" s="11">
        <v>223.01834506345756</v>
      </c>
      <c r="O47" s="11">
        <v>215.51312792955017</v>
      </c>
      <c r="P47" s="11">
        <v>217.64559873302315</v>
      </c>
      <c r="Q47" s="11">
        <v>220.37018170813258</v>
      </c>
      <c r="R47" s="11">
        <v>229.78267131417977</v>
      </c>
      <c r="S47" s="11">
        <v>227.87029633062866</v>
      </c>
      <c r="T47" s="11">
        <v>225.19110342505576</v>
      </c>
      <c r="U47" s="11">
        <v>219.25056537507834</v>
      </c>
      <c r="V47" s="11">
        <v>220.91049410882496</v>
      </c>
      <c r="W47" s="11">
        <v>205.55814968015667</v>
      </c>
      <c r="X47" s="11">
        <v>210.87505877768535</v>
      </c>
      <c r="Y47" s="11">
        <v>209.72837449389675</v>
      </c>
      <c r="Z47" s="11">
        <v>208.049342275165</v>
      </c>
      <c r="AA47" s="11">
        <v>206.97479185230631</v>
      </c>
      <c r="AB47" s="11">
        <v>205.50057562361812</v>
      </c>
      <c r="AC47" s="11">
        <v>203.95910271414519</v>
      </c>
      <c r="AD47" s="11">
        <v>202.35233765733659</v>
      </c>
      <c r="AE47" s="11">
        <v>200.82517105716894</v>
      </c>
      <c r="AF47" s="11">
        <v>199.3840101820393</v>
      </c>
      <c r="AG47" s="11">
        <v>198.06161695915461</v>
      </c>
      <c r="AH47" s="11">
        <v>196.83455513633518</v>
      </c>
      <c r="AI47" s="11">
        <v>195.57749484890249</v>
      </c>
      <c r="AJ47" s="11">
        <v>194.4184684004006</v>
      </c>
      <c r="AK47" s="11">
        <v>193.26860722904522</v>
      </c>
      <c r="AL47" s="11">
        <v>192.09940795604413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</row>
    <row r="48" spans="12:67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</row>
    <row r="49" spans="1:57" x14ac:dyDescent="0.2">
      <c r="L49" s="16" t="str">
        <f>'Occ T3'!A51</f>
        <v>All occupations</v>
      </c>
      <c r="M49" s="86">
        <f>SUM(M5,M9,M15,M22,M26,M32,M37,M41,M45)</f>
        <v>2141.2189999993911</v>
      </c>
      <c r="N49" s="86">
        <f t="shared" ref="N49:P49" si="17">SUM(N5,N9,N15,N22,N26,N32,N37,N41,N45)</f>
        <v>2185.0599999978303</v>
      </c>
      <c r="O49" s="86">
        <f t="shared" si="17"/>
        <v>2201.4479999979326</v>
      </c>
      <c r="P49" s="86">
        <f t="shared" si="17"/>
        <v>2175.4199999971552</v>
      </c>
      <c r="Q49" s="86">
        <f>SUM(Q5,Q9,Q15,Q22,Q26,Q32,Q37,Q41,Q45)</f>
        <v>2236.6089999992341</v>
      </c>
      <c r="R49" s="86">
        <f t="shared" ref="R49:AL49" si="18">SUM(R5,R9,R15,R22,R26,R32,R37,R41,R45)</f>
        <v>2274.4909999992283</v>
      </c>
      <c r="S49" s="86">
        <f t="shared" si="18"/>
        <v>2332.8719999983909</v>
      </c>
      <c r="T49" s="86">
        <f t="shared" si="18"/>
        <v>2354.7809999996362</v>
      </c>
      <c r="U49" s="86">
        <f t="shared" si="18"/>
        <v>2337.3260000001364</v>
      </c>
      <c r="V49" s="86">
        <f t="shared" si="18"/>
        <v>2405.3839999988058</v>
      </c>
      <c r="W49" s="86">
        <f t="shared" si="18"/>
        <v>2404.2379999983373</v>
      </c>
      <c r="X49" s="86">
        <f t="shared" si="18"/>
        <v>2408.5509999968367</v>
      </c>
      <c r="Y49" s="86">
        <f t="shared" si="18"/>
        <v>2412.450000001204</v>
      </c>
      <c r="Z49" s="86">
        <f t="shared" si="18"/>
        <v>2420.8100000012028</v>
      </c>
      <c r="AA49" s="86">
        <f t="shared" si="18"/>
        <v>2433.891000001026</v>
      </c>
      <c r="AB49" s="86">
        <f t="shared" si="18"/>
        <v>2442.8000000046995</v>
      </c>
      <c r="AC49" s="86">
        <f t="shared" si="18"/>
        <v>2450.1910000041566</v>
      </c>
      <c r="AD49" s="86">
        <f t="shared" si="18"/>
        <v>2456.6360000045706</v>
      </c>
      <c r="AE49" s="86">
        <f t="shared" si="18"/>
        <v>2463.0490000039376</v>
      </c>
      <c r="AF49" s="86">
        <f t="shared" si="18"/>
        <v>2469.3920000047265</v>
      </c>
      <c r="AG49" s="86">
        <f t="shared" si="18"/>
        <v>2476.5230000049442</v>
      </c>
      <c r="AH49" s="86">
        <f t="shared" si="18"/>
        <v>2483.3790000042573</v>
      </c>
      <c r="AI49" s="86">
        <f t="shared" si="18"/>
        <v>2490.1680000047327</v>
      </c>
      <c r="AJ49" s="86">
        <f t="shared" si="18"/>
        <v>2497.0950000050548</v>
      </c>
      <c r="AK49" s="86">
        <f t="shared" si="18"/>
        <v>2503.8960000046191</v>
      </c>
      <c r="AL49" s="86">
        <f t="shared" si="18"/>
        <v>2510.6939999992715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</row>
    <row r="50" spans="1:57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</row>
    <row r="51" spans="1:57" x14ac:dyDescent="0.2">
      <c r="L51" s="1" t="s">
        <v>61</v>
      </c>
      <c r="M51" s="47">
        <f>M4</f>
        <v>2010</v>
      </c>
      <c r="N51" s="47">
        <f t="shared" ref="N51:AL51" si="19">N4</f>
        <v>2011</v>
      </c>
      <c r="O51" s="47">
        <f t="shared" si="19"/>
        <v>2012</v>
      </c>
      <c r="P51" s="47">
        <f t="shared" si="19"/>
        <v>2013</v>
      </c>
      <c r="Q51" s="47">
        <f t="shared" si="19"/>
        <v>2014</v>
      </c>
      <c r="R51" s="47">
        <f t="shared" si="19"/>
        <v>2015</v>
      </c>
      <c r="S51" s="47">
        <f t="shared" si="19"/>
        <v>2016</v>
      </c>
      <c r="T51" s="47">
        <f t="shared" si="19"/>
        <v>2017</v>
      </c>
      <c r="U51" s="47">
        <f t="shared" si="19"/>
        <v>2018</v>
      </c>
      <c r="V51" s="47">
        <f t="shared" si="19"/>
        <v>2019</v>
      </c>
      <c r="W51" s="47">
        <f t="shared" si="19"/>
        <v>2020</v>
      </c>
      <c r="X51" s="47">
        <f t="shared" si="19"/>
        <v>2021</v>
      </c>
      <c r="Y51" s="47">
        <f t="shared" si="19"/>
        <v>2022</v>
      </c>
      <c r="Z51" s="47">
        <f t="shared" si="19"/>
        <v>2023</v>
      </c>
      <c r="AA51" s="47">
        <f t="shared" si="19"/>
        <v>2024</v>
      </c>
      <c r="AB51" s="47">
        <f t="shared" si="19"/>
        <v>2025</v>
      </c>
      <c r="AC51" s="47">
        <f t="shared" si="19"/>
        <v>2026</v>
      </c>
      <c r="AD51" s="47">
        <f t="shared" si="19"/>
        <v>2027</v>
      </c>
      <c r="AE51" s="47">
        <f t="shared" si="19"/>
        <v>2028</v>
      </c>
      <c r="AF51" s="47">
        <f t="shared" si="19"/>
        <v>2029</v>
      </c>
      <c r="AG51" s="47">
        <f t="shared" si="19"/>
        <v>2030</v>
      </c>
      <c r="AH51" s="47">
        <f t="shared" si="19"/>
        <v>2031</v>
      </c>
      <c r="AI51" s="47">
        <f t="shared" si="19"/>
        <v>2032</v>
      </c>
      <c r="AJ51" s="47">
        <f t="shared" si="19"/>
        <v>2033</v>
      </c>
      <c r="AK51" s="47">
        <f t="shared" si="19"/>
        <v>2034</v>
      </c>
      <c r="AL51" s="47">
        <f t="shared" si="19"/>
        <v>2035</v>
      </c>
    </row>
    <row r="52" spans="1:57" x14ac:dyDescent="0.2">
      <c r="L52" s="16" t="str">
        <f>'Occ T3'!A7</f>
        <v>Managers, directors and senior officials</v>
      </c>
      <c r="M52" s="336">
        <f>M5/M$49</f>
        <v>8.4635550846284643E-2</v>
      </c>
      <c r="N52" s="336">
        <f t="shared" ref="N52:AG52" si="20">N5/N$49</f>
        <v>9.117038216284494E-2</v>
      </c>
      <c r="O52" s="336">
        <f t="shared" si="20"/>
        <v>9.3339483264647402E-2</v>
      </c>
      <c r="P52" s="336">
        <f t="shared" si="20"/>
        <v>9.2413261536552646E-2</v>
      </c>
      <c r="Q52" s="336">
        <f t="shared" si="20"/>
        <v>9.2209852740563703E-2</v>
      </c>
      <c r="R52" s="336">
        <f t="shared" si="20"/>
        <v>9.3632793674217757E-2</v>
      </c>
      <c r="S52" s="336">
        <f t="shared" si="20"/>
        <v>9.5233262677092451E-2</v>
      </c>
      <c r="T52" s="336">
        <f t="shared" si="20"/>
        <v>9.8159869204110226E-2</v>
      </c>
      <c r="U52" s="336">
        <f t="shared" si="20"/>
        <v>9.844934308662541E-2</v>
      </c>
      <c r="V52" s="336">
        <f t="shared" si="20"/>
        <v>0.10451714830859139</v>
      </c>
      <c r="W52" s="336">
        <f t="shared" si="20"/>
        <v>0.10880742168913464</v>
      </c>
      <c r="X52" s="336">
        <f t="shared" si="20"/>
        <v>0.10573890095873048</v>
      </c>
      <c r="Y52" s="336">
        <f t="shared" si="20"/>
        <v>0.10664139183894589</v>
      </c>
      <c r="Z52" s="336">
        <f t="shared" si="20"/>
        <v>0.10748151624051808</v>
      </c>
      <c r="AA52" s="336">
        <f t="shared" si="20"/>
        <v>0.10831648867516878</v>
      </c>
      <c r="AB52" s="336">
        <f t="shared" si="20"/>
        <v>0.10915059923755782</v>
      </c>
      <c r="AC52" s="336">
        <f t="shared" si="20"/>
        <v>0.11000458476554345</v>
      </c>
      <c r="AD52" s="336">
        <f t="shared" si="20"/>
        <v>0.11090290024882167</v>
      </c>
      <c r="AE52" s="336">
        <f t="shared" si="20"/>
        <v>0.11177524390432321</v>
      </c>
      <c r="AF52" s="336">
        <f t="shared" si="20"/>
        <v>0.11263948273991367</v>
      </c>
      <c r="AG52" s="336">
        <f t="shared" si="20"/>
        <v>0.11352439552280338</v>
      </c>
      <c r="AH52" s="336">
        <f t="shared" ref="AH52:AL52" si="21">AH5/AH$49</f>
        <v>0.11443212642777645</v>
      </c>
      <c r="AI52" s="336">
        <f t="shared" si="21"/>
        <v>0.11530060110790996</v>
      </c>
      <c r="AJ52" s="336">
        <f t="shared" si="21"/>
        <v>0.11617236490811844</v>
      </c>
      <c r="AK52" s="336">
        <f t="shared" si="21"/>
        <v>0.11709052610304158</v>
      </c>
      <c r="AL52" s="336">
        <f t="shared" si="21"/>
        <v>0.1180337350418937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</row>
    <row r="53" spans="1:57" x14ac:dyDescent="0.2">
      <c r="L53" s="232" t="str">
        <f>'Occ T3'!A8</f>
        <v>11 Corporate managers and directors</v>
      </c>
      <c r="M53" s="335">
        <f t="shared" ref="M53:AG53" si="22">M6/M$49</f>
        <v>5.6678952035138404E-2</v>
      </c>
      <c r="N53" s="335">
        <f t="shared" si="22"/>
        <v>6.1037777897470814E-2</v>
      </c>
      <c r="O53" s="335">
        <f t="shared" si="22"/>
        <v>6.2522215846749774E-2</v>
      </c>
      <c r="P53" s="335">
        <f t="shared" si="22"/>
        <v>6.2027143154390646E-2</v>
      </c>
      <c r="Q53" s="335">
        <f t="shared" si="22"/>
        <v>6.0201820345219599E-2</v>
      </c>
      <c r="R53" s="335">
        <f t="shared" si="22"/>
        <v>6.316052956915022E-2</v>
      </c>
      <c r="S53" s="335">
        <f t="shared" si="22"/>
        <v>6.6305019441164278E-2</v>
      </c>
      <c r="T53" s="335">
        <f t="shared" si="22"/>
        <v>6.7789152784649462E-2</v>
      </c>
      <c r="U53" s="335">
        <f t="shared" si="22"/>
        <v>6.8911334259786697E-2</v>
      </c>
      <c r="V53" s="335">
        <f t="shared" si="22"/>
        <v>7.2428885476590626E-2</v>
      </c>
      <c r="W53" s="335">
        <f t="shared" si="22"/>
        <v>7.5395321704953916E-2</v>
      </c>
      <c r="X53" s="335">
        <f t="shared" si="22"/>
        <v>6.7009105028574545E-2</v>
      </c>
      <c r="Y53" s="335">
        <f t="shared" si="22"/>
        <v>6.7472809184553464E-2</v>
      </c>
      <c r="Z53" s="335">
        <f t="shared" si="22"/>
        <v>6.7887205976496834E-2</v>
      </c>
      <c r="AA53" s="335">
        <f t="shared" si="22"/>
        <v>6.8273285636848938E-2</v>
      </c>
      <c r="AB53" s="335">
        <f t="shared" si="22"/>
        <v>6.8671221512811284E-2</v>
      </c>
      <c r="AC53" s="335">
        <f t="shared" si="22"/>
        <v>6.9078960895821287E-2</v>
      </c>
      <c r="AD53" s="335">
        <f t="shared" si="22"/>
        <v>6.9494711231369577E-2</v>
      </c>
      <c r="AE53" s="335">
        <f t="shared" si="22"/>
        <v>6.9903261309069001E-2</v>
      </c>
      <c r="AF53" s="335">
        <f t="shared" si="22"/>
        <v>7.0314909820648155E-2</v>
      </c>
      <c r="AG53" s="335">
        <f t="shared" si="22"/>
        <v>7.0738902054302236E-2</v>
      </c>
      <c r="AH53" s="335">
        <f t="shared" ref="AH53:AL53" si="23">AH6/AH$49</f>
        <v>7.1160514965562749E-2</v>
      </c>
      <c r="AI53" s="335">
        <f t="shared" si="23"/>
        <v>7.1564300647410248E-2</v>
      </c>
      <c r="AJ53" s="335">
        <f t="shared" si="23"/>
        <v>7.1969639433180313E-2</v>
      </c>
      <c r="AK53" s="335">
        <f t="shared" si="23"/>
        <v>7.2406710431594648E-2</v>
      </c>
      <c r="AL53" s="335">
        <f t="shared" si="23"/>
        <v>7.2855680968112818E-2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</row>
    <row r="54" spans="1:57" x14ac:dyDescent="0.2">
      <c r="L54" s="232" t="str">
        <f>'Occ T3'!A9</f>
        <v>12 Other managers and proprietors</v>
      </c>
      <c r="M54" s="335">
        <f t="shared" ref="M54:AG54" si="24">M7/M$49</f>
        <v>2.7956598811146233E-2</v>
      </c>
      <c r="N54" s="335">
        <f t="shared" si="24"/>
        <v>3.0132604265374119E-2</v>
      </c>
      <c r="O54" s="335">
        <f t="shared" si="24"/>
        <v>3.0817267417897629E-2</v>
      </c>
      <c r="P54" s="335">
        <f t="shared" si="24"/>
        <v>3.0386118382162E-2</v>
      </c>
      <c r="Q54" s="335">
        <f t="shared" si="24"/>
        <v>3.2008032395344103E-2</v>
      </c>
      <c r="R54" s="335">
        <f t="shared" si="24"/>
        <v>3.0472264105067537E-2</v>
      </c>
      <c r="S54" s="335">
        <f t="shared" si="24"/>
        <v>2.8928243235928169E-2</v>
      </c>
      <c r="T54" s="335">
        <f t="shared" si="24"/>
        <v>3.0370716419460771E-2</v>
      </c>
      <c r="U54" s="335">
        <f t="shared" si="24"/>
        <v>2.9538008826838717E-2</v>
      </c>
      <c r="V54" s="335">
        <f t="shared" si="24"/>
        <v>3.2088262832000773E-2</v>
      </c>
      <c r="W54" s="335">
        <f t="shared" si="24"/>
        <v>3.3412099984180745E-2</v>
      </c>
      <c r="X54" s="335">
        <f t="shared" si="24"/>
        <v>3.8729795930155936E-2</v>
      </c>
      <c r="Y54" s="335">
        <f t="shared" si="24"/>
        <v>3.9168582654392409E-2</v>
      </c>
      <c r="Z54" s="335">
        <f t="shared" si="24"/>
        <v>3.9594310264021236E-2</v>
      </c>
      <c r="AA54" s="335">
        <f t="shared" si="24"/>
        <v>4.0043203038319854E-2</v>
      </c>
      <c r="AB54" s="335">
        <f t="shared" si="24"/>
        <v>4.0479377724746538E-2</v>
      </c>
      <c r="AC54" s="335">
        <f t="shared" si="24"/>
        <v>4.0925623869722164E-2</v>
      </c>
      <c r="AD54" s="335">
        <f t="shared" si="24"/>
        <v>4.14081890174521E-2</v>
      </c>
      <c r="AE54" s="335">
        <f t="shared" si="24"/>
        <v>4.1871982595254216E-2</v>
      </c>
      <c r="AF54" s="335">
        <f t="shared" si="24"/>
        <v>4.2324572919265502E-2</v>
      </c>
      <c r="AG54" s="335">
        <f t="shared" si="24"/>
        <v>4.2785493468501148E-2</v>
      </c>
      <c r="AH54" s="335">
        <f t="shared" ref="AH54:AL54" si="25">AH7/AH$49</f>
        <v>4.3271611462213692E-2</v>
      </c>
      <c r="AI54" s="335">
        <f t="shared" si="25"/>
        <v>4.3736300460499727E-2</v>
      </c>
      <c r="AJ54" s="335">
        <f t="shared" si="25"/>
        <v>4.4202725474938122E-2</v>
      </c>
      <c r="AK54" s="335">
        <f t="shared" si="25"/>
        <v>4.4683815671446928E-2</v>
      </c>
      <c r="AL54" s="335">
        <f t="shared" si="25"/>
        <v>4.5178054073780873E-2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</row>
    <row r="55" spans="1:57" x14ac:dyDescent="0.2">
      <c r="L55" s="232"/>
      <c r="M55" s="335"/>
      <c r="N55" s="335"/>
      <c r="O55" s="335"/>
      <c r="P55" s="335"/>
      <c r="Q55" s="335"/>
      <c r="R55" s="335"/>
      <c r="S55" s="335"/>
      <c r="T55" s="335"/>
      <c r="U55" s="335"/>
      <c r="V55" s="335"/>
      <c r="W55" s="335"/>
      <c r="X55" s="335"/>
      <c r="Y55" s="335"/>
      <c r="Z55" s="335"/>
      <c r="AA55" s="335"/>
      <c r="AB55" s="335"/>
      <c r="AC55" s="335"/>
      <c r="AD55" s="335"/>
      <c r="AE55" s="335"/>
      <c r="AF55" s="335"/>
      <c r="AG55" s="335"/>
      <c r="AH55" s="335"/>
      <c r="AI55" s="335"/>
      <c r="AJ55" s="335"/>
      <c r="AK55" s="335"/>
      <c r="AL55" s="335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</row>
    <row r="56" spans="1:57" x14ac:dyDescent="0.2">
      <c r="L56" s="16" t="str">
        <f>'Occ T3'!A11</f>
        <v>Professional occupations</v>
      </c>
      <c r="M56" s="336">
        <f t="shared" ref="M56:AG56" si="26">M9/M$49</f>
        <v>0.18016716180814513</v>
      </c>
      <c r="N56" s="336">
        <f t="shared" si="26"/>
        <v>0.17365748335573541</v>
      </c>
      <c r="O56" s="336">
        <f t="shared" si="26"/>
        <v>0.17395317576087363</v>
      </c>
      <c r="P56" s="336">
        <f t="shared" si="26"/>
        <v>0.17701237734576811</v>
      </c>
      <c r="Q56" s="336">
        <f t="shared" si="26"/>
        <v>0.18266378955992937</v>
      </c>
      <c r="R56" s="336">
        <f t="shared" si="26"/>
        <v>0.17653246370500775</v>
      </c>
      <c r="S56" s="336">
        <f t="shared" si="26"/>
        <v>0.18169272787272228</v>
      </c>
      <c r="T56" s="336">
        <f t="shared" si="26"/>
        <v>0.17944722636233285</v>
      </c>
      <c r="U56" s="336">
        <f t="shared" si="26"/>
        <v>0.18849962841870233</v>
      </c>
      <c r="V56" s="336">
        <f t="shared" si="26"/>
        <v>0.193834671990777</v>
      </c>
      <c r="W56" s="336">
        <f t="shared" si="26"/>
        <v>0.20609280163248414</v>
      </c>
      <c r="X56" s="336">
        <f t="shared" si="26"/>
        <v>0.21035939554850877</v>
      </c>
      <c r="Y56" s="336">
        <f t="shared" si="26"/>
        <v>0.21155809721737548</v>
      </c>
      <c r="Z56" s="336">
        <f t="shared" si="26"/>
        <v>0.2131642842303533</v>
      </c>
      <c r="AA56" s="336">
        <f t="shared" si="26"/>
        <v>0.2146614810717101</v>
      </c>
      <c r="AB56" s="336">
        <f t="shared" si="26"/>
        <v>0.21612884492067433</v>
      </c>
      <c r="AC56" s="336">
        <f t="shared" si="26"/>
        <v>0.21761401775952566</v>
      </c>
      <c r="AD56" s="336">
        <f t="shared" si="26"/>
        <v>0.21916363908898501</v>
      </c>
      <c r="AE56" s="336">
        <f t="shared" si="26"/>
        <v>0.22076310066892893</v>
      </c>
      <c r="AF56" s="336">
        <f t="shared" si="26"/>
        <v>0.22234556273525263</v>
      </c>
      <c r="AG56" s="336">
        <f t="shared" si="26"/>
        <v>0.22399305433311215</v>
      </c>
      <c r="AH56" s="336">
        <f t="shared" ref="AH56:AL56" si="27">AH9/AH$49</f>
        <v>0.22561067010405914</v>
      </c>
      <c r="AI56" s="336">
        <f t="shared" si="27"/>
        <v>0.22713458463692193</v>
      </c>
      <c r="AJ56" s="336">
        <f t="shared" si="27"/>
        <v>0.22864924578226933</v>
      </c>
      <c r="AK56" s="336">
        <f t="shared" si="27"/>
        <v>0.23017653592493101</v>
      </c>
      <c r="AL56" s="336">
        <f t="shared" si="27"/>
        <v>0.23176151735790415</v>
      </c>
    </row>
    <row r="57" spans="1:57" x14ac:dyDescent="0.2">
      <c r="L57" s="232" t="str">
        <f>'Occ T3'!A12</f>
        <v>21 Science, research, engineering and technology professionals</v>
      </c>
      <c r="M57" s="335">
        <f t="shared" ref="M57:AG57" si="28">M10/M$49</f>
        <v>5.2055178345538251E-2</v>
      </c>
      <c r="N57" s="335">
        <f t="shared" si="28"/>
        <v>4.7732811592527589E-2</v>
      </c>
      <c r="O57" s="335">
        <f t="shared" si="28"/>
        <v>4.8284387467424701E-2</v>
      </c>
      <c r="P57" s="335">
        <f t="shared" si="28"/>
        <v>4.9386913717749364E-2</v>
      </c>
      <c r="Q57" s="335">
        <f t="shared" si="28"/>
        <v>5.1596036965228881E-2</v>
      </c>
      <c r="R57" s="335">
        <f t="shared" si="28"/>
        <v>5.1956023906565722E-2</v>
      </c>
      <c r="S57" s="335">
        <f t="shared" si="28"/>
        <v>5.2903350346752247E-2</v>
      </c>
      <c r="T57" s="335">
        <f t="shared" si="28"/>
        <v>5.2155138197303885E-2</v>
      </c>
      <c r="U57" s="335">
        <f t="shared" si="28"/>
        <v>5.653182117582612E-2</v>
      </c>
      <c r="V57" s="335">
        <f t="shared" si="28"/>
        <v>5.7924011261559577E-2</v>
      </c>
      <c r="W57" s="335">
        <f t="shared" si="28"/>
        <v>6.0789712980726329E-2</v>
      </c>
      <c r="X57" s="335">
        <f t="shared" si="28"/>
        <v>6.0919998687260959E-2</v>
      </c>
      <c r="Y57" s="335">
        <f t="shared" si="28"/>
        <v>6.1452430415099728E-2</v>
      </c>
      <c r="Z57" s="335">
        <f t="shared" si="28"/>
        <v>6.2037367733761353E-2</v>
      </c>
      <c r="AA57" s="335">
        <f t="shared" si="28"/>
        <v>6.2568972977394444E-2</v>
      </c>
      <c r="AB57" s="335">
        <f t="shared" si="28"/>
        <v>6.3091305185858385E-2</v>
      </c>
      <c r="AC57" s="335">
        <f t="shared" si="28"/>
        <v>6.3605933311362967E-2</v>
      </c>
      <c r="AD57" s="335">
        <f t="shared" si="28"/>
        <v>6.4118718875621108E-2</v>
      </c>
      <c r="AE57" s="335">
        <f t="shared" si="28"/>
        <v>6.4657390621492616E-2</v>
      </c>
      <c r="AF57" s="335">
        <f t="shared" si="28"/>
        <v>6.5194035789418098E-2</v>
      </c>
      <c r="AG57" s="335">
        <f t="shared" si="28"/>
        <v>6.5740031574279031E-2</v>
      </c>
      <c r="AH57" s="335">
        <f t="shared" ref="AH57:AL57" si="29">AH10/AH$49</f>
        <v>6.6286544589039653E-2</v>
      </c>
      <c r="AI57" s="335">
        <f t="shared" si="29"/>
        <v>6.6822317009340285E-2</v>
      </c>
      <c r="AJ57" s="335">
        <f t="shared" si="29"/>
        <v>6.7351259337881914E-2</v>
      </c>
      <c r="AK57" s="335">
        <f t="shared" si="29"/>
        <v>6.7889369799567792E-2</v>
      </c>
      <c r="AL57" s="335">
        <f t="shared" si="29"/>
        <v>6.8439174961993351E-2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</row>
    <row r="58" spans="1:57" x14ac:dyDescent="0.2">
      <c r="L58" s="232" t="str">
        <f>'Occ T3'!A13</f>
        <v>22 Health professionals</v>
      </c>
      <c r="M58" s="335">
        <f t="shared" ref="M58:AG58" si="30">M11/M$49</f>
        <v>3.5380264832612182E-2</v>
      </c>
      <c r="N58" s="335">
        <f t="shared" si="30"/>
        <v>3.7073977646755386E-2</v>
      </c>
      <c r="O58" s="335">
        <f t="shared" si="30"/>
        <v>3.7898719782039507E-2</v>
      </c>
      <c r="P58" s="335">
        <f t="shared" si="30"/>
        <v>3.7400117162952988E-2</v>
      </c>
      <c r="Q58" s="335">
        <f t="shared" si="30"/>
        <v>3.840779185584451E-2</v>
      </c>
      <c r="R58" s="335">
        <f t="shared" si="30"/>
        <v>3.7345274263441926E-2</v>
      </c>
      <c r="S58" s="335">
        <f t="shared" si="30"/>
        <v>3.8651153559839779E-2</v>
      </c>
      <c r="T58" s="335">
        <f t="shared" si="30"/>
        <v>4.0958901548167642E-2</v>
      </c>
      <c r="U58" s="335">
        <f t="shared" si="30"/>
        <v>4.0963393468667855E-2</v>
      </c>
      <c r="V58" s="335">
        <f t="shared" si="30"/>
        <v>4.0645045919257217E-2</v>
      </c>
      <c r="W58" s="335">
        <f t="shared" si="30"/>
        <v>4.0627179217852388E-2</v>
      </c>
      <c r="X58" s="335">
        <f t="shared" si="30"/>
        <v>4.1844163184719639E-2</v>
      </c>
      <c r="Y58" s="335">
        <f t="shared" si="30"/>
        <v>4.2153489698059765E-2</v>
      </c>
      <c r="Z58" s="335">
        <f t="shared" si="30"/>
        <v>4.2491138523196817E-2</v>
      </c>
      <c r="AA58" s="335">
        <f t="shared" si="30"/>
        <v>4.2781617545751167E-2</v>
      </c>
      <c r="AB58" s="335">
        <f t="shared" si="30"/>
        <v>4.3043630053212045E-2</v>
      </c>
      <c r="AC58" s="335">
        <f t="shared" si="30"/>
        <v>4.3292514318949524E-2</v>
      </c>
      <c r="AD58" s="335">
        <f t="shared" si="30"/>
        <v>4.3596623139142802E-2</v>
      </c>
      <c r="AE58" s="335">
        <f t="shared" si="30"/>
        <v>4.3892221903055424E-2</v>
      </c>
      <c r="AF58" s="335">
        <f t="shared" si="30"/>
        <v>4.4140496684576681E-2</v>
      </c>
      <c r="AG58" s="335">
        <f t="shared" si="30"/>
        <v>4.4407589453467303E-2</v>
      </c>
      <c r="AH58" s="335">
        <f t="shared" ref="AH58:AL58" si="31">AH11/AH$49</f>
        <v>4.4658864242750583E-2</v>
      </c>
      <c r="AI58" s="335">
        <f t="shared" si="31"/>
        <v>4.4914923547079232E-2</v>
      </c>
      <c r="AJ58" s="335">
        <f t="shared" si="31"/>
        <v>4.5158557309699227E-2</v>
      </c>
      <c r="AK58" s="335">
        <f t="shared" si="31"/>
        <v>4.5391730009076904E-2</v>
      </c>
      <c r="AL58" s="335">
        <f t="shared" si="31"/>
        <v>4.5665875860567626E-2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</row>
    <row r="59" spans="1:57" ht="15.75" x14ac:dyDescent="0.25">
      <c r="A59" s="79" t="str">
        <f>CONCATENATE("Occupation Figure 2.1  Employment by Occupation (% shares), ",$M$2,"-",$O$2,", ",Info!B5)</f>
        <v>Occupation Figure 2.1  Employment by Occupation (% shares), 2010-2035, East Midlands</v>
      </c>
      <c r="L59" s="232" t="str">
        <f>'Occ T3'!A14</f>
        <v>23 Teaching and other educational professionals</v>
      </c>
      <c r="M59" s="335">
        <f t="shared" ref="M59:AG59" si="32">M12/M$49</f>
        <v>3.7540850620202904E-2</v>
      </c>
      <c r="N59" s="335">
        <f t="shared" si="32"/>
        <v>3.752302235362804E-2</v>
      </c>
      <c r="O59" s="335">
        <f t="shared" si="32"/>
        <v>3.8133525458185928E-2</v>
      </c>
      <c r="P59" s="335">
        <f t="shared" si="32"/>
        <v>3.8536573519652027E-2</v>
      </c>
      <c r="Q59" s="335">
        <f t="shared" si="32"/>
        <v>3.8160355169804025E-2</v>
      </c>
      <c r="R59" s="335">
        <f t="shared" si="32"/>
        <v>3.6201832076141055E-2</v>
      </c>
      <c r="S59" s="335">
        <f t="shared" si="32"/>
        <v>3.5761355907018205E-2</v>
      </c>
      <c r="T59" s="335">
        <f t="shared" si="32"/>
        <v>3.379062725074352E-2</v>
      </c>
      <c r="U59" s="335">
        <f t="shared" si="32"/>
        <v>3.5097385563218765E-2</v>
      </c>
      <c r="V59" s="335">
        <f t="shared" si="32"/>
        <v>3.7201105413028623E-2</v>
      </c>
      <c r="W59" s="335">
        <f t="shared" si="32"/>
        <v>3.880184779930744E-2</v>
      </c>
      <c r="X59" s="335">
        <f t="shared" si="32"/>
        <v>3.8312097079581352E-2</v>
      </c>
      <c r="Y59" s="335">
        <f t="shared" si="32"/>
        <v>3.8027415907469171E-2</v>
      </c>
      <c r="Z59" s="335">
        <f t="shared" si="32"/>
        <v>3.7986393432475875E-2</v>
      </c>
      <c r="AA59" s="335">
        <f t="shared" si="32"/>
        <v>3.7954479367326738E-2</v>
      </c>
      <c r="AB59" s="335">
        <f t="shared" si="32"/>
        <v>3.7949899428420232E-2</v>
      </c>
      <c r="AC59" s="335">
        <f t="shared" si="32"/>
        <v>3.7966584815965432E-2</v>
      </c>
      <c r="AD59" s="335">
        <f t="shared" si="32"/>
        <v>3.7990476710752119E-2</v>
      </c>
      <c r="AE59" s="335">
        <f t="shared" si="32"/>
        <v>3.8046814191375955E-2</v>
      </c>
      <c r="AF59" s="335">
        <f t="shared" si="32"/>
        <v>3.8120636705723146E-2</v>
      </c>
      <c r="AG59" s="335">
        <f t="shared" si="32"/>
        <v>3.8227113719591567E-2</v>
      </c>
      <c r="AH59" s="335">
        <f t="shared" ref="AH59:AL59" si="33">AH12/AH$49</f>
        <v>3.8294269679868646E-2</v>
      </c>
      <c r="AI59" s="335">
        <f t="shared" si="33"/>
        <v>3.8338057404204665E-2</v>
      </c>
      <c r="AJ59" s="335">
        <f t="shared" si="33"/>
        <v>3.8380593801025473E-2</v>
      </c>
      <c r="AK59" s="335">
        <f t="shared" si="33"/>
        <v>3.8423118262555206E-2</v>
      </c>
      <c r="AL59" s="335">
        <f t="shared" si="33"/>
        <v>3.8466020451973441E-2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</row>
    <row r="60" spans="1:57" x14ac:dyDescent="0.2">
      <c r="L60" s="232" t="str">
        <f>'Occ T3'!A15</f>
        <v>24 Business, media and public service professionals</v>
      </c>
      <c r="M60" s="335">
        <f t="shared" ref="M60:AG60" si="34">M13/M$49</f>
        <v>5.5190868009791796E-2</v>
      </c>
      <c r="N60" s="335">
        <f t="shared" si="34"/>
        <v>5.1327671762824413E-2</v>
      </c>
      <c r="O60" s="335">
        <f t="shared" si="34"/>
        <v>4.9636543053223493E-2</v>
      </c>
      <c r="P60" s="335">
        <f t="shared" si="34"/>
        <v>5.1688772945413727E-2</v>
      </c>
      <c r="Q60" s="335">
        <f t="shared" si="34"/>
        <v>5.4499605569051958E-2</v>
      </c>
      <c r="R60" s="335">
        <f t="shared" si="34"/>
        <v>5.1029333458859044E-2</v>
      </c>
      <c r="S60" s="335">
        <f t="shared" si="34"/>
        <v>5.437686805911203E-2</v>
      </c>
      <c r="T60" s="335">
        <f t="shared" si="34"/>
        <v>5.2542559366117798E-2</v>
      </c>
      <c r="U60" s="335">
        <f t="shared" si="34"/>
        <v>5.5907028210989543E-2</v>
      </c>
      <c r="V60" s="335">
        <f t="shared" si="34"/>
        <v>5.8064509396931613E-2</v>
      </c>
      <c r="W60" s="335">
        <f t="shared" si="34"/>
        <v>6.5874061634597955E-2</v>
      </c>
      <c r="X60" s="335">
        <f t="shared" si="34"/>
        <v>6.9283136596946848E-2</v>
      </c>
      <c r="Y60" s="335">
        <f t="shared" si="34"/>
        <v>6.9924761196746801E-2</v>
      </c>
      <c r="Z60" s="335">
        <f t="shared" si="34"/>
        <v>7.0649384540919249E-2</v>
      </c>
      <c r="AA60" s="335">
        <f t="shared" si="34"/>
        <v>7.1356411181237756E-2</v>
      </c>
      <c r="AB60" s="335">
        <f t="shared" si="34"/>
        <v>7.2044010253183688E-2</v>
      </c>
      <c r="AC60" s="335">
        <f t="shared" si="34"/>
        <v>7.2748985313247763E-2</v>
      </c>
      <c r="AD60" s="335">
        <f t="shared" si="34"/>
        <v>7.3457820363468956E-2</v>
      </c>
      <c r="AE60" s="335">
        <f t="shared" si="34"/>
        <v>7.4166673953004927E-2</v>
      </c>
      <c r="AF60" s="335">
        <f t="shared" si="34"/>
        <v>7.4890393555534687E-2</v>
      </c>
      <c r="AG60" s="335">
        <f t="shared" si="34"/>
        <v>7.5618319585774238E-2</v>
      </c>
      <c r="AH60" s="335">
        <f t="shared" ref="AH60:AL60" si="35">AH13/AH$49</f>
        <v>7.6370991592400253E-2</v>
      </c>
      <c r="AI60" s="335">
        <f t="shared" si="35"/>
        <v>7.7059286676297772E-2</v>
      </c>
      <c r="AJ60" s="335">
        <f t="shared" si="35"/>
        <v>7.7758835333662721E-2</v>
      </c>
      <c r="AK60" s="335">
        <f t="shared" si="35"/>
        <v>7.8472317853731086E-2</v>
      </c>
      <c r="AL60" s="335">
        <f t="shared" si="35"/>
        <v>7.9190446083369739E-2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</row>
    <row r="61" spans="1:57" x14ac:dyDescent="0.2">
      <c r="L61" s="232"/>
      <c r="M61" s="335"/>
      <c r="N61" s="335"/>
      <c r="O61" s="335"/>
      <c r="P61" s="335"/>
      <c r="Q61" s="335"/>
      <c r="R61" s="335"/>
      <c r="S61" s="335"/>
      <c r="T61" s="335"/>
      <c r="U61" s="335"/>
      <c r="V61" s="335"/>
      <c r="W61" s="335"/>
      <c r="X61" s="335"/>
      <c r="Y61" s="335"/>
      <c r="Z61" s="335"/>
      <c r="AA61" s="335"/>
      <c r="AB61" s="335"/>
      <c r="AC61" s="335"/>
      <c r="AD61" s="335"/>
      <c r="AE61" s="335"/>
      <c r="AF61" s="335"/>
      <c r="AG61" s="335"/>
      <c r="AH61" s="335"/>
      <c r="AI61" s="335"/>
      <c r="AJ61" s="335"/>
      <c r="AK61" s="335"/>
      <c r="AL61" s="335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</row>
    <row r="62" spans="1:57" x14ac:dyDescent="0.2">
      <c r="L62" s="16" t="str">
        <f>'Occ T3'!A17</f>
        <v>Associate professional occupations</v>
      </c>
      <c r="M62" s="336">
        <f t="shared" ref="M62:AG62" si="36">M15/M$49</f>
        <v>0.109625320521984</v>
      </c>
      <c r="N62" s="336">
        <f t="shared" si="36"/>
        <v>0.11100467450087602</v>
      </c>
      <c r="O62" s="336">
        <f t="shared" si="36"/>
        <v>0.11247873026285793</v>
      </c>
      <c r="P62" s="336">
        <f t="shared" si="36"/>
        <v>0.10993125300944316</v>
      </c>
      <c r="Q62" s="336">
        <f t="shared" si="36"/>
        <v>0.11190188117138788</v>
      </c>
      <c r="R62" s="336">
        <f t="shared" si="36"/>
        <v>0.11188729239702502</v>
      </c>
      <c r="S62" s="336">
        <f t="shared" si="36"/>
        <v>0.11105675679509559</v>
      </c>
      <c r="T62" s="336">
        <f t="shared" si="36"/>
        <v>0.11447198272074209</v>
      </c>
      <c r="U62" s="336">
        <f t="shared" si="36"/>
        <v>0.11556743435413394</v>
      </c>
      <c r="V62" s="336">
        <f t="shared" si="36"/>
        <v>0.11546337695880682</v>
      </c>
      <c r="W62" s="336">
        <f t="shared" si="36"/>
        <v>0.12201840206100033</v>
      </c>
      <c r="X62" s="336">
        <f t="shared" si="36"/>
        <v>0.11436097613295461</v>
      </c>
      <c r="Y62" s="336">
        <f t="shared" si="36"/>
        <v>0.11481435277228161</v>
      </c>
      <c r="Z62" s="336">
        <f t="shared" si="36"/>
        <v>0.11536643297429866</v>
      </c>
      <c r="AA62" s="336">
        <f t="shared" si="36"/>
        <v>0.11594561101331891</v>
      </c>
      <c r="AB62" s="336">
        <f t="shared" si="36"/>
        <v>0.11643211593245666</v>
      </c>
      <c r="AC62" s="336">
        <f t="shared" si="36"/>
        <v>0.11689004933970079</v>
      </c>
      <c r="AD62" s="336">
        <f t="shared" si="36"/>
        <v>0.1173324404111591</v>
      </c>
      <c r="AE62" s="336">
        <f t="shared" si="36"/>
        <v>0.11774415620193149</v>
      </c>
      <c r="AF62" s="336">
        <f t="shared" si="36"/>
        <v>0.11817735849262319</v>
      </c>
      <c r="AG62" s="336">
        <f t="shared" si="36"/>
        <v>0.11865103576934327</v>
      </c>
      <c r="AH62" s="336">
        <f t="shared" ref="AH62:AL62" si="37">AH15/AH$49</f>
        <v>0.11914780979198716</v>
      </c>
      <c r="AI62" s="336">
        <f t="shared" si="37"/>
        <v>0.11956596154444664</v>
      </c>
      <c r="AJ62" s="336">
        <f t="shared" si="37"/>
        <v>0.12001898583445951</v>
      </c>
      <c r="AK62" s="336">
        <f t="shared" si="37"/>
        <v>0.12050214815721511</v>
      </c>
      <c r="AL62" s="336">
        <f t="shared" si="37"/>
        <v>0.12100866322626201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</row>
    <row r="63" spans="1:57" x14ac:dyDescent="0.2">
      <c r="L63" s="232" t="str">
        <f>'Occ T3'!A18</f>
        <v>31 Science, engineering and technology associate professionals</v>
      </c>
      <c r="M63" s="335">
        <f t="shared" ref="M63:AG63" si="38">M16/M$49</f>
        <v>1.8152967811547821E-2</v>
      </c>
      <c r="N63" s="335">
        <f t="shared" si="38"/>
        <v>1.6899095851171293E-2</v>
      </c>
      <c r="O63" s="335">
        <f t="shared" si="38"/>
        <v>1.7500546525959875E-2</v>
      </c>
      <c r="P63" s="335">
        <f t="shared" si="38"/>
        <v>1.7935017156551103E-2</v>
      </c>
      <c r="Q63" s="335">
        <f t="shared" si="38"/>
        <v>1.6687815930837995E-2</v>
      </c>
      <c r="R63" s="335">
        <f t="shared" si="38"/>
        <v>1.6218528725656121E-2</v>
      </c>
      <c r="S63" s="335">
        <f t="shared" si="38"/>
        <v>1.674403250598033E-2</v>
      </c>
      <c r="T63" s="335">
        <f t="shared" si="38"/>
        <v>1.8245240156050731E-2</v>
      </c>
      <c r="U63" s="335">
        <f t="shared" si="38"/>
        <v>1.8992407829030122E-2</v>
      </c>
      <c r="V63" s="335">
        <f t="shared" si="38"/>
        <v>1.8347610246182974E-2</v>
      </c>
      <c r="W63" s="335">
        <f t="shared" si="38"/>
        <v>2.033760440846847E-2</v>
      </c>
      <c r="X63" s="335">
        <f t="shared" si="38"/>
        <v>1.7104822386642765E-2</v>
      </c>
      <c r="Y63" s="335">
        <f t="shared" si="38"/>
        <v>1.7180186681923563E-2</v>
      </c>
      <c r="Z63" s="335">
        <f t="shared" si="38"/>
        <v>1.7243683585831403E-2</v>
      </c>
      <c r="AA63" s="335">
        <f t="shared" si="38"/>
        <v>1.7300177527575188E-2</v>
      </c>
      <c r="AB63" s="335">
        <f t="shared" si="38"/>
        <v>1.736392440546999E-2</v>
      </c>
      <c r="AC63" s="335">
        <f t="shared" si="38"/>
        <v>1.7420407253614673E-2</v>
      </c>
      <c r="AD63" s="335">
        <f t="shared" si="38"/>
        <v>1.7468099233178932E-2</v>
      </c>
      <c r="AE63" s="335">
        <f t="shared" si="38"/>
        <v>1.7512745482554885E-2</v>
      </c>
      <c r="AF63" s="335">
        <f t="shared" si="38"/>
        <v>1.7554184105765605E-2</v>
      </c>
      <c r="AG63" s="335">
        <f t="shared" si="38"/>
        <v>1.7620149755010882E-2</v>
      </c>
      <c r="AH63" s="335">
        <f t="shared" ref="AH63:AL63" si="39">AH16/AH$49</f>
        <v>1.7686332484390031E-2</v>
      </c>
      <c r="AI63" s="335">
        <f t="shared" si="39"/>
        <v>1.7751198698559466E-2</v>
      </c>
      <c r="AJ63" s="335">
        <f t="shared" si="39"/>
        <v>1.7827116034804597E-2</v>
      </c>
      <c r="AK63" s="335">
        <f t="shared" si="39"/>
        <v>1.789841955632672E-2</v>
      </c>
      <c r="AL63" s="335">
        <f t="shared" si="39"/>
        <v>1.79778833887855E-2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</row>
    <row r="64" spans="1:57" x14ac:dyDescent="0.2">
      <c r="L64" s="232" t="str">
        <f>'Occ T3'!A19</f>
        <v>32 Health and social care associate professionals</v>
      </c>
      <c r="M64" s="335">
        <f t="shared" ref="M64:AG64" si="40">M17/M$49</f>
        <v>1.3471995746632081E-2</v>
      </c>
      <c r="N64" s="335">
        <f t="shared" si="40"/>
        <v>1.721120391671448E-2</v>
      </c>
      <c r="O64" s="335">
        <f t="shared" si="40"/>
        <v>1.706013920269028E-2</v>
      </c>
      <c r="P64" s="335">
        <f t="shared" si="40"/>
        <v>1.6545800302898182E-2</v>
      </c>
      <c r="Q64" s="335">
        <f t="shared" si="40"/>
        <v>1.6935944446924665E-2</v>
      </c>
      <c r="R64" s="335">
        <f t="shared" si="40"/>
        <v>1.6599846587791438E-2</v>
      </c>
      <c r="S64" s="335">
        <f t="shared" si="40"/>
        <v>1.6738944388336018E-2</v>
      </c>
      <c r="T64" s="335">
        <f t="shared" si="40"/>
        <v>1.7030246406025601E-2</v>
      </c>
      <c r="U64" s="335">
        <f t="shared" si="40"/>
        <v>1.8654066435224576E-2</v>
      </c>
      <c r="V64" s="335">
        <f t="shared" si="40"/>
        <v>1.7901041177218819E-2</v>
      </c>
      <c r="W64" s="335">
        <f t="shared" si="40"/>
        <v>1.822138195624531E-2</v>
      </c>
      <c r="X64" s="335">
        <f t="shared" si="40"/>
        <v>1.7620937591686873E-2</v>
      </c>
      <c r="Y64" s="335">
        <f t="shared" si="40"/>
        <v>1.7759557298158705E-2</v>
      </c>
      <c r="Z64" s="335">
        <f t="shared" si="40"/>
        <v>1.791383915502542E-2</v>
      </c>
      <c r="AA64" s="335">
        <f t="shared" si="40"/>
        <v>1.8048614964190083E-2</v>
      </c>
      <c r="AB64" s="335">
        <f t="shared" si="40"/>
        <v>1.8174921382556948E-2</v>
      </c>
      <c r="AC64" s="335">
        <f t="shared" si="40"/>
        <v>1.829019480433881E-2</v>
      </c>
      <c r="AD64" s="335">
        <f t="shared" si="40"/>
        <v>1.8409178461487975E-2</v>
      </c>
      <c r="AE64" s="335">
        <f t="shared" si="40"/>
        <v>1.8514458324022862E-2</v>
      </c>
      <c r="AF64" s="335">
        <f t="shared" si="40"/>
        <v>1.8628611217454856E-2</v>
      </c>
      <c r="AG64" s="335">
        <f t="shared" si="40"/>
        <v>1.8767567788375218E-2</v>
      </c>
      <c r="AH64" s="335">
        <f t="shared" ref="AH64:AL64" si="41">AH17/AH$49</f>
        <v>1.8915405107204578E-2</v>
      </c>
      <c r="AI64" s="335">
        <f t="shared" si="41"/>
        <v>1.9035991291399771E-2</v>
      </c>
      <c r="AJ64" s="335">
        <f t="shared" si="41"/>
        <v>1.9144374943895204E-2</v>
      </c>
      <c r="AK64" s="335">
        <f t="shared" si="41"/>
        <v>1.9256171070208942E-2</v>
      </c>
      <c r="AL64" s="335">
        <f t="shared" si="41"/>
        <v>1.9363104863351608E-2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</row>
    <row r="65" spans="12:53" x14ac:dyDescent="0.2">
      <c r="L65" s="232" t="str">
        <f>'Occ T3'!A20</f>
        <v>33 Protective service occupations</v>
      </c>
      <c r="M65" s="335">
        <f t="shared" ref="M65:AG65" si="42">M18/M$49</f>
        <v>1.1298369317313962E-2</v>
      </c>
      <c r="N65" s="335">
        <f t="shared" si="42"/>
        <v>1.2421036080862357E-2</v>
      </c>
      <c r="O65" s="335">
        <f t="shared" si="42"/>
        <v>1.2034443244842406E-2</v>
      </c>
      <c r="P65" s="335">
        <f t="shared" si="42"/>
        <v>1.1075939475816955E-2</v>
      </c>
      <c r="Q65" s="335">
        <f t="shared" si="42"/>
        <v>1.1145462643442619E-2</v>
      </c>
      <c r="R65" s="335">
        <f t="shared" si="42"/>
        <v>1.0848466982702278E-2</v>
      </c>
      <c r="S65" s="335">
        <f t="shared" si="42"/>
        <v>1.1043617584211431E-2</v>
      </c>
      <c r="T65" s="335">
        <f t="shared" si="42"/>
        <v>1.0367249520306682E-2</v>
      </c>
      <c r="U65" s="335">
        <f t="shared" si="42"/>
        <v>1.0734653519476002E-2</v>
      </c>
      <c r="V65" s="335">
        <f t="shared" si="42"/>
        <v>1.0511986631007249E-2</v>
      </c>
      <c r="W65" s="335">
        <f t="shared" si="42"/>
        <v>1.0990236881851646E-2</v>
      </c>
      <c r="X65" s="335">
        <f t="shared" si="42"/>
        <v>1.21867183656886E-2</v>
      </c>
      <c r="Y65" s="335">
        <f t="shared" si="42"/>
        <v>1.2443911665618613E-2</v>
      </c>
      <c r="Z65" s="335">
        <f t="shared" si="42"/>
        <v>1.267037398388454E-2</v>
      </c>
      <c r="AA65" s="335">
        <f t="shared" si="42"/>
        <v>1.2909603956150484E-2</v>
      </c>
      <c r="AB65" s="335">
        <f t="shared" si="42"/>
        <v>1.3079347940183651E-2</v>
      </c>
      <c r="AC65" s="335">
        <f t="shared" si="42"/>
        <v>1.3245407465151958E-2</v>
      </c>
      <c r="AD65" s="335">
        <f t="shared" si="42"/>
        <v>1.3402787914397977E-2</v>
      </c>
      <c r="AE65" s="335">
        <f t="shared" si="42"/>
        <v>1.3557270232386171E-2</v>
      </c>
      <c r="AF65" s="335">
        <f t="shared" si="42"/>
        <v>1.371318968788833E-2</v>
      </c>
      <c r="AG65" s="335">
        <f t="shared" si="42"/>
        <v>1.3858897179178561E-2</v>
      </c>
      <c r="AH65" s="335">
        <f t="shared" ref="AH65:AL65" si="43">AH18/AH$49</f>
        <v>1.3992237507553894E-2</v>
      </c>
      <c r="AI65" s="335">
        <f t="shared" si="43"/>
        <v>1.4120296589206367E-2</v>
      </c>
      <c r="AJ65" s="335">
        <f t="shared" si="43"/>
        <v>1.4275502466441282E-2</v>
      </c>
      <c r="AK65" s="335">
        <f t="shared" si="43"/>
        <v>1.443641897247885E-2</v>
      </c>
      <c r="AL65" s="335">
        <f t="shared" si="43"/>
        <v>1.460057443183807E-2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</row>
    <row r="66" spans="12:53" x14ac:dyDescent="0.2">
      <c r="L66" s="232" t="str">
        <f>'Occ T3'!A21</f>
        <v>34 Culture, media and sports occupations</v>
      </c>
      <c r="M66" s="335">
        <f t="shared" ref="M66:AG66" si="44">M19/M$49</f>
        <v>1.030955959170575E-2</v>
      </c>
      <c r="N66" s="335">
        <f t="shared" si="44"/>
        <v>1.2604435784598527E-2</v>
      </c>
      <c r="O66" s="335">
        <f t="shared" si="44"/>
        <v>1.2769003377233749E-2</v>
      </c>
      <c r="P66" s="335">
        <f t="shared" si="44"/>
        <v>1.2327145137761593E-2</v>
      </c>
      <c r="Q66" s="335">
        <f t="shared" si="44"/>
        <v>1.2637771484817381E-2</v>
      </c>
      <c r="R66" s="335">
        <f t="shared" si="44"/>
        <v>1.4144619423293233E-2</v>
      </c>
      <c r="S66" s="335">
        <f t="shared" si="44"/>
        <v>1.355017205905561E-2</v>
      </c>
      <c r="T66" s="335">
        <f t="shared" si="44"/>
        <v>1.494575888666581E-2</v>
      </c>
      <c r="U66" s="335">
        <f t="shared" si="44"/>
        <v>1.3209254053773876E-2</v>
      </c>
      <c r="V66" s="335">
        <f t="shared" si="44"/>
        <v>1.3092546930155758E-2</v>
      </c>
      <c r="W66" s="335">
        <f t="shared" si="44"/>
        <v>1.3530924043559623E-2</v>
      </c>
      <c r="X66" s="335">
        <f t="shared" si="44"/>
        <v>1.2312798135256878E-2</v>
      </c>
      <c r="Y66" s="335">
        <f t="shared" si="44"/>
        <v>1.216979748434212E-2</v>
      </c>
      <c r="Z66" s="335">
        <f t="shared" si="44"/>
        <v>1.2163899076645772E-2</v>
      </c>
      <c r="AA66" s="335">
        <f t="shared" si="44"/>
        <v>1.2226457180971989E-2</v>
      </c>
      <c r="AB66" s="335">
        <f t="shared" si="44"/>
        <v>1.2291621022273746E-2</v>
      </c>
      <c r="AC66" s="335">
        <f t="shared" si="44"/>
        <v>1.2348702242118861E-2</v>
      </c>
      <c r="AD66" s="335">
        <f t="shared" si="44"/>
        <v>1.2405632888787066E-2</v>
      </c>
      <c r="AE66" s="335">
        <f t="shared" si="44"/>
        <v>1.246946131530542E-2</v>
      </c>
      <c r="AF66" s="335">
        <f t="shared" si="44"/>
        <v>1.2538839832725556E-2</v>
      </c>
      <c r="AG66" s="335">
        <f t="shared" si="44"/>
        <v>1.2611240319791545E-2</v>
      </c>
      <c r="AH66" s="335">
        <f t="shared" ref="AH66:AL66" si="45">AH19/AH$49</f>
        <v>1.2700055079388187E-2</v>
      </c>
      <c r="AI66" s="335">
        <f t="shared" si="45"/>
        <v>1.2756852559219886E-2</v>
      </c>
      <c r="AJ66" s="335">
        <f t="shared" si="45"/>
        <v>1.2808468324838784E-2</v>
      </c>
      <c r="AK66" s="335">
        <f t="shared" si="45"/>
        <v>1.2866837466014009E-2</v>
      </c>
      <c r="AL66" s="335">
        <f t="shared" si="45"/>
        <v>1.2921368490759302E-2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</row>
    <row r="67" spans="12:53" x14ac:dyDescent="0.2">
      <c r="L67" s="232" t="str">
        <f>'Occ T3'!A22</f>
        <v>35 Business and public service associate professionals</v>
      </c>
      <c r="M67" s="335">
        <f t="shared" ref="M67:AG67" si="46">M20/M$49</f>
        <v>5.639242805478438E-2</v>
      </c>
      <c r="N67" s="335">
        <f t="shared" si="46"/>
        <v>5.1868902867529362E-2</v>
      </c>
      <c r="O67" s="335">
        <f t="shared" si="46"/>
        <v>5.311459791213162E-2</v>
      </c>
      <c r="P67" s="335">
        <f t="shared" si="46"/>
        <v>5.2047350936415333E-2</v>
      </c>
      <c r="Q67" s="335">
        <f t="shared" si="46"/>
        <v>5.4494886665365221E-2</v>
      </c>
      <c r="R67" s="335">
        <f t="shared" si="46"/>
        <v>5.4075830677581954E-2</v>
      </c>
      <c r="S67" s="335">
        <f t="shared" si="46"/>
        <v>5.2979990257512197E-2</v>
      </c>
      <c r="T67" s="335">
        <f t="shared" si="46"/>
        <v>5.3883487751693271E-2</v>
      </c>
      <c r="U67" s="335">
        <f t="shared" si="46"/>
        <v>5.3977052516629362E-2</v>
      </c>
      <c r="V67" s="335">
        <f t="shared" si="46"/>
        <v>5.5610191974242017E-2</v>
      </c>
      <c r="W67" s="335">
        <f t="shared" si="46"/>
        <v>5.8938254770875269E-2</v>
      </c>
      <c r="X67" s="335">
        <f t="shared" si="46"/>
        <v>5.5135699653679482E-2</v>
      </c>
      <c r="Y67" s="335">
        <f t="shared" si="46"/>
        <v>5.5260899642238598E-2</v>
      </c>
      <c r="Z67" s="335">
        <f t="shared" si="46"/>
        <v>5.5374637172911516E-2</v>
      </c>
      <c r="AA67" s="335">
        <f t="shared" si="46"/>
        <v>5.5460757384431174E-2</v>
      </c>
      <c r="AB67" s="335">
        <f t="shared" si="46"/>
        <v>5.5522301181972336E-2</v>
      </c>
      <c r="AC67" s="335">
        <f t="shared" si="46"/>
        <v>5.5585337574476514E-2</v>
      </c>
      <c r="AD67" s="335">
        <f t="shared" si="46"/>
        <v>5.5646741913307159E-2</v>
      </c>
      <c r="AE67" s="335">
        <f t="shared" si="46"/>
        <v>5.569022084766214E-2</v>
      </c>
      <c r="AF67" s="335">
        <f t="shared" si="46"/>
        <v>5.5742533648788846E-2</v>
      </c>
      <c r="AG67" s="335">
        <f t="shared" si="46"/>
        <v>5.5793180726987072E-2</v>
      </c>
      <c r="AH67" s="335">
        <f t="shared" ref="AH67:AL67" si="47">AH20/AH$49</f>
        <v>5.585377961345047E-2</v>
      </c>
      <c r="AI67" s="335">
        <f t="shared" si="47"/>
        <v>5.5901622406061155E-2</v>
      </c>
      <c r="AJ67" s="335">
        <f t="shared" si="47"/>
        <v>5.5963524064479631E-2</v>
      </c>
      <c r="AK67" s="335">
        <f t="shared" si="47"/>
        <v>5.6044301092186576E-2</v>
      </c>
      <c r="AL67" s="335">
        <f t="shared" si="47"/>
        <v>5.6145732051527522E-2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</row>
    <row r="68" spans="12:53" x14ac:dyDescent="0.2">
      <c r="L68" s="232"/>
      <c r="M68" s="335"/>
      <c r="N68" s="335"/>
      <c r="O68" s="335"/>
      <c r="P68" s="335"/>
      <c r="Q68" s="335"/>
      <c r="R68" s="335"/>
      <c r="S68" s="335"/>
      <c r="T68" s="335"/>
      <c r="U68" s="335"/>
      <c r="V68" s="335"/>
      <c r="W68" s="335"/>
      <c r="X68" s="335"/>
      <c r="Y68" s="335"/>
      <c r="Z68" s="335"/>
      <c r="AA68" s="335"/>
      <c r="AB68" s="335"/>
      <c r="AC68" s="335"/>
      <c r="AD68" s="335"/>
      <c r="AE68" s="335"/>
      <c r="AF68" s="335"/>
      <c r="AG68" s="335"/>
      <c r="AH68" s="335"/>
      <c r="AI68" s="335"/>
      <c r="AJ68" s="335"/>
      <c r="AK68" s="335"/>
      <c r="AL68" s="335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</row>
    <row r="69" spans="12:53" x14ac:dyDescent="0.2">
      <c r="L69" s="16" t="str">
        <f>'Occ T3'!A24</f>
        <v>Administrative and secretarial occupations</v>
      </c>
      <c r="M69" s="336">
        <f t="shared" ref="M69:AG69" si="48">M22/M$49</f>
        <v>0.10957692265344389</v>
      </c>
      <c r="N69" s="336">
        <f t="shared" si="48"/>
        <v>0.10840755077357291</v>
      </c>
      <c r="O69" s="336">
        <f t="shared" si="48"/>
        <v>0.1082218102810832</v>
      </c>
      <c r="P69" s="336">
        <f t="shared" si="48"/>
        <v>0.10799283329610636</v>
      </c>
      <c r="Q69" s="336">
        <f t="shared" si="48"/>
        <v>0.10693222177271085</v>
      </c>
      <c r="R69" s="336">
        <f t="shared" si="48"/>
        <v>0.10670692884980927</v>
      </c>
      <c r="S69" s="336">
        <f t="shared" si="48"/>
        <v>0.10120691593219205</v>
      </c>
      <c r="T69" s="336">
        <f t="shared" si="48"/>
        <v>0.10431432777117272</v>
      </c>
      <c r="U69" s="336">
        <f t="shared" si="48"/>
        <v>0.1033924314283457</v>
      </c>
      <c r="V69" s="336">
        <f t="shared" si="48"/>
        <v>0.1008356120073132</v>
      </c>
      <c r="W69" s="336">
        <f t="shared" si="48"/>
        <v>0.1047956820109552</v>
      </c>
      <c r="X69" s="336">
        <f t="shared" si="48"/>
        <v>0.10047320403236676</v>
      </c>
      <c r="Y69" s="336">
        <f t="shared" si="48"/>
        <v>9.9582131492121542E-2</v>
      </c>
      <c r="Z69" s="336">
        <f t="shared" si="48"/>
        <v>9.8673875769025518E-2</v>
      </c>
      <c r="AA69" s="336">
        <f t="shared" si="48"/>
        <v>9.7826231586808213E-2</v>
      </c>
      <c r="AB69" s="336">
        <f t="shared" si="48"/>
        <v>9.6883778191653488E-2</v>
      </c>
      <c r="AC69" s="336">
        <f t="shared" si="48"/>
        <v>9.5957992431696087E-2</v>
      </c>
      <c r="AD69" s="336">
        <f t="shared" si="48"/>
        <v>9.5043114602086892E-2</v>
      </c>
      <c r="AE69" s="336">
        <f t="shared" si="48"/>
        <v>9.4101307608124532E-2</v>
      </c>
      <c r="AF69" s="336">
        <f t="shared" si="48"/>
        <v>9.3091647073387643E-2</v>
      </c>
      <c r="AG69" s="336">
        <f t="shared" si="48"/>
        <v>9.1945982476218713E-2</v>
      </c>
      <c r="AH69" s="336">
        <f t="shared" ref="AH69:AL69" si="49">AH22/AH$49</f>
        <v>9.0712000141498092E-2</v>
      </c>
      <c r="AI69" s="336">
        <f t="shared" si="49"/>
        <v>8.9706127200508412E-2</v>
      </c>
      <c r="AJ69" s="336">
        <f t="shared" si="49"/>
        <v>8.8667151022308113E-2</v>
      </c>
      <c r="AK69" s="336">
        <f t="shared" si="49"/>
        <v>8.7542933350918894E-2</v>
      </c>
      <c r="AL69" s="336">
        <f t="shared" si="49"/>
        <v>8.6332479105536541E-2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</row>
    <row r="70" spans="12:53" x14ac:dyDescent="0.2">
      <c r="L70" s="232" t="str">
        <f>'Occ T3'!A25</f>
        <v>41 Administrative occupations</v>
      </c>
      <c r="M70" s="335">
        <f t="shared" ref="M70:AG70" si="50">M23/M$49</f>
        <v>8.5316008482153732E-2</v>
      </c>
      <c r="N70" s="335">
        <f t="shared" si="50"/>
        <v>8.6009951681792401E-2</v>
      </c>
      <c r="O70" s="335">
        <f t="shared" si="50"/>
        <v>8.6098082009306631E-2</v>
      </c>
      <c r="P70" s="335">
        <f t="shared" si="50"/>
        <v>8.4364000585603421E-2</v>
      </c>
      <c r="Q70" s="335">
        <f t="shared" si="50"/>
        <v>8.4215574812245286E-2</v>
      </c>
      <c r="R70" s="335">
        <f t="shared" si="50"/>
        <v>8.587740587954476E-2</v>
      </c>
      <c r="S70" s="335">
        <f t="shared" si="50"/>
        <v>8.1596320607936673E-2</v>
      </c>
      <c r="T70" s="335">
        <f t="shared" si="50"/>
        <v>8.4055293451583343E-2</v>
      </c>
      <c r="U70" s="335">
        <f t="shared" si="50"/>
        <v>8.2734548765045476E-2</v>
      </c>
      <c r="V70" s="335">
        <f t="shared" si="50"/>
        <v>8.1881236999486101E-2</v>
      </c>
      <c r="W70" s="335">
        <f t="shared" si="50"/>
        <v>8.6045584815481232E-2</v>
      </c>
      <c r="X70" s="335">
        <f t="shared" si="50"/>
        <v>7.9754325056129491E-2</v>
      </c>
      <c r="Y70" s="335">
        <f t="shared" si="50"/>
        <v>7.9195849670863502E-2</v>
      </c>
      <c r="Z70" s="335">
        <f t="shared" si="50"/>
        <v>7.8637663610763173E-2</v>
      </c>
      <c r="AA70" s="335">
        <f t="shared" si="50"/>
        <v>7.8108610170563739E-2</v>
      </c>
      <c r="AB70" s="335">
        <f t="shared" si="50"/>
        <v>7.7507751689109741E-2</v>
      </c>
      <c r="AC70" s="335">
        <f t="shared" si="50"/>
        <v>7.6950398207472057E-2</v>
      </c>
      <c r="AD70" s="335">
        <f t="shared" si="50"/>
        <v>7.6394222746674373E-2</v>
      </c>
      <c r="AE70" s="335">
        <f t="shared" si="50"/>
        <v>7.575614701745581E-2</v>
      </c>
      <c r="AF70" s="335">
        <f t="shared" si="50"/>
        <v>7.5130996817376824E-2</v>
      </c>
      <c r="AG70" s="335">
        <f t="shared" si="50"/>
        <v>7.4526904045642967E-2</v>
      </c>
      <c r="AH70" s="335">
        <f t="shared" ref="AH70:AL70" si="51">AH23/AH$49</f>
        <v>7.3926915504022875E-2</v>
      </c>
      <c r="AI70" s="335">
        <f t="shared" si="51"/>
        <v>7.332210630653109E-2</v>
      </c>
      <c r="AJ70" s="335">
        <f t="shared" si="51"/>
        <v>7.270868312503817E-2</v>
      </c>
      <c r="AK70" s="335">
        <f t="shared" si="51"/>
        <v>7.2081287405041411E-2</v>
      </c>
      <c r="AL70" s="335">
        <f t="shared" si="51"/>
        <v>7.13961302679232E-2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</row>
    <row r="71" spans="12:53" x14ac:dyDescent="0.2">
      <c r="L71" s="232" t="str">
        <f>'Occ T3'!A26</f>
        <v>42 Secretarial and related occupations</v>
      </c>
      <c r="M71" s="335">
        <f t="shared" ref="M71:AG71" si="52">M24/M$49</f>
        <v>2.4260914171290161E-2</v>
      </c>
      <c r="N71" s="335">
        <f t="shared" si="52"/>
        <v>2.2397599091780497E-2</v>
      </c>
      <c r="O71" s="335">
        <f t="shared" si="52"/>
        <v>2.2123728271776555E-2</v>
      </c>
      <c r="P71" s="335">
        <f t="shared" si="52"/>
        <v>2.362883271050294E-2</v>
      </c>
      <c r="Q71" s="335">
        <f t="shared" si="52"/>
        <v>2.2716646960465565E-2</v>
      </c>
      <c r="R71" s="335">
        <f t="shared" si="52"/>
        <v>2.0829522970264525E-2</v>
      </c>
      <c r="S71" s="335">
        <f t="shared" si="52"/>
        <v>1.9610595324255374E-2</v>
      </c>
      <c r="T71" s="335">
        <f t="shared" si="52"/>
        <v>2.0259034319589381E-2</v>
      </c>
      <c r="U71" s="335">
        <f t="shared" si="52"/>
        <v>2.0657882663300216E-2</v>
      </c>
      <c r="V71" s="335">
        <f t="shared" si="52"/>
        <v>1.8954375007827103E-2</v>
      </c>
      <c r="W71" s="335">
        <f t="shared" si="52"/>
        <v>1.8750097195473971E-2</v>
      </c>
      <c r="X71" s="335">
        <f t="shared" si="52"/>
        <v>2.0718878976237268E-2</v>
      </c>
      <c r="Y71" s="335">
        <f t="shared" si="52"/>
        <v>2.0386281821258043E-2</v>
      </c>
      <c r="Z71" s="335">
        <f t="shared" si="52"/>
        <v>2.0036212158262345E-2</v>
      </c>
      <c r="AA71" s="335">
        <f t="shared" si="52"/>
        <v>1.9717621416244481E-2</v>
      </c>
      <c r="AB71" s="335">
        <f t="shared" si="52"/>
        <v>1.9376026502543744E-2</v>
      </c>
      <c r="AC71" s="335">
        <f t="shared" si="52"/>
        <v>1.9007594224224024E-2</v>
      </c>
      <c r="AD71" s="335">
        <f t="shared" si="52"/>
        <v>1.8648891855412523E-2</v>
      </c>
      <c r="AE71" s="335">
        <f t="shared" si="52"/>
        <v>1.8345160590668722E-2</v>
      </c>
      <c r="AF71" s="335">
        <f t="shared" si="52"/>
        <v>1.7960650256010822E-2</v>
      </c>
      <c r="AG71" s="335">
        <f t="shared" si="52"/>
        <v>1.7419078430575757E-2</v>
      </c>
      <c r="AH71" s="335">
        <f t="shared" ref="AH71:AL71" si="53">AH24/AH$49</f>
        <v>1.6785084637475217E-2</v>
      </c>
      <c r="AI71" s="335">
        <f t="shared" si="53"/>
        <v>1.6384020893977318E-2</v>
      </c>
      <c r="AJ71" s="335">
        <f t="shared" si="53"/>
        <v>1.5958467897269943E-2</v>
      </c>
      <c r="AK71" s="335">
        <f t="shared" si="53"/>
        <v>1.546164594587749E-2</v>
      </c>
      <c r="AL71" s="335">
        <f t="shared" si="53"/>
        <v>1.4936348837613338E-2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</row>
    <row r="72" spans="12:53" x14ac:dyDescent="0.2">
      <c r="L72" s="232"/>
      <c r="M72" s="335"/>
      <c r="N72" s="335"/>
      <c r="O72" s="335"/>
      <c r="P72" s="335"/>
      <c r="Q72" s="335"/>
      <c r="R72" s="335"/>
      <c r="S72" s="335"/>
      <c r="T72" s="335"/>
      <c r="U72" s="335"/>
      <c r="V72" s="335"/>
      <c r="W72" s="335"/>
      <c r="X72" s="335"/>
      <c r="Y72" s="335"/>
      <c r="Z72" s="335"/>
      <c r="AA72" s="335"/>
      <c r="AB72" s="335"/>
      <c r="AC72" s="335"/>
      <c r="AD72" s="335"/>
      <c r="AE72" s="335"/>
      <c r="AF72" s="335"/>
      <c r="AG72" s="335"/>
      <c r="AH72" s="335"/>
      <c r="AI72" s="335"/>
      <c r="AJ72" s="335"/>
      <c r="AK72" s="335"/>
      <c r="AL72" s="335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</row>
    <row r="73" spans="12:53" x14ac:dyDescent="0.2">
      <c r="L73" s="16" t="str">
        <f>'Occ T3'!A28</f>
        <v>Skilled trades occupations</v>
      </c>
      <c r="M73" s="336">
        <f t="shared" ref="M73:AG73" si="54">M26/M$49</f>
        <v>0.10515727223342237</v>
      </c>
      <c r="N73" s="336">
        <f t="shared" si="54"/>
        <v>0.10943399511556666</v>
      </c>
      <c r="O73" s="336">
        <f t="shared" si="54"/>
        <v>0.11016904452200059</v>
      </c>
      <c r="P73" s="336">
        <f t="shared" si="54"/>
        <v>0.10246417530031852</v>
      </c>
      <c r="Q73" s="336">
        <f t="shared" si="54"/>
        <v>0.10126921160158503</v>
      </c>
      <c r="R73" s="336">
        <f t="shared" si="54"/>
        <v>0.10244496875805575</v>
      </c>
      <c r="S73" s="336">
        <f t="shared" si="54"/>
        <v>0.10156332078446148</v>
      </c>
      <c r="T73" s="336">
        <f t="shared" si="54"/>
        <v>0.10253994739061688</v>
      </c>
      <c r="U73" s="336">
        <f t="shared" si="54"/>
        <v>9.7889767800052124E-2</v>
      </c>
      <c r="V73" s="336">
        <f t="shared" si="54"/>
        <v>9.5491799504386771E-2</v>
      </c>
      <c r="W73" s="336">
        <f t="shared" si="54"/>
        <v>8.684878744486349E-2</v>
      </c>
      <c r="X73" s="336">
        <f t="shared" si="54"/>
        <v>8.7291425183663035E-2</v>
      </c>
      <c r="Y73" s="336">
        <f t="shared" si="54"/>
        <v>8.630766855557695E-2</v>
      </c>
      <c r="Z73" s="336">
        <f t="shared" si="54"/>
        <v>8.5268777368355184E-2</v>
      </c>
      <c r="AA73" s="336">
        <f t="shared" si="54"/>
        <v>8.4267548086854216E-2</v>
      </c>
      <c r="AB73" s="336">
        <f t="shared" si="54"/>
        <v>8.3420854633808703E-2</v>
      </c>
      <c r="AC73" s="336">
        <f t="shared" si="54"/>
        <v>8.2615332998404109E-2</v>
      </c>
      <c r="AD73" s="336">
        <f t="shared" si="54"/>
        <v>8.1770624884361445E-2</v>
      </c>
      <c r="AE73" s="336">
        <f t="shared" si="54"/>
        <v>8.0946555559928482E-2</v>
      </c>
      <c r="AF73" s="336">
        <f t="shared" si="54"/>
        <v>8.0135453887232519E-2</v>
      </c>
      <c r="AG73" s="336">
        <f t="shared" si="54"/>
        <v>7.9339223153529162E-2</v>
      </c>
      <c r="AH73" s="336">
        <f t="shared" ref="AH73:AL73" si="55">AH26/AH$49</f>
        <v>7.8569148131388017E-2</v>
      </c>
      <c r="AI73" s="336">
        <f t="shared" si="55"/>
        <v>7.7801086881794629E-2</v>
      </c>
      <c r="AJ73" s="336">
        <f t="shared" si="55"/>
        <v>7.7051499513987376E-2</v>
      </c>
      <c r="AK73" s="336">
        <f t="shared" si="55"/>
        <v>7.6302665042855378E-2</v>
      </c>
      <c r="AL73" s="336">
        <f t="shared" si="55"/>
        <v>7.5566662118481981E-2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</row>
    <row r="74" spans="12:53" x14ac:dyDescent="0.2">
      <c r="L74" s="232" t="str">
        <f>'Occ T3'!A29</f>
        <v>51 Skilled agricultural and related trades</v>
      </c>
      <c r="M74" s="335">
        <f t="shared" ref="M74:AG74" si="56">M27/M$49</f>
        <v>1.125523131413768E-2</v>
      </c>
      <c r="N74" s="335">
        <f t="shared" si="56"/>
        <v>1.6458341209473662E-2</v>
      </c>
      <c r="O74" s="335">
        <f t="shared" si="56"/>
        <v>1.5438256696264679E-2</v>
      </c>
      <c r="P74" s="335">
        <f t="shared" si="56"/>
        <v>1.2622950257097613E-2</v>
      </c>
      <c r="Q74" s="335">
        <f t="shared" si="56"/>
        <v>1.0293636887838615E-2</v>
      </c>
      <c r="R74" s="335">
        <f t="shared" si="56"/>
        <v>1.2057842130502693E-2</v>
      </c>
      <c r="S74" s="335">
        <f t="shared" si="56"/>
        <v>1.2509822098439451E-2</v>
      </c>
      <c r="T74" s="335">
        <f t="shared" si="56"/>
        <v>1.3797157537921998E-2</v>
      </c>
      <c r="U74" s="335">
        <f t="shared" si="56"/>
        <v>1.126476674652222E-2</v>
      </c>
      <c r="V74" s="335">
        <f t="shared" si="56"/>
        <v>1.1763652725832456E-2</v>
      </c>
      <c r="W74" s="335">
        <f t="shared" si="56"/>
        <v>1.4187208469929059E-2</v>
      </c>
      <c r="X74" s="335">
        <f t="shared" si="56"/>
        <v>1.3604309233896054E-2</v>
      </c>
      <c r="Y74" s="335">
        <f t="shared" si="56"/>
        <v>1.3526515013374903E-2</v>
      </c>
      <c r="Z74" s="335">
        <f t="shared" si="56"/>
        <v>1.3468903128281936E-2</v>
      </c>
      <c r="AA74" s="335">
        <f t="shared" si="56"/>
        <v>1.3409238596881196E-2</v>
      </c>
      <c r="AB74" s="335">
        <f t="shared" si="56"/>
        <v>1.3365691320739635E-2</v>
      </c>
      <c r="AC74" s="335">
        <f t="shared" si="56"/>
        <v>1.3321286973459188E-2</v>
      </c>
      <c r="AD74" s="335">
        <f t="shared" si="56"/>
        <v>1.3262674270689157E-2</v>
      </c>
      <c r="AE74" s="335">
        <f t="shared" si="56"/>
        <v>1.3239560115783467E-2</v>
      </c>
      <c r="AF74" s="335">
        <f t="shared" si="56"/>
        <v>1.3236087649622552E-2</v>
      </c>
      <c r="AG74" s="335">
        <f t="shared" si="56"/>
        <v>1.3233396674854301E-2</v>
      </c>
      <c r="AH74" s="335">
        <f t="shared" ref="AH74:AL74" si="57">AH27/AH$49</f>
        <v>1.3232378532278594E-2</v>
      </c>
      <c r="AI74" s="335">
        <f t="shared" si="57"/>
        <v>1.3230717394330684E-2</v>
      </c>
      <c r="AJ74" s="335">
        <f t="shared" si="57"/>
        <v>1.3237990296784016E-2</v>
      </c>
      <c r="AK74" s="335">
        <f t="shared" si="57"/>
        <v>1.3245514345748985E-2</v>
      </c>
      <c r="AL74" s="335">
        <f t="shared" si="57"/>
        <v>1.3253534564913858E-2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</row>
    <row r="75" spans="12:53" x14ac:dyDescent="0.2">
      <c r="L75" s="232" t="str">
        <f>'Occ T3'!A30</f>
        <v>52 Skilled metal, electrical and electronic trades</v>
      </c>
      <c r="M75" s="335">
        <f t="shared" ref="M75:AG75" si="58">M28/M$49</f>
        <v>4.3366151234693145E-2</v>
      </c>
      <c r="N75" s="335">
        <f t="shared" si="58"/>
        <v>4.3188974920464529E-2</v>
      </c>
      <c r="O75" s="335">
        <f t="shared" si="58"/>
        <v>4.3384731847394158E-2</v>
      </c>
      <c r="P75" s="335">
        <f t="shared" si="58"/>
        <v>4.1179909626351409E-2</v>
      </c>
      <c r="Q75" s="335">
        <f t="shared" si="58"/>
        <v>4.3475362102381121E-2</v>
      </c>
      <c r="R75" s="335">
        <f t="shared" si="58"/>
        <v>4.2918772977090992E-2</v>
      </c>
      <c r="S75" s="335">
        <f t="shared" si="58"/>
        <v>4.1741906935005596E-2</v>
      </c>
      <c r="T75" s="335">
        <f t="shared" si="58"/>
        <v>4.19674756746172E-2</v>
      </c>
      <c r="U75" s="335">
        <f t="shared" si="58"/>
        <v>4.0626121024420446E-2</v>
      </c>
      <c r="V75" s="335">
        <f t="shared" si="58"/>
        <v>4.1245532256472581E-2</v>
      </c>
      <c r="W75" s="335">
        <f t="shared" si="58"/>
        <v>3.6010051905432966E-2</v>
      </c>
      <c r="X75" s="335">
        <f t="shared" si="58"/>
        <v>3.5926008677987183E-2</v>
      </c>
      <c r="Y75" s="335">
        <f t="shared" si="58"/>
        <v>3.5585695010343983E-2</v>
      </c>
      <c r="Z75" s="335">
        <f t="shared" si="58"/>
        <v>3.5193560496985639E-2</v>
      </c>
      <c r="AA75" s="335">
        <f t="shared" si="58"/>
        <v>3.4802195885723732E-2</v>
      </c>
      <c r="AB75" s="335">
        <f t="shared" si="58"/>
        <v>3.4465613177781462E-2</v>
      </c>
      <c r="AC75" s="335">
        <f t="shared" si="58"/>
        <v>3.4139214560331158E-2</v>
      </c>
      <c r="AD75" s="335">
        <f t="shared" si="58"/>
        <v>3.3807926933466549E-2</v>
      </c>
      <c r="AE75" s="335">
        <f t="shared" si="58"/>
        <v>3.3483859210167687E-2</v>
      </c>
      <c r="AF75" s="335">
        <f t="shared" si="58"/>
        <v>3.316189585299284E-2</v>
      </c>
      <c r="AG75" s="335">
        <f t="shared" si="58"/>
        <v>3.2843281902399712E-2</v>
      </c>
      <c r="AH75" s="335">
        <f t="shared" ref="AH75:AL75" si="59">AH28/AH$49</f>
        <v>3.2521361402731666E-2</v>
      </c>
      <c r="AI75" s="335">
        <f t="shared" si="59"/>
        <v>3.2197162648890096E-2</v>
      </c>
      <c r="AJ75" s="335">
        <f t="shared" si="59"/>
        <v>3.1874979592843279E-2</v>
      </c>
      <c r="AK75" s="335">
        <f t="shared" si="59"/>
        <v>3.1553083590430228E-2</v>
      </c>
      <c r="AL75" s="335">
        <f t="shared" si="59"/>
        <v>3.1241169785105553E-2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</row>
    <row r="76" spans="12:53" x14ac:dyDescent="0.2">
      <c r="L76" s="232" t="str">
        <f>'Occ T3'!A31</f>
        <v>53 Skilled construction and building trades</v>
      </c>
      <c r="M76" s="335">
        <f t="shared" ref="M76:AG76" si="60">M29/M$49</f>
        <v>3.1338356713787617E-2</v>
      </c>
      <c r="N76" s="335">
        <f t="shared" si="60"/>
        <v>3.0309085857598013E-2</v>
      </c>
      <c r="O76" s="335">
        <f t="shared" si="60"/>
        <v>3.170645077374025E-2</v>
      </c>
      <c r="P76" s="335">
        <f t="shared" si="60"/>
        <v>2.8859327444983124E-2</v>
      </c>
      <c r="Q76" s="335">
        <f t="shared" si="60"/>
        <v>2.8745928146850203E-2</v>
      </c>
      <c r="R76" s="335">
        <f t="shared" si="60"/>
        <v>2.7633221238208959E-2</v>
      </c>
      <c r="S76" s="335">
        <f t="shared" si="60"/>
        <v>2.7960067634285005E-2</v>
      </c>
      <c r="T76" s="335">
        <f t="shared" si="60"/>
        <v>2.7973435025603517E-2</v>
      </c>
      <c r="U76" s="335">
        <f t="shared" si="60"/>
        <v>2.7935850003432794E-2</v>
      </c>
      <c r="V76" s="335">
        <f t="shared" si="60"/>
        <v>2.5986965904876411E-2</v>
      </c>
      <c r="W76" s="335">
        <f t="shared" si="60"/>
        <v>2.0726073359922478E-2</v>
      </c>
      <c r="X76" s="335">
        <f t="shared" si="60"/>
        <v>2.2142183699398674E-2</v>
      </c>
      <c r="Y76" s="335">
        <f t="shared" si="60"/>
        <v>2.1754555497899512E-2</v>
      </c>
      <c r="Z76" s="335">
        <f t="shared" si="60"/>
        <v>2.1373525895591453E-2</v>
      </c>
      <c r="AA76" s="335">
        <f t="shared" si="60"/>
        <v>2.1010380695073144E-2</v>
      </c>
      <c r="AB76" s="335">
        <f t="shared" si="60"/>
        <v>2.0694394530853193E-2</v>
      </c>
      <c r="AC76" s="335">
        <f t="shared" si="60"/>
        <v>2.0395570397510939E-2</v>
      </c>
      <c r="AD76" s="335">
        <f t="shared" si="60"/>
        <v>2.009631810541369E-2</v>
      </c>
      <c r="AE76" s="335">
        <f t="shared" si="60"/>
        <v>1.9788942945951214E-2</v>
      </c>
      <c r="AF76" s="335">
        <f t="shared" si="60"/>
        <v>1.9480088066176911E-2</v>
      </c>
      <c r="AG76" s="335">
        <f t="shared" si="60"/>
        <v>1.916788831161954E-2</v>
      </c>
      <c r="AH76" s="335">
        <f t="shared" ref="AH76:AL76" si="61">AH29/AH$49</f>
        <v>1.8863975165567797E-2</v>
      </c>
      <c r="AI76" s="335">
        <f t="shared" si="61"/>
        <v>1.856725733501384E-2</v>
      </c>
      <c r="AJ76" s="335">
        <f t="shared" si="61"/>
        <v>1.8277353038633377E-2</v>
      </c>
      <c r="AK76" s="335">
        <f t="shared" si="61"/>
        <v>1.7990452369627007E-2</v>
      </c>
      <c r="AL76" s="335">
        <f t="shared" si="61"/>
        <v>1.7707559929976635E-2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</row>
    <row r="77" spans="12:53" x14ac:dyDescent="0.2">
      <c r="L77" s="232" t="str">
        <f>'Occ T3'!A32</f>
        <v>54 Textiles, printing and other skilled trades</v>
      </c>
      <c r="M77" s="335">
        <f t="shared" ref="M77:AG77" si="62">M30/M$49</f>
        <v>1.9197532970803937E-2</v>
      </c>
      <c r="N77" s="335">
        <f t="shared" si="62"/>
        <v>1.9477593128030445E-2</v>
      </c>
      <c r="O77" s="335">
        <f t="shared" si="62"/>
        <v>1.9639605204601493E-2</v>
      </c>
      <c r="P77" s="335">
        <f t="shared" si="62"/>
        <v>1.980198797188637E-2</v>
      </c>
      <c r="Q77" s="335">
        <f t="shared" si="62"/>
        <v>1.87542844645151E-2</v>
      </c>
      <c r="R77" s="335">
        <f t="shared" si="62"/>
        <v>1.9835132412253115E-2</v>
      </c>
      <c r="S77" s="335">
        <f t="shared" si="62"/>
        <v>1.9351524116731418E-2</v>
      </c>
      <c r="T77" s="335">
        <f t="shared" si="62"/>
        <v>1.8801879152474183E-2</v>
      </c>
      <c r="U77" s="335">
        <f t="shared" si="62"/>
        <v>1.8063030025676656E-2</v>
      </c>
      <c r="V77" s="335">
        <f t="shared" si="62"/>
        <v>1.6495648617205327E-2</v>
      </c>
      <c r="W77" s="335">
        <f t="shared" si="62"/>
        <v>1.5925453709578988E-2</v>
      </c>
      <c r="X77" s="335">
        <f t="shared" si="62"/>
        <v>1.5618923572381137E-2</v>
      </c>
      <c r="Y77" s="335">
        <f t="shared" si="62"/>
        <v>1.544090303395854E-2</v>
      </c>
      <c r="Z77" s="335">
        <f t="shared" si="62"/>
        <v>1.5232787847496151E-2</v>
      </c>
      <c r="AA77" s="335">
        <f t="shared" si="62"/>
        <v>1.5045732909176138E-2</v>
      </c>
      <c r="AB77" s="335">
        <f t="shared" si="62"/>
        <v>1.4895155604434421E-2</v>
      </c>
      <c r="AC77" s="335">
        <f t="shared" si="62"/>
        <v>1.4759261067102826E-2</v>
      </c>
      <c r="AD77" s="335">
        <f t="shared" si="62"/>
        <v>1.4603705574792054E-2</v>
      </c>
      <c r="AE77" s="335">
        <f t="shared" si="62"/>
        <v>1.443419328802612E-2</v>
      </c>
      <c r="AF77" s="335">
        <f t="shared" si="62"/>
        <v>1.4257382318440218E-2</v>
      </c>
      <c r="AG77" s="335">
        <f t="shared" si="62"/>
        <v>1.4094656264655604E-2</v>
      </c>
      <c r="AH77" s="335">
        <f t="shared" ref="AH77:AL77" si="63">AH30/AH$49</f>
        <v>1.3951433030809958E-2</v>
      </c>
      <c r="AI77" s="335">
        <f t="shared" si="63"/>
        <v>1.3805949503560001E-2</v>
      </c>
      <c r="AJ77" s="335">
        <f t="shared" si="63"/>
        <v>1.36611765857267E-2</v>
      </c>
      <c r="AK77" s="335">
        <f t="shared" si="63"/>
        <v>1.3513614737049163E-2</v>
      </c>
      <c r="AL77" s="335">
        <f t="shared" si="63"/>
        <v>1.3364397838485935E-2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</row>
    <row r="78" spans="12:53" x14ac:dyDescent="0.2">
      <c r="L78" s="232"/>
      <c r="M78" s="335"/>
      <c r="N78" s="335"/>
      <c r="O78" s="335"/>
      <c r="P78" s="335"/>
      <c r="Q78" s="335"/>
      <c r="R78" s="335"/>
      <c r="S78" s="335"/>
      <c r="T78" s="335"/>
      <c r="U78" s="335"/>
      <c r="V78" s="335"/>
      <c r="W78" s="335"/>
      <c r="X78" s="335"/>
      <c r="Y78" s="335"/>
      <c r="Z78" s="335"/>
      <c r="AA78" s="335"/>
      <c r="AB78" s="335"/>
      <c r="AC78" s="335"/>
      <c r="AD78" s="335"/>
      <c r="AE78" s="335"/>
      <c r="AF78" s="335"/>
      <c r="AG78" s="335"/>
      <c r="AH78" s="335"/>
      <c r="AI78" s="335"/>
      <c r="AJ78" s="335"/>
      <c r="AK78" s="335"/>
      <c r="AL78" s="335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</row>
    <row r="79" spans="12:53" x14ac:dyDescent="0.2">
      <c r="L79" s="16" t="str">
        <f>'Occ T3'!A34</f>
        <v>Caring, leisure and other service occupations</v>
      </c>
      <c r="M79" s="336">
        <f>M32/M$49</f>
        <v>0.10777691376731692</v>
      </c>
      <c r="N79" s="336">
        <f t="shared" ref="N79:AG79" si="64">N32/N$49</f>
        <v>0.10571141066977946</v>
      </c>
      <c r="O79" s="336">
        <f t="shared" si="64"/>
        <v>0.1063157494378462</v>
      </c>
      <c r="P79" s="336">
        <f t="shared" si="64"/>
        <v>0.1119844816246548</v>
      </c>
      <c r="Q79" s="336">
        <f t="shared" si="64"/>
        <v>0.11410104889021025</v>
      </c>
      <c r="R79" s="336">
        <f t="shared" si="64"/>
        <v>0.1094317600480091</v>
      </c>
      <c r="S79" s="336">
        <f t="shared" si="64"/>
        <v>0.11395809194657101</v>
      </c>
      <c r="T79" s="336">
        <f t="shared" si="64"/>
        <v>0.11153036595533111</v>
      </c>
      <c r="U79" s="336">
        <f t="shared" si="64"/>
        <v>0.1097455367325605</v>
      </c>
      <c r="V79" s="336">
        <f t="shared" si="64"/>
        <v>0.11058842153391832</v>
      </c>
      <c r="W79" s="336">
        <f t="shared" si="64"/>
        <v>0.10677026753208921</v>
      </c>
      <c r="X79" s="336">
        <f t="shared" si="64"/>
        <v>0.10924880067113361</v>
      </c>
      <c r="Y79" s="336">
        <f t="shared" si="64"/>
        <v>0.10978741097639241</v>
      </c>
      <c r="Z79" s="336">
        <f t="shared" si="64"/>
        <v>0.11042565711757223</v>
      </c>
      <c r="AA79" s="336">
        <f t="shared" si="64"/>
        <v>0.1109793800065962</v>
      </c>
      <c r="AB79" s="336">
        <f t="shared" si="64"/>
        <v>0.11155031732946616</v>
      </c>
      <c r="AC79" s="336">
        <f t="shared" si="64"/>
        <v>0.11205764079632646</v>
      </c>
      <c r="AD79" s="336">
        <f t="shared" si="64"/>
        <v>0.11255318775074935</v>
      </c>
      <c r="AE79" s="336">
        <f t="shared" si="64"/>
        <v>0.11301335409252981</v>
      </c>
      <c r="AF79" s="336">
        <f t="shared" si="64"/>
        <v>0.11348617373233216</v>
      </c>
      <c r="AG79" s="336">
        <f t="shared" si="64"/>
        <v>0.11394454156552281</v>
      </c>
      <c r="AH79" s="336">
        <f t="shared" ref="AH79:AL79" si="65">AH32/AH$49</f>
        <v>0.11442159696038542</v>
      </c>
      <c r="AI79" s="336">
        <f t="shared" si="65"/>
        <v>0.11489780724771406</v>
      </c>
      <c r="AJ79" s="336">
        <f t="shared" si="65"/>
        <v>0.11535447493197025</v>
      </c>
      <c r="AK79" s="336">
        <f t="shared" si="65"/>
        <v>0.11583087735091098</v>
      </c>
      <c r="AL79" s="336">
        <f t="shared" si="65"/>
        <v>0.11630559770806008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</row>
    <row r="80" spans="12:53" x14ac:dyDescent="0.2">
      <c r="L80" s="232" t="str">
        <f>'Occ T3'!A35</f>
        <v>61 Caring personal service occupations</v>
      </c>
      <c r="M80" s="335">
        <f t="shared" ref="M80:AG80" si="66">M33/M$49</f>
        <v>8.2982118076262754E-2</v>
      </c>
      <c r="N80" s="335">
        <f t="shared" si="66"/>
        <v>7.977219916382107E-2</v>
      </c>
      <c r="O80" s="335">
        <f t="shared" si="66"/>
        <v>8.1569087929335843E-2</v>
      </c>
      <c r="P80" s="335">
        <f t="shared" si="66"/>
        <v>8.3664810494465419E-2</v>
      </c>
      <c r="Q80" s="335">
        <f t="shared" si="66"/>
        <v>8.7111423160771168E-2</v>
      </c>
      <c r="R80" s="335">
        <f t="shared" si="66"/>
        <v>8.6665822451745339E-2</v>
      </c>
      <c r="S80" s="335">
        <f t="shared" si="66"/>
        <v>8.6572496797905379E-2</v>
      </c>
      <c r="T80" s="335">
        <f t="shared" si="66"/>
        <v>8.778979562976065E-2</v>
      </c>
      <c r="U80" s="335">
        <f t="shared" si="66"/>
        <v>8.5970248635264701E-2</v>
      </c>
      <c r="V80" s="335">
        <f t="shared" si="66"/>
        <v>8.4020612934041589E-2</v>
      </c>
      <c r="W80" s="335">
        <f t="shared" si="66"/>
        <v>8.1172951010792693E-2</v>
      </c>
      <c r="X80" s="335">
        <f t="shared" si="66"/>
        <v>8.4215122604021572E-2</v>
      </c>
      <c r="Y80" s="335">
        <f t="shared" si="66"/>
        <v>8.4853709131528343E-2</v>
      </c>
      <c r="Z80" s="335">
        <f t="shared" si="66"/>
        <v>8.5490044631141876E-2</v>
      </c>
      <c r="AA80" s="335">
        <f t="shared" si="66"/>
        <v>8.6022337580320782E-2</v>
      </c>
      <c r="AB80" s="335">
        <f t="shared" si="66"/>
        <v>8.6566377078290679E-2</v>
      </c>
      <c r="AC80" s="335">
        <f t="shared" si="66"/>
        <v>8.7047006327450438E-2</v>
      </c>
      <c r="AD80" s="335">
        <f t="shared" si="66"/>
        <v>8.7515747797916765E-2</v>
      </c>
      <c r="AE80" s="335">
        <f t="shared" si="66"/>
        <v>8.7964931747796946E-2</v>
      </c>
      <c r="AF80" s="335">
        <f t="shared" si="66"/>
        <v>8.8431130031133384E-2</v>
      </c>
      <c r="AG80" s="335">
        <f t="shared" si="66"/>
        <v>8.8883792507587975E-2</v>
      </c>
      <c r="AH80" s="335">
        <f t="shared" ref="AH80:AL80" si="67">AH33/AH$49</f>
        <v>8.9358598162822753E-2</v>
      </c>
      <c r="AI80" s="335">
        <f t="shared" si="67"/>
        <v>8.9854578076025593E-2</v>
      </c>
      <c r="AJ80" s="335">
        <f t="shared" si="67"/>
        <v>9.0331722436389372E-2</v>
      </c>
      <c r="AK80" s="335">
        <f t="shared" si="67"/>
        <v>9.0827902443028408E-2</v>
      </c>
      <c r="AL80" s="335">
        <f t="shared" si="67"/>
        <v>9.1317710050923956E-2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</row>
    <row r="81" spans="12:53" x14ac:dyDescent="0.2">
      <c r="L81" s="232" t="str">
        <f>'Occ T3'!A36</f>
        <v>62 Leisure, travel and related personal service occupations</v>
      </c>
      <c r="M81" s="335">
        <f t="shared" ref="M81:AG82" si="68">M34/M$49</f>
        <v>2.3065612118263149E-2</v>
      </c>
      <c r="N81" s="335">
        <f t="shared" si="68"/>
        <v>2.4789290789430669E-2</v>
      </c>
      <c r="O81" s="335">
        <f t="shared" si="68"/>
        <v>2.3655295455072112E-2</v>
      </c>
      <c r="P81" s="335">
        <f t="shared" si="68"/>
        <v>2.7302697051151369E-2</v>
      </c>
      <c r="Q81" s="335">
        <f t="shared" si="68"/>
        <v>2.5835293833888121E-2</v>
      </c>
      <c r="R81" s="335">
        <f t="shared" si="68"/>
        <v>2.1712689670658616E-2</v>
      </c>
      <c r="S81" s="335">
        <f t="shared" si="68"/>
        <v>2.6548384506483509E-2</v>
      </c>
      <c r="T81" s="335">
        <f t="shared" si="68"/>
        <v>2.28602723280996E-2</v>
      </c>
      <c r="U81" s="335">
        <f t="shared" si="68"/>
        <v>2.2881110957320143E-2</v>
      </c>
      <c r="V81" s="335">
        <f t="shared" si="68"/>
        <v>2.5749610828479565E-2</v>
      </c>
      <c r="W81" s="335">
        <f t="shared" si="68"/>
        <v>2.4535494933687861E-2</v>
      </c>
      <c r="X81" s="335">
        <f t="shared" si="68"/>
        <v>2.4213128540603059E-2</v>
      </c>
      <c r="Y81" s="335">
        <f t="shared" si="68"/>
        <v>2.4100350790631435E-2</v>
      </c>
      <c r="Z81" s="335">
        <f t="shared" si="68"/>
        <v>2.4092647929973409E-2</v>
      </c>
      <c r="AA81" s="335">
        <f t="shared" si="68"/>
        <v>2.4103797919733157E-2</v>
      </c>
      <c r="AB81" s="335">
        <f t="shared" si="68"/>
        <v>2.4123355731737062E-2</v>
      </c>
      <c r="AC81" s="335">
        <f t="shared" si="68"/>
        <v>2.4143108928089019E-2</v>
      </c>
      <c r="AD81" s="335">
        <f t="shared" si="68"/>
        <v>2.4163283680207419E-2</v>
      </c>
      <c r="AE81" s="335">
        <f t="shared" si="68"/>
        <v>2.4167259262773123E-2</v>
      </c>
      <c r="AF81" s="335">
        <f t="shared" si="68"/>
        <v>2.416662497598825E-2</v>
      </c>
      <c r="AG81" s="335">
        <f t="shared" si="68"/>
        <v>2.4165465230926476E-2</v>
      </c>
      <c r="AH81" s="335">
        <f t="shared" ref="AH81:AL81" si="69">AH34/AH$49</f>
        <v>2.4161376479485172E-2</v>
      </c>
      <c r="AI81" s="335">
        <f t="shared" si="69"/>
        <v>2.4135518117878191E-2</v>
      </c>
      <c r="AJ81" s="335">
        <f t="shared" si="69"/>
        <v>2.4108090137835277E-2</v>
      </c>
      <c r="AK81" s="335">
        <f t="shared" si="69"/>
        <v>2.4081230389494432E-2</v>
      </c>
      <c r="AL81" s="335">
        <f t="shared" si="69"/>
        <v>2.4058732780633862E-2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</row>
    <row r="82" spans="12:53" x14ac:dyDescent="0.2">
      <c r="L82" s="232" t="str">
        <f>'Occ T3'!A37</f>
        <v>63 Community and civil enforcement occupations</v>
      </c>
      <c r="M82" s="335">
        <f>M35/M$49</f>
        <v>1.7291835727910188E-3</v>
      </c>
      <c r="N82" s="335">
        <f t="shared" si="68"/>
        <v>1.1499207165277243E-3</v>
      </c>
      <c r="O82" s="335">
        <f t="shared" si="68"/>
        <v>1.0913660534382585E-3</v>
      </c>
      <c r="P82" s="335">
        <f t="shared" si="68"/>
        <v>1.0169740790380122E-3</v>
      </c>
      <c r="Q82" s="335">
        <f t="shared" si="68"/>
        <v>1.154331895550978E-3</v>
      </c>
      <c r="R82" s="335">
        <f t="shared" si="68"/>
        <v>1.0532479256051483E-3</v>
      </c>
      <c r="S82" s="335">
        <f t="shared" si="68"/>
        <v>8.3721064218213756E-4</v>
      </c>
      <c r="T82" s="335">
        <f t="shared" si="68"/>
        <v>8.8029799747085758E-4</v>
      </c>
      <c r="U82" s="335">
        <f t="shared" si="68"/>
        <v>8.9417713997566963E-4</v>
      </c>
      <c r="V82" s="335">
        <f t="shared" si="68"/>
        <v>8.1819777139715264E-4</v>
      </c>
      <c r="W82" s="335">
        <f t="shared" si="68"/>
        <v>1.0618215876086422E-3</v>
      </c>
      <c r="X82" s="335">
        <f t="shared" si="68"/>
        <v>8.2054952650898805E-4</v>
      </c>
      <c r="Y82" s="335">
        <f t="shared" si="68"/>
        <v>8.3335105423264699E-4</v>
      </c>
      <c r="Z82" s="335">
        <f t="shared" si="68"/>
        <v>8.429645564569224E-4</v>
      </c>
      <c r="AA82" s="335">
        <f t="shared" si="68"/>
        <v>8.5324450654225515E-4</v>
      </c>
      <c r="AB82" s="335">
        <f t="shared" si="68"/>
        <v>8.6058451943841455E-4</v>
      </c>
      <c r="AC82" s="335">
        <f t="shared" si="68"/>
        <v>8.6752554078701582E-4</v>
      </c>
      <c r="AD82" s="335">
        <f t="shared" si="68"/>
        <v>8.7415627262515982E-4</v>
      </c>
      <c r="AE82" s="335">
        <f t="shared" si="68"/>
        <v>8.8116308195974608E-4</v>
      </c>
      <c r="AF82" s="335">
        <f t="shared" si="68"/>
        <v>8.8841872521053039E-4</v>
      </c>
      <c r="AG82" s="335">
        <f t="shared" si="68"/>
        <v>8.9528382700834828E-4</v>
      </c>
      <c r="AH82" s="335">
        <f t="shared" ref="AH82:AL82" si="70">AH35/AH$49</f>
        <v>9.016223180774855E-4</v>
      </c>
      <c r="AI82" s="335">
        <f t="shared" si="70"/>
        <v>9.077110538102765E-4</v>
      </c>
      <c r="AJ82" s="335">
        <f t="shared" si="70"/>
        <v>9.1466235774560626E-4</v>
      </c>
      <c r="AK82" s="335">
        <f t="shared" si="70"/>
        <v>9.2174451838813662E-4</v>
      </c>
      <c r="AL82" s="335">
        <f t="shared" si="70"/>
        <v>9.2915487650227101E-4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</row>
    <row r="83" spans="12:53" x14ac:dyDescent="0.2">
      <c r="L83" s="232"/>
      <c r="M83" s="335"/>
      <c r="N83" s="335"/>
      <c r="O83" s="335"/>
      <c r="P83" s="335"/>
      <c r="Q83" s="335"/>
      <c r="R83" s="335"/>
      <c r="S83" s="335"/>
      <c r="T83" s="335"/>
      <c r="U83" s="335"/>
      <c r="V83" s="335"/>
      <c r="W83" s="335"/>
      <c r="X83" s="335"/>
      <c r="Y83" s="335"/>
      <c r="Z83" s="335"/>
      <c r="AA83" s="335"/>
      <c r="AB83" s="335"/>
      <c r="AC83" s="335"/>
      <c r="AD83" s="335"/>
      <c r="AE83" s="335"/>
      <c r="AF83" s="335"/>
      <c r="AG83" s="335"/>
      <c r="AH83" s="335"/>
      <c r="AI83" s="335"/>
      <c r="AJ83" s="335"/>
      <c r="AK83" s="335"/>
      <c r="AL83" s="335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</row>
    <row r="84" spans="12:53" x14ac:dyDescent="0.2">
      <c r="L84" s="16" t="str">
        <f>'Occ T3'!A39</f>
        <v>Sales and customer service occupations</v>
      </c>
      <c r="M84" s="336">
        <f t="shared" ref="M84:AG84" si="71">M37/M$49</f>
        <v>8.8025853082343619E-2</v>
      </c>
      <c r="N84" s="336">
        <f t="shared" si="71"/>
        <v>9.3924512724282358E-2</v>
      </c>
      <c r="O84" s="336">
        <f t="shared" si="71"/>
        <v>9.2740943130824982E-2</v>
      </c>
      <c r="P84" s="336">
        <f t="shared" si="71"/>
        <v>9.1346578204040713E-2</v>
      </c>
      <c r="Q84" s="336">
        <f t="shared" si="71"/>
        <v>9.0511496176536629E-2</v>
      </c>
      <c r="R84" s="336">
        <f t="shared" si="71"/>
        <v>9.2142958493392324E-2</v>
      </c>
      <c r="S84" s="336">
        <f t="shared" si="71"/>
        <v>8.9863699120721049E-2</v>
      </c>
      <c r="T84" s="336">
        <f t="shared" si="71"/>
        <v>8.7782591056604603E-2</v>
      </c>
      <c r="U84" s="336">
        <f t="shared" si="71"/>
        <v>8.619442591935704E-2</v>
      </c>
      <c r="V84" s="336">
        <f t="shared" si="71"/>
        <v>8.4287551778421108E-2</v>
      </c>
      <c r="W84" s="336">
        <f t="shared" si="71"/>
        <v>8.2430319147128797E-2</v>
      </c>
      <c r="X84" s="336">
        <f t="shared" si="71"/>
        <v>8.1633902337941433E-2</v>
      </c>
      <c r="Y84" s="336">
        <f t="shared" si="71"/>
        <v>8.1692247939495477E-2</v>
      </c>
      <c r="Z84" s="336">
        <f t="shared" si="71"/>
        <v>8.1539619783680378E-2</v>
      </c>
      <c r="AA84" s="336">
        <f t="shared" si="71"/>
        <v>8.1364163640904208E-2</v>
      </c>
      <c r="AB84" s="336">
        <f t="shared" si="71"/>
        <v>8.115937344767378E-2</v>
      </c>
      <c r="AC84" s="336">
        <f t="shared" si="71"/>
        <v>8.092874480192068E-2</v>
      </c>
      <c r="AD84" s="336">
        <f t="shared" si="71"/>
        <v>8.0683302855559205E-2</v>
      </c>
      <c r="AE84" s="336">
        <f t="shared" si="71"/>
        <v>8.0404107928163063E-2</v>
      </c>
      <c r="AF84" s="336">
        <f t="shared" si="71"/>
        <v>8.0121254085318852E-2</v>
      </c>
      <c r="AG84" s="336">
        <f t="shared" si="71"/>
        <v>7.9823288218998437E-2</v>
      </c>
      <c r="AH84" s="336">
        <f t="shared" ref="AH84:AL84" si="72">AH37/AH$49</f>
        <v>7.9508246867008706E-2</v>
      </c>
      <c r="AI84" s="336">
        <f t="shared" si="72"/>
        <v>7.9243397555934583E-2</v>
      </c>
      <c r="AJ84" s="336">
        <f t="shared" si="72"/>
        <v>7.8977233096885341E-2</v>
      </c>
      <c r="AK84" s="336">
        <f t="shared" si="72"/>
        <v>7.8727143515791298E-2</v>
      </c>
      <c r="AL84" s="336">
        <f t="shared" si="72"/>
        <v>7.8476724301488526E-2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</row>
    <row r="85" spans="12:53" x14ac:dyDescent="0.2">
      <c r="L85" s="232" t="str">
        <f>'Occ T3'!A40</f>
        <v>71 Sales occupations</v>
      </c>
      <c r="M85" s="335">
        <f t="shared" ref="M85:AG85" si="73">M38/M$49</f>
        <v>7.270811522287661E-2</v>
      </c>
      <c r="N85" s="335">
        <f t="shared" si="73"/>
        <v>7.9037346187858487E-2</v>
      </c>
      <c r="O85" s="335">
        <f t="shared" si="73"/>
        <v>7.7900228464485854E-2</v>
      </c>
      <c r="P85" s="335">
        <f t="shared" si="73"/>
        <v>7.6440956245397942E-2</v>
      </c>
      <c r="Q85" s="335">
        <f t="shared" si="73"/>
        <v>7.6266646631266061E-2</v>
      </c>
      <c r="R85" s="335">
        <f t="shared" si="73"/>
        <v>7.6194617664576483E-2</v>
      </c>
      <c r="S85" s="335">
        <f t="shared" si="73"/>
        <v>7.5158425138402679E-2</v>
      </c>
      <c r="T85" s="335">
        <f t="shared" si="73"/>
        <v>7.1748035288229386E-2</v>
      </c>
      <c r="U85" s="335">
        <f t="shared" si="73"/>
        <v>6.9732755170540422E-2</v>
      </c>
      <c r="V85" s="335">
        <f t="shared" si="73"/>
        <v>6.8101824557008403E-2</v>
      </c>
      <c r="W85" s="335">
        <f t="shared" si="73"/>
        <v>6.5788568075788326E-2</v>
      </c>
      <c r="X85" s="335">
        <f t="shared" si="73"/>
        <v>6.165602935769883E-2</v>
      </c>
      <c r="Y85" s="335">
        <f t="shared" si="73"/>
        <v>6.1465890361158612E-2</v>
      </c>
      <c r="Z85" s="335">
        <f t="shared" si="73"/>
        <v>6.1085987652135521E-2</v>
      </c>
      <c r="AA85" s="335">
        <f t="shared" si="73"/>
        <v>6.068618740106544E-2</v>
      </c>
      <c r="AB85" s="335">
        <f t="shared" si="73"/>
        <v>6.0255236148133683E-2</v>
      </c>
      <c r="AC85" s="335">
        <f t="shared" si="73"/>
        <v>5.9814323561394503E-2</v>
      </c>
      <c r="AD85" s="335">
        <f t="shared" si="73"/>
        <v>5.9359656548140079E-2</v>
      </c>
      <c r="AE85" s="335">
        <f t="shared" si="73"/>
        <v>5.8878435208502264E-2</v>
      </c>
      <c r="AF85" s="335">
        <f t="shared" si="73"/>
        <v>5.8390686852514806E-2</v>
      </c>
      <c r="AG85" s="335">
        <f t="shared" si="73"/>
        <v>5.7886818139203024E-2</v>
      </c>
      <c r="AH85" s="335">
        <f t="shared" ref="AH85:AL85" si="74">AH38/AH$49</f>
        <v>5.7352297138039555E-2</v>
      </c>
      <c r="AI85" s="335">
        <f t="shared" si="74"/>
        <v>5.6873559962454738E-2</v>
      </c>
      <c r="AJ85" s="335">
        <f t="shared" si="74"/>
        <v>5.6384342119117109E-2</v>
      </c>
      <c r="AK85" s="335">
        <f t="shared" si="74"/>
        <v>5.5909378578506044E-2</v>
      </c>
      <c r="AL85" s="335">
        <f t="shared" si="74"/>
        <v>5.5426391031808506E-2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</row>
    <row r="86" spans="12:53" x14ac:dyDescent="0.2">
      <c r="L86" s="232" t="str">
        <f>'Occ T3'!A41</f>
        <v>72 Customer service occupations</v>
      </c>
      <c r="M86" s="335">
        <f>M39/M$49</f>
        <v>1.5317737859467006E-2</v>
      </c>
      <c r="N86" s="335">
        <f t="shared" ref="N86:AG86" si="75">N39/N$49</f>
        <v>1.4887166536423869E-2</v>
      </c>
      <c r="O86" s="335">
        <f t="shared" si="75"/>
        <v>1.4840714666339143E-2</v>
      </c>
      <c r="P86" s="335">
        <f t="shared" si="75"/>
        <v>1.490562195864276E-2</v>
      </c>
      <c r="Q86" s="335">
        <f t="shared" si="75"/>
        <v>1.4244849545270579E-2</v>
      </c>
      <c r="R86" s="335">
        <f t="shared" si="75"/>
        <v>1.5948340828815848E-2</v>
      </c>
      <c r="S86" s="335">
        <f t="shared" si="75"/>
        <v>1.4705273982318377E-2</v>
      </c>
      <c r="T86" s="335">
        <f t="shared" si="75"/>
        <v>1.6034555768375213E-2</v>
      </c>
      <c r="U86" s="335">
        <f t="shared" si="75"/>
        <v>1.6461670748816614E-2</v>
      </c>
      <c r="V86" s="335">
        <f t="shared" si="75"/>
        <v>1.6185727221412708E-2</v>
      </c>
      <c r="W86" s="335">
        <f t="shared" si="75"/>
        <v>1.6641751071340471E-2</v>
      </c>
      <c r="X86" s="335">
        <f t="shared" si="75"/>
        <v>1.9977872980242596E-2</v>
      </c>
      <c r="Y86" s="335">
        <f t="shared" si="75"/>
        <v>2.0226357578336865E-2</v>
      </c>
      <c r="Z86" s="335">
        <f t="shared" si="75"/>
        <v>2.0453632131544865E-2</v>
      </c>
      <c r="AA86" s="335">
        <f t="shared" si="75"/>
        <v>2.0677976239838764E-2</v>
      </c>
      <c r="AB86" s="335">
        <f t="shared" si="75"/>
        <v>2.0904137299540087E-2</v>
      </c>
      <c r="AC86" s="335">
        <f t="shared" si="75"/>
        <v>2.1114421240526177E-2</v>
      </c>
      <c r="AD86" s="335">
        <f t="shared" si="75"/>
        <v>2.1323646307419116E-2</v>
      </c>
      <c r="AE86" s="335">
        <f t="shared" si="75"/>
        <v>2.1525672719660795E-2</v>
      </c>
      <c r="AF86" s="335">
        <f t="shared" si="75"/>
        <v>2.1730567232804043E-2</v>
      </c>
      <c r="AG86" s="335">
        <f t="shared" si="75"/>
        <v>2.1936470079795409E-2</v>
      </c>
      <c r="AH86" s="335">
        <f t="shared" ref="AH86:AL86" si="76">AH39/AH$49</f>
        <v>2.215594972896915E-2</v>
      </c>
      <c r="AI86" s="335">
        <f t="shared" si="76"/>
        <v>2.2369837593479852E-2</v>
      </c>
      <c r="AJ86" s="335">
        <f t="shared" si="76"/>
        <v>2.2592890977768221E-2</v>
      </c>
      <c r="AK86" s="335">
        <f t="shared" si="76"/>
        <v>2.2817764937285257E-2</v>
      </c>
      <c r="AL86" s="335">
        <f t="shared" si="76"/>
        <v>2.3050333269680017E-2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</row>
    <row r="87" spans="12:53" x14ac:dyDescent="0.2">
      <c r="L87" s="232"/>
      <c r="M87" s="335"/>
      <c r="N87" s="335"/>
      <c r="O87" s="335"/>
      <c r="P87" s="335"/>
      <c r="Q87" s="335"/>
      <c r="R87" s="335"/>
      <c r="S87" s="335"/>
      <c r="T87" s="335"/>
      <c r="U87" s="335"/>
      <c r="V87" s="335"/>
      <c r="W87" s="335"/>
      <c r="X87" s="335"/>
      <c r="Y87" s="335"/>
      <c r="Z87" s="335"/>
      <c r="AA87" s="335"/>
      <c r="AB87" s="335"/>
      <c r="AC87" s="335"/>
      <c r="AD87" s="335"/>
      <c r="AE87" s="335"/>
      <c r="AF87" s="335"/>
      <c r="AG87" s="335"/>
      <c r="AH87" s="335"/>
      <c r="AI87" s="335"/>
      <c r="AJ87" s="335"/>
      <c r="AK87" s="335"/>
      <c r="AL87" s="335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</row>
    <row r="88" spans="12:53" x14ac:dyDescent="0.2">
      <c r="L88" s="16" t="str">
        <f>'Occ T3'!A43</f>
        <v>Process, plant and machine operatives</v>
      </c>
      <c r="M88" s="336">
        <f t="shared" ref="M88:AG88" si="77">M41/M$49</f>
        <v>8.8669192078328768E-2</v>
      </c>
      <c r="N88" s="336">
        <f t="shared" si="77"/>
        <v>8.2356832425551918E-2</v>
      </c>
      <c r="O88" s="336">
        <f t="shared" si="77"/>
        <v>8.2942698670467024E-2</v>
      </c>
      <c r="P88" s="336">
        <f t="shared" si="77"/>
        <v>8.524875344078324E-2</v>
      </c>
      <c r="Q88" s="336">
        <f t="shared" si="77"/>
        <v>8.0366900245385994E-2</v>
      </c>
      <c r="R88" s="336">
        <f t="shared" si="77"/>
        <v>8.3221889859646028E-2</v>
      </c>
      <c r="S88" s="336">
        <f t="shared" si="77"/>
        <v>8.4677398720476901E-2</v>
      </c>
      <c r="T88" s="336">
        <f t="shared" si="77"/>
        <v>8.5312739652715491E-2</v>
      </c>
      <c r="U88" s="336">
        <f t="shared" si="77"/>
        <v>8.5658820301119196E-2</v>
      </c>
      <c r="V88" s="336">
        <f t="shared" si="77"/>
        <v>8.3179986684612531E-2</v>
      </c>
      <c r="W88" s="336">
        <f t="shared" si="77"/>
        <v>7.8256687277380749E-2</v>
      </c>
      <c r="X88" s="336">
        <f t="shared" si="77"/>
        <v>8.7593784168548475E-2</v>
      </c>
      <c r="Y88" s="336">
        <f t="shared" si="77"/>
        <v>8.701915285288396E-2</v>
      </c>
      <c r="Z88" s="336">
        <f t="shared" si="77"/>
        <v>8.6591499098219865E-2</v>
      </c>
      <c r="AA88" s="336">
        <f t="shared" si="77"/>
        <v>8.6181564547740244E-2</v>
      </c>
      <c r="AB88" s="336">
        <f t="shared" si="77"/>
        <v>8.5855517371330348E-2</v>
      </c>
      <c r="AC88" s="336">
        <f t="shared" si="77"/>
        <v>8.5526395065774613E-2</v>
      </c>
      <c r="AD88" s="336">
        <f t="shared" si="77"/>
        <v>8.5126734625638051E-2</v>
      </c>
      <c r="AE88" s="336">
        <f t="shared" si="77"/>
        <v>8.4811572407907057E-2</v>
      </c>
      <c r="AF88" s="336">
        <f t="shared" si="77"/>
        <v>8.4505810698928638E-2</v>
      </c>
      <c r="AG88" s="336">
        <f t="shared" si="77"/>
        <v>8.4195516855750385E-2</v>
      </c>
      <c r="AH88" s="336">
        <f t="shared" ref="AH88:AL88" si="78">AH41/AH$49</f>
        <v>8.3873791617778318E-2</v>
      </c>
      <c r="AI88" s="336">
        <f t="shared" si="78"/>
        <v>8.3493101439290784E-2</v>
      </c>
      <c r="AJ88" s="336">
        <f t="shared" si="78"/>
        <v>8.3080494985136491E-2</v>
      </c>
      <c r="AK88" s="336">
        <f t="shared" si="78"/>
        <v>8.2614970768876597E-2</v>
      </c>
      <c r="AL88" s="336">
        <f t="shared" si="78"/>
        <v>8.2124822987558022E-2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</row>
    <row r="89" spans="12:53" x14ac:dyDescent="0.2">
      <c r="L89" s="232" t="str">
        <f>'Occ T3'!A44</f>
        <v>81 Process, plant and machine operatives</v>
      </c>
      <c r="M89" s="335">
        <f t="shared" ref="M89:AG89" si="79">M42/M$49</f>
        <v>4.3922287118382142E-2</v>
      </c>
      <c r="N89" s="335">
        <f t="shared" si="79"/>
        <v>3.9499810471163958E-2</v>
      </c>
      <c r="O89" s="335">
        <f t="shared" si="79"/>
        <v>4.1895158171796974E-2</v>
      </c>
      <c r="P89" s="335">
        <f t="shared" si="79"/>
        <v>4.2803998798760214E-2</v>
      </c>
      <c r="Q89" s="335">
        <f t="shared" si="79"/>
        <v>4.1332331801545448E-2</v>
      </c>
      <c r="R89" s="335">
        <f t="shared" si="79"/>
        <v>4.2355193889802085E-2</v>
      </c>
      <c r="S89" s="335">
        <f t="shared" si="79"/>
        <v>4.2242988260480167E-2</v>
      </c>
      <c r="T89" s="335">
        <f t="shared" si="79"/>
        <v>4.2203115119017642E-2</v>
      </c>
      <c r="U89" s="335">
        <f t="shared" si="79"/>
        <v>4.187442246756351E-2</v>
      </c>
      <c r="V89" s="335">
        <f t="shared" si="79"/>
        <v>3.9632022196412278E-2</v>
      </c>
      <c r="W89" s="335">
        <f t="shared" si="79"/>
        <v>3.4514454063889852E-2</v>
      </c>
      <c r="X89" s="335">
        <f t="shared" si="79"/>
        <v>4.1564406123215381E-2</v>
      </c>
      <c r="Y89" s="335">
        <f t="shared" si="79"/>
        <v>4.150345308173483E-2</v>
      </c>
      <c r="Z89" s="335">
        <f t="shared" si="79"/>
        <v>4.1316174231167221E-2</v>
      </c>
      <c r="AA89" s="335">
        <f t="shared" si="79"/>
        <v>4.1100083786909845E-2</v>
      </c>
      <c r="AB89" s="335">
        <f t="shared" si="79"/>
        <v>4.096185943216521E-2</v>
      </c>
      <c r="AC89" s="335">
        <f t="shared" si="79"/>
        <v>4.0822011807567476E-2</v>
      </c>
      <c r="AD89" s="335">
        <f t="shared" si="79"/>
        <v>4.0626039291796055E-2</v>
      </c>
      <c r="AE89" s="335">
        <f t="shared" si="79"/>
        <v>4.0509255696670278E-2</v>
      </c>
      <c r="AF89" s="335">
        <f t="shared" si="79"/>
        <v>4.0406790989854176E-2</v>
      </c>
      <c r="AG89" s="335">
        <f t="shared" si="79"/>
        <v>4.0287005100249094E-2</v>
      </c>
      <c r="AH89" s="335">
        <f t="shared" ref="AH89:AL89" si="80">AH42/AH$49</f>
        <v>4.0148898282398635E-2</v>
      </c>
      <c r="AI89" s="335">
        <f t="shared" si="80"/>
        <v>3.9985620390181144E-2</v>
      </c>
      <c r="AJ89" s="335">
        <f t="shared" si="80"/>
        <v>3.9793807632591965E-2</v>
      </c>
      <c r="AK89" s="335">
        <f t="shared" si="80"/>
        <v>3.9549933372021971E-2</v>
      </c>
      <c r="AL89" s="335">
        <f t="shared" si="80"/>
        <v>3.9284713213036851E-2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</row>
    <row r="90" spans="12:53" x14ac:dyDescent="0.2">
      <c r="L90" s="232" t="str">
        <f>'Occ T3'!A45</f>
        <v>82 Transport and mobile machine drivers and operatives</v>
      </c>
      <c r="M90" s="335">
        <f t="shared" ref="M90:AG90" si="81">M43/M$49</f>
        <v>4.4746904959946626E-2</v>
      </c>
      <c r="N90" s="335">
        <f t="shared" si="81"/>
        <v>4.285702195438796E-2</v>
      </c>
      <c r="O90" s="335">
        <f t="shared" si="81"/>
        <v>4.1047540498670057E-2</v>
      </c>
      <c r="P90" s="335">
        <f t="shared" si="81"/>
        <v>4.2444754642023026E-2</v>
      </c>
      <c r="Q90" s="335">
        <f t="shared" si="81"/>
        <v>3.9034568443840532E-2</v>
      </c>
      <c r="R90" s="335">
        <f t="shared" si="81"/>
        <v>4.0866695969843936E-2</v>
      </c>
      <c r="S90" s="335">
        <f t="shared" si="81"/>
        <v>4.2434410459996734E-2</v>
      </c>
      <c r="T90" s="335">
        <f t="shared" si="81"/>
        <v>4.3109624533697835E-2</v>
      </c>
      <c r="U90" s="335">
        <f t="shared" si="81"/>
        <v>4.3784397833555685E-2</v>
      </c>
      <c r="V90" s="335">
        <f t="shared" si="81"/>
        <v>4.3547964488200253E-2</v>
      </c>
      <c r="W90" s="335">
        <f t="shared" si="81"/>
        <v>4.3742233213490897E-2</v>
      </c>
      <c r="X90" s="335">
        <f t="shared" si="81"/>
        <v>4.6029378045333094E-2</v>
      </c>
      <c r="Y90" s="335">
        <f t="shared" si="81"/>
        <v>4.5515699771149137E-2</v>
      </c>
      <c r="Z90" s="335">
        <f t="shared" si="81"/>
        <v>4.5275324867052644E-2</v>
      </c>
      <c r="AA90" s="335">
        <f t="shared" si="81"/>
        <v>4.5081480760830406E-2</v>
      </c>
      <c r="AB90" s="335">
        <f t="shared" si="81"/>
        <v>4.4893657939165138E-2</v>
      </c>
      <c r="AC90" s="335">
        <f t="shared" si="81"/>
        <v>4.470438325820713E-2</v>
      </c>
      <c r="AD90" s="335">
        <f t="shared" si="81"/>
        <v>4.4500695333841996E-2</v>
      </c>
      <c r="AE90" s="335">
        <f t="shared" si="81"/>
        <v>4.4302316711236786E-2</v>
      </c>
      <c r="AF90" s="335">
        <f t="shared" si="81"/>
        <v>4.4099019709074455E-2</v>
      </c>
      <c r="AG90" s="335">
        <f t="shared" si="81"/>
        <v>4.3908511755501291E-2</v>
      </c>
      <c r="AH90" s="335">
        <f t="shared" ref="AH90:AL90" si="82">AH43/AH$49</f>
        <v>4.372489333537969E-2</v>
      </c>
      <c r="AI90" s="335">
        <f t="shared" si="82"/>
        <v>4.3507481049109627E-2</v>
      </c>
      <c r="AJ90" s="335">
        <f t="shared" si="82"/>
        <v>4.3286687352544526E-2</v>
      </c>
      <c r="AK90" s="335">
        <f t="shared" si="82"/>
        <v>4.3065037396854626E-2</v>
      </c>
      <c r="AL90" s="335">
        <f t="shared" si="82"/>
        <v>4.2840109774521171E-2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</row>
    <row r="91" spans="12:53" x14ac:dyDescent="0.2">
      <c r="L91" s="232"/>
      <c r="M91" s="335"/>
      <c r="N91" s="335"/>
      <c r="O91" s="335"/>
      <c r="P91" s="335"/>
      <c r="Q91" s="335"/>
      <c r="R91" s="335"/>
      <c r="S91" s="335"/>
      <c r="T91" s="335"/>
      <c r="U91" s="335"/>
      <c r="V91" s="335"/>
      <c r="W91" s="335"/>
      <c r="X91" s="335"/>
      <c r="Y91" s="335"/>
      <c r="Z91" s="335"/>
      <c r="AA91" s="335"/>
      <c r="AB91" s="335"/>
      <c r="AC91" s="335"/>
      <c r="AD91" s="335"/>
      <c r="AE91" s="335"/>
      <c r="AF91" s="335"/>
      <c r="AG91" s="335"/>
      <c r="AH91" s="335"/>
      <c r="AI91" s="335"/>
      <c r="AJ91" s="335"/>
      <c r="AK91" s="335"/>
      <c r="AL91" s="335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</row>
    <row r="92" spans="12:53" x14ac:dyDescent="0.2">
      <c r="L92" s="16" t="str">
        <f>'Occ T3'!A47</f>
        <v>Elementary occupations</v>
      </c>
      <c r="M92" s="336">
        <f t="shared" ref="M92:AG92" si="83">M45/M$49</f>
        <v>0.12636581300873068</v>
      </c>
      <c r="N92" s="336">
        <f t="shared" si="83"/>
        <v>0.12433315827179031</v>
      </c>
      <c r="O92" s="336">
        <f t="shared" si="83"/>
        <v>0.11983836466939919</v>
      </c>
      <c r="P92" s="336">
        <f t="shared" si="83"/>
        <v>0.12160628624233237</v>
      </c>
      <c r="Q92" s="336">
        <f t="shared" si="83"/>
        <v>0.12004359784169037</v>
      </c>
      <c r="R92" s="336">
        <f t="shared" si="83"/>
        <v>0.12399894421483698</v>
      </c>
      <c r="S92" s="336">
        <f t="shared" si="83"/>
        <v>0.12074782615066713</v>
      </c>
      <c r="T92" s="336">
        <f t="shared" si="83"/>
        <v>0.11644094988637416</v>
      </c>
      <c r="U92" s="336">
        <f t="shared" si="83"/>
        <v>0.11460261195910379</v>
      </c>
      <c r="V92" s="336">
        <f t="shared" si="83"/>
        <v>0.11180143123317282</v>
      </c>
      <c r="W92" s="336">
        <f t="shared" si="83"/>
        <v>0.10397963120496344</v>
      </c>
      <c r="X92" s="336">
        <f t="shared" si="83"/>
        <v>0.10329961096615282</v>
      </c>
      <c r="Y92" s="336">
        <f t="shared" si="83"/>
        <v>0.10259754635492679</v>
      </c>
      <c r="Z92" s="336">
        <f t="shared" si="83"/>
        <v>0.10148833741797669</v>
      </c>
      <c r="AA92" s="336">
        <f t="shared" si="83"/>
        <v>0.10045753137089911</v>
      </c>
      <c r="AB92" s="336">
        <f t="shared" si="83"/>
        <v>9.9418598935378716E-2</v>
      </c>
      <c r="AC92" s="336">
        <f t="shared" si="83"/>
        <v>9.8405242041108246E-2</v>
      </c>
      <c r="AD92" s="336">
        <f t="shared" si="83"/>
        <v>9.7424055532639428E-2</v>
      </c>
      <c r="AE92" s="336">
        <f t="shared" si="83"/>
        <v>9.6440601628163397E-2</v>
      </c>
      <c r="AF92" s="336">
        <f t="shared" si="83"/>
        <v>9.549725655501061E-2</v>
      </c>
      <c r="AG92" s="336">
        <f t="shared" si="83"/>
        <v>9.458296210472171E-2</v>
      </c>
      <c r="AH92" s="336">
        <f t="shared" ref="AH92:AL92" si="84">AH45/AH$49</f>
        <v>9.3724609958118682E-2</v>
      </c>
      <c r="AI92" s="336">
        <f t="shared" si="84"/>
        <v>9.2857332385478983E-2</v>
      </c>
      <c r="AJ92" s="336">
        <f t="shared" si="84"/>
        <v>9.2028549924865172E-2</v>
      </c>
      <c r="AK92" s="336">
        <f t="shared" si="84"/>
        <v>9.121219978545933E-2</v>
      </c>
      <c r="AL92" s="336">
        <f t="shared" si="84"/>
        <v>9.0389798152815004E-2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</row>
    <row r="93" spans="12:53" x14ac:dyDescent="0.2">
      <c r="L93" s="232" t="str">
        <f>'Occ T3'!A48</f>
        <v>91 Elementary trades and related occupations</v>
      </c>
      <c r="M93" s="335">
        <f t="shared" ref="M93:AG93" si="85">M46/M$49</f>
        <v>2.1742413527252924E-2</v>
      </c>
      <c r="N93" s="335">
        <f t="shared" si="85"/>
        <v>2.2268068496828074E-2</v>
      </c>
      <c r="O93" s="335">
        <f t="shared" si="85"/>
        <v>2.1942285393507812E-2</v>
      </c>
      <c r="P93" s="335">
        <f t="shared" si="85"/>
        <v>2.1558663836862255E-2</v>
      </c>
      <c r="Q93" s="335">
        <f t="shared" si="85"/>
        <v>2.151489581634394E-2</v>
      </c>
      <c r="R93" s="335">
        <f t="shared" si="85"/>
        <v>2.2972969034342663E-2</v>
      </c>
      <c r="S93" s="335">
        <f t="shared" si="85"/>
        <v>2.3069815385058968E-2</v>
      </c>
      <c r="T93" s="335">
        <f t="shared" si="85"/>
        <v>2.0809507546262464E-2</v>
      </c>
      <c r="U93" s="335">
        <f t="shared" si="85"/>
        <v>2.0798596013075904E-2</v>
      </c>
      <c r="V93" s="335">
        <f t="shared" si="85"/>
        <v>1.9961419780143028E-2</v>
      </c>
      <c r="W93" s="335">
        <f t="shared" si="85"/>
        <v>1.848137783724409E-2</v>
      </c>
      <c r="X93" s="335">
        <f t="shared" si="85"/>
        <v>1.574694599125203E-2</v>
      </c>
      <c r="Y93" s="335">
        <f t="shared" si="85"/>
        <v>1.566170333484676E-2</v>
      </c>
      <c r="Z93" s="335">
        <f t="shared" si="85"/>
        <v>1.5546300548060566E-2</v>
      </c>
      <c r="AA93" s="335">
        <f t="shared" si="85"/>
        <v>1.5418886726492644E-2</v>
      </c>
      <c r="AB93" s="335">
        <f t="shared" si="85"/>
        <v>1.5293588446094786E-2</v>
      </c>
      <c r="AC93" s="335">
        <f t="shared" si="85"/>
        <v>1.516311817656088E-2</v>
      </c>
      <c r="AD93" s="335">
        <f t="shared" si="85"/>
        <v>1.5054368832224666E-2</v>
      </c>
      <c r="AE93" s="335">
        <f t="shared" si="85"/>
        <v>1.4905410465970562E-2</v>
      </c>
      <c r="AF93" s="335">
        <f t="shared" si="85"/>
        <v>1.4755110236541259E-2</v>
      </c>
      <c r="AG93" s="335">
        <f t="shared" si="85"/>
        <v>1.4607279682729599E-2</v>
      </c>
      <c r="AH93" s="335">
        <f t="shared" ref="AH93:AL93" si="86">AH46/AH$49</f>
        <v>1.446383053782168E-2</v>
      </c>
      <c r="AI93" s="335">
        <f t="shared" si="86"/>
        <v>1.4317452807663032E-2</v>
      </c>
      <c r="AJ93" s="335">
        <f t="shared" si="86"/>
        <v>1.4170691733644152E-2</v>
      </c>
      <c r="AK93" s="335">
        <f t="shared" si="86"/>
        <v>1.4025045355447593E-2</v>
      </c>
      <c r="AL93" s="335">
        <f t="shared" si="86"/>
        <v>1.3877324726702583E-2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</row>
    <row r="94" spans="12:53" x14ac:dyDescent="0.2">
      <c r="L94" s="232" t="str">
        <f>'Occ T3'!A49</f>
        <v>92 Elementary administration and service occupations</v>
      </c>
      <c r="M94" s="335">
        <f t="shared" ref="M94:AG94" si="87">M47/M$49</f>
        <v>0.10462339948147775</v>
      </c>
      <c r="N94" s="335">
        <f t="shared" si="87"/>
        <v>0.10206508977496224</v>
      </c>
      <c r="O94" s="335">
        <f t="shared" si="87"/>
        <v>9.789607927589139E-2</v>
      </c>
      <c r="P94" s="335">
        <f t="shared" si="87"/>
        <v>0.1000476224054701</v>
      </c>
      <c r="Q94" s="335">
        <f t="shared" si="87"/>
        <v>9.8528702025346429E-2</v>
      </c>
      <c r="R94" s="335">
        <f t="shared" si="87"/>
        <v>0.10102597518049433</v>
      </c>
      <c r="S94" s="335">
        <f t="shared" si="87"/>
        <v>9.7678010765608156E-2</v>
      </c>
      <c r="T94" s="335">
        <f t="shared" si="87"/>
        <v>9.56314423401117E-2</v>
      </c>
      <c r="U94" s="335">
        <f t="shared" si="87"/>
        <v>9.3804015946027872E-2</v>
      </c>
      <c r="V94" s="335">
        <f t="shared" si="87"/>
        <v>9.1840011453029807E-2</v>
      </c>
      <c r="W94" s="335">
        <f t="shared" si="87"/>
        <v>8.5498253367719351E-2</v>
      </c>
      <c r="X94" s="335">
        <f t="shared" si="87"/>
        <v>8.7552664974900801E-2</v>
      </c>
      <c r="Y94" s="335">
        <f t="shared" si="87"/>
        <v>8.6935843020080034E-2</v>
      </c>
      <c r="Z94" s="335">
        <f t="shared" si="87"/>
        <v>8.5942036869916111E-2</v>
      </c>
      <c r="AA94" s="335">
        <f t="shared" si="87"/>
        <v>8.5038644644406455E-2</v>
      </c>
      <c r="AB94" s="335">
        <f t="shared" si="87"/>
        <v>8.4125010489283919E-2</v>
      </c>
      <c r="AC94" s="335">
        <f t="shared" si="87"/>
        <v>8.3242123864547365E-2</v>
      </c>
      <c r="AD94" s="335">
        <f t="shared" si="87"/>
        <v>8.2369686700414751E-2</v>
      </c>
      <c r="AE94" s="335">
        <f t="shared" si="87"/>
        <v>8.1535191162192835E-2</v>
      </c>
      <c r="AF94" s="335">
        <f t="shared" si="87"/>
        <v>8.0742146318469349E-2</v>
      </c>
      <c r="AG94" s="335">
        <f t="shared" si="87"/>
        <v>7.9975682421992114E-2</v>
      </c>
      <c r="AH94" s="335">
        <f t="shared" ref="AH94:AL94" si="88">AH47/AH$49</f>
        <v>7.9260779420297009E-2</v>
      </c>
      <c r="AI94" s="335">
        <f t="shared" si="88"/>
        <v>7.8539879577815955E-2</v>
      </c>
      <c r="AJ94" s="335">
        <f t="shared" si="88"/>
        <v>7.7857858191221013E-2</v>
      </c>
      <c r="AK94" s="335">
        <f t="shared" si="88"/>
        <v>7.7187154430011742E-2</v>
      </c>
      <c r="AL94" s="335">
        <f t="shared" si="88"/>
        <v>7.6512473426112407E-2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</row>
    <row r="95" spans="12:53" x14ac:dyDescent="0.2">
      <c r="L95" s="232"/>
      <c r="M95" s="335"/>
      <c r="N95" s="335"/>
      <c r="O95" s="335"/>
      <c r="P95" s="335"/>
      <c r="Q95" s="335"/>
      <c r="R95" s="335"/>
      <c r="S95" s="335"/>
      <c r="T95" s="335"/>
      <c r="U95" s="335"/>
      <c r="V95" s="335"/>
      <c r="W95" s="335"/>
      <c r="X95" s="335"/>
      <c r="Y95" s="335"/>
      <c r="Z95" s="335"/>
      <c r="AA95" s="335"/>
      <c r="AB95" s="335"/>
      <c r="AC95" s="335"/>
      <c r="AD95" s="335"/>
      <c r="AE95" s="335"/>
      <c r="AF95" s="335"/>
      <c r="AG95" s="335"/>
      <c r="AH95" s="335"/>
      <c r="AI95" s="335"/>
      <c r="AJ95" s="335"/>
      <c r="AK95" s="335"/>
      <c r="AL95" s="335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</row>
    <row r="96" spans="12:53" x14ac:dyDescent="0.2">
      <c r="L96" s="16" t="str">
        <f>'Occ T3'!A51</f>
        <v>All occupations</v>
      </c>
      <c r="M96" s="336">
        <f t="shared" ref="M96:AG96" si="89">M49/M$49</f>
        <v>1</v>
      </c>
      <c r="N96" s="336">
        <f t="shared" si="89"/>
        <v>1</v>
      </c>
      <c r="O96" s="336">
        <f t="shared" si="89"/>
        <v>1</v>
      </c>
      <c r="P96" s="336">
        <f t="shared" si="89"/>
        <v>1</v>
      </c>
      <c r="Q96" s="336">
        <f t="shared" si="89"/>
        <v>1</v>
      </c>
      <c r="R96" s="336">
        <f t="shared" si="89"/>
        <v>1</v>
      </c>
      <c r="S96" s="336">
        <f t="shared" si="89"/>
        <v>1</v>
      </c>
      <c r="T96" s="336">
        <f t="shared" si="89"/>
        <v>1</v>
      </c>
      <c r="U96" s="336">
        <f t="shared" si="89"/>
        <v>1</v>
      </c>
      <c r="V96" s="336">
        <f t="shared" si="89"/>
        <v>1</v>
      </c>
      <c r="W96" s="336">
        <f t="shared" si="89"/>
        <v>1</v>
      </c>
      <c r="X96" s="336">
        <f t="shared" si="89"/>
        <v>1</v>
      </c>
      <c r="Y96" s="336">
        <f t="shared" si="89"/>
        <v>1</v>
      </c>
      <c r="Z96" s="336">
        <f t="shared" si="89"/>
        <v>1</v>
      </c>
      <c r="AA96" s="336">
        <f t="shared" si="89"/>
        <v>1</v>
      </c>
      <c r="AB96" s="336">
        <f t="shared" si="89"/>
        <v>1</v>
      </c>
      <c r="AC96" s="336">
        <f t="shared" si="89"/>
        <v>1</v>
      </c>
      <c r="AD96" s="336">
        <f t="shared" si="89"/>
        <v>1</v>
      </c>
      <c r="AE96" s="336">
        <f t="shared" si="89"/>
        <v>1</v>
      </c>
      <c r="AF96" s="336">
        <f t="shared" si="89"/>
        <v>1</v>
      </c>
      <c r="AG96" s="336">
        <f t="shared" si="89"/>
        <v>1</v>
      </c>
      <c r="AH96" s="336">
        <f t="shared" ref="AH96:AL96" si="90">AH49/AH$49</f>
        <v>1</v>
      </c>
      <c r="AI96" s="336">
        <f t="shared" si="90"/>
        <v>1</v>
      </c>
      <c r="AJ96" s="336">
        <f t="shared" si="90"/>
        <v>1</v>
      </c>
      <c r="AK96" s="336">
        <f t="shared" si="90"/>
        <v>1</v>
      </c>
      <c r="AL96" s="336">
        <f t="shared" si="90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x14ac:dyDescent="0.2">
      <c r="L116" s="13"/>
      <c r="M116" s="11"/>
      <c r="N116" s="11"/>
      <c r="O116" s="11"/>
      <c r="P116" s="11"/>
    </row>
    <row r="117" spans="1:16" x14ac:dyDescent="0.2">
      <c r="L117" s="13"/>
    </row>
    <row r="118" spans="1:16" ht="15.75" x14ac:dyDescent="0.25">
      <c r="A118" s="79" t="str">
        <f>CONCATENATE("Occupation Figure 2.2  Employment by Occupation, ",$M$2,"-",$O$2,", ",Info!B5)</f>
        <v>Occupation Figure 2.2  Employment by Occupation, 2010-2035, East Midlands</v>
      </c>
    </row>
    <row r="145" spans="12:63" s="80" customFormat="1" x14ac:dyDescent="0.2"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64" spans="1:1" ht="15.75" x14ac:dyDescent="0.25">
      <c r="A164" s="79" t="str">
        <f>CONCATENATE("Occupation Figure 2.3  Change in Employment in ",$L$5,", ",$M$2,"-",$O$2,", ",Info!B5)</f>
        <v>Occupation Figure 2.3  Change in Employment in Managers, directors and senior officials, 2010-2035, East Midlands</v>
      </c>
    </row>
    <row r="180" spans="12:63" s="80" customFormat="1" x14ac:dyDescent="0.2"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99" spans="1:1" ht="15.75" x14ac:dyDescent="0.25">
      <c r="A199" s="79" t="str">
        <f>CONCATENATE("Occupation Figure 2.4  Change in Employment in ",$L$9,", ",$M$2,"-",$O$2,", ",Info!B5)</f>
        <v>Occupation Figure 2.4  Change in Employment in Professional occupations, 2010-2035, East Midlands</v>
      </c>
    </row>
    <row r="215" spans="12:63" s="80" customFormat="1" x14ac:dyDescent="0.2"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34" spans="1:1" ht="15.75" x14ac:dyDescent="0.25">
      <c r="A234" s="79" t="str">
        <f>CONCATENATE("Occupation Figure 2.5  Change in Employment in ",$L$15,", ",$M$2,"-",$O$2,", ",Info!B5)</f>
        <v>Occupation Figure 2.5  Change in Employment in Associate professional occupations, 2010-2035, East Midlands</v>
      </c>
    </row>
    <row r="250" spans="12:63" s="80" customFormat="1" x14ac:dyDescent="0.2"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69" spans="1:1" ht="15.75" x14ac:dyDescent="0.25">
      <c r="A269" s="79" t="str">
        <f>CONCATENATE("Occupation Figure 2.6  Change in Employment in ",$L$22,", ",$M$2,"-",$O$2,", ",Info!B5)</f>
        <v>Occupation Figure 2.6  Change in Employment in Administrative and secretarial occupations, 2010-2035, East Midlands</v>
      </c>
    </row>
    <row r="285" spans="12:63" s="80" customFormat="1" x14ac:dyDescent="0.2"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304" spans="1:1" ht="15.75" x14ac:dyDescent="0.25">
      <c r="A304" s="79" t="str">
        <f>CONCATENATE("Occupation Figure 2.7  Change in Employment in ",$L$26,", ",$M$2,"- ",$O$2,", ",Info!B5)</f>
        <v>Occupation Figure 2.7  Change in Employment in Skilled trades occupations, 2010- 2035, East Midlands</v>
      </c>
    </row>
    <row r="320" spans="12:63" s="80" customFormat="1" x14ac:dyDescent="0.2"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39" spans="1:1" ht="15.75" x14ac:dyDescent="0.25">
      <c r="A339" s="79" t="str">
        <f>CONCATENATE("Occupation Figure 2.8  Change in Employment in ",$L$32,", ",$M$2,"-",$O$2,", ",Info!B5)</f>
        <v>Occupation Figure 2.8  Change in Employment in Caring, leisure and other service occupations, 2010-2035, East Midlands</v>
      </c>
    </row>
    <row r="355" spans="12:63" s="80" customFormat="1" x14ac:dyDescent="0.2"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74" spans="1:1" ht="15.75" x14ac:dyDescent="0.25">
      <c r="A374" s="79" t="str">
        <f>CONCATENATE("Occupation Figure 2.9  Change in Employment in ",$L$37,", ",$M$2,"-",$O$2,", ",Info!B5)</f>
        <v>Occupation Figure 2.9  Change in Employment in Sales and customer service occupations, 2010-2035, East Midlands</v>
      </c>
    </row>
    <row r="390" spans="12:63" s="80" customFormat="1" x14ac:dyDescent="0.2"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409" spans="1:1" ht="15.75" x14ac:dyDescent="0.25">
      <c r="A409" s="79" t="str">
        <f>CONCATENATE("Occupation Figure 2.10  Change in Employment in ",$L$41,", ",$M$2,"-",$O$2,", ",Info!B5)</f>
        <v>Occupation Figure 2.10  Change in Employment in Process, plant and machine operatives, 2010-2035, East Midlands</v>
      </c>
    </row>
    <row r="444" spans="1:1" ht="15.75" x14ac:dyDescent="0.25">
      <c r="A444" s="79" t="str">
        <f>CONCATENATE("Occupation Figure 2.11  Change in Employment in ",$L$45,", ",$M$2,"-",$O$2,", ",Info!B5)</f>
        <v>Occupation Figure 2.11  Change in Employment in Elementary occupations, 2010-2035, East Midlands</v>
      </c>
    </row>
    <row r="479" spans="1:12" ht="15.75" x14ac:dyDescent="0.25">
      <c r="A479" s="79" t="str">
        <f>CONCATENATE("Occupation Figure 2.12  Employment Level by Occupation (SOC 2020), ",'Occ T1'!D6," and ",'Occ T1'!F6," (000s)",", ",Info!B5)</f>
        <v>Occupation Figure 2.12  Employment Level by Occupation (SOC 2020), 2020 and 2035 (000s), East Midlands</v>
      </c>
      <c r="L479" s="45" t="s">
        <v>423</v>
      </c>
    </row>
    <row r="480" spans="1:12" x14ac:dyDescent="0.2">
      <c r="L480" s="29" t="s">
        <v>424</v>
      </c>
    </row>
    <row r="507" spans="1:12" ht="15.75" x14ac:dyDescent="0.25">
      <c r="A507" s="79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East Midlands</v>
      </c>
      <c r="L507" s="45" t="s">
        <v>425</v>
      </c>
    </row>
    <row r="508" spans="1:12" x14ac:dyDescent="0.2">
      <c r="L508" s="29" t="s">
        <v>424</v>
      </c>
    </row>
  </sheetData>
  <conditionalFormatting sqref="L4:AP4">
    <cfRule type="cellIs" dxfId="8" priority="2" stopIfTrue="1" operator="equal">
      <formula>0</formula>
    </cfRule>
  </conditionalFormatting>
  <conditionalFormatting sqref="L51:AL51">
    <cfRule type="cellIs" dxfId="7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8" max="9" man="1"/>
    <brk id="117" max="9" man="1"/>
    <brk id="163" max="9" man="1"/>
    <brk id="233" max="9" man="1"/>
    <brk id="303" max="9" man="1"/>
    <brk id="373" max="9" man="1"/>
    <brk id="443" max="9" man="1"/>
    <brk id="478" max="9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"/>
  <dimension ref="A1:AC19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79" t="str">
        <f>CONCATENATE("Occupation Figure 3  Changes in Occupational Employment Structure (000s) (SOC 2020), ",$W$1,"-",$X$1,", ",Info!B5)</f>
        <v>Occupation Figure 3  Changes in Occupational Employment Structure (000s) (SOC 2020), 2015-2035, East Midlands</v>
      </c>
      <c r="W1" t="str">
        <f>LEFT(X3,4)</f>
        <v>2015</v>
      </c>
      <c r="X1" t="str">
        <f>RIGHT(AC3,4)</f>
        <v>2035</v>
      </c>
    </row>
    <row r="2" spans="1:29" x14ac:dyDescent="0.2">
      <c r="A2" s="1" t="s">
        <v>536</v>
      </c>
      <c r="X2" t="s">
        <v>427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38.43692975019502</v>
      </c>
      <c r="Y4" s="11">
        <f>'Occ T1'!D8-'Occ T1'!C8</f>
        <v>10.19506163987279</v>
      </c>
      <c r="Z4" s="11">
        <f>'Occ T1'!E8-'Occ T1'!D8</f>
        <v>5.0341459111584186</v>
      </c>
      <c r="AA4" s="11">
        <f>'Occ T1'!F8-'Occ T1'!E8</f>
        <v>29.71350654916705</v>
      </c>
      <c r="AB4" s="11">
        <f>'Occ T1'!D8-'Occ T1'!B8</f>
        <v>48.63199139006781</v>
      </c>
      <c r="AC4" s="11">
        <f>'Occ T1'!F8-'Occ T1'!D8</f>
        <v>34.747652460325469</v>
      </c>
    </row>
    <row r="5" spans="1:29" x14ac:dyDescent="0.2">
      <c r="W5" s="10" t="str">
        <f>name!E5</f>
        <v>Professional occupations</v>
      </c>
      <c r="X5" s="11">
        <f>'Occ T1'!C9-'Occ T1'!B9</f>
        <v>64.725318746901166</v>
      </c>
      <c r="Y5" s="11">
        <f>'Occ T1'!D9-'Occ T1'!C9</f>
        <v>29.249326559305985</v>
      </c>
      <c r="Z5" s="11">
        <f>'Occ T1'!E9-'Occ T1'!D9</f>
        <v>32.463397162301248</v>
      </c>
      <c r="AA5" s="11">
        <f>'Occ T1'!F9-'Occ T1'!E9</f>
        <v>53.922708687978002</v>
      </c>
      <c r="AB5" s="11">
        <f>'Occ T1'!D9-'Occ T1'!B9</f>
        <v>93.974645306207151</v>
      </c>
      <c r="AC5" s="11">
        <f>'Occ T1'!F9-'Occ T1'!D9</f>
        <v>86.38610585027925</v>
      </c>
    </row>
    <row r="6" spans="1:29" x14ac:dyDescent="0.2">
      <c r="W6" s="10" t="str">
        <f>name!E6</f>
        <v>Associate professional occupations</v>
      </c>
      <c r="X6" s="11">
        <f>'Occ T1'!C10-'Occ T1'!B10</f>
        <v>23.247119951229195</v>
      </c>
      <c r="Y6" s="11">
        <f>'Occ T1'!D10-'Occ T1'!C10</f>
        <v>15.627519411587741</v>
      </c>
      <c r="Z6" s="11">
        <f>'Occ T1'!E10-'Occ T1'!D10</f>
        <v>-8.9409061337801177</v>
      </c>
      <c r="AA6" s="11">
        <f>'Occ T1'!F10-'Occ T1'!E10</f>
        <v>19.395351909756187</v>
      </c>
      <c r="AB6" s="11">
        <f>'Occ T1'!D10-'Occ T1'!B10</f>
        <v>38.874639362816936</v>
      </c>
      <c r="AC6" s="11">
        <f>'Occ T1'!F10-'Occ T1'!D10</f>
        <v>10.454445775976069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-0.15558155397056339</v>
      </c>
      <c r="Y7" s="11">
        <f>'Occ T1'!D11-'Occ T1'!C11</f>
        <v>9.4053931740020289</v>
      </c>
      <c r="Z7" s="11">
        <f>'Occ T1'!E11-'Occ T1'!D11</f>
        <v>-15.28606755945421</v>
      </c>
      <c r="AA7" s="11">
        <f>'Occ T1'!F11-'Occ T1'!E11</f>
        <v>-19.913256071693411</v>
      </c>
      <c r="AB7" s="11">
        <f>'Occ T1'!D11-'Occ T1'!B11</f>
        <v>9.2498116200314655</v>
      </c>
      <c r="AC7" s="11">
        <f>'Occ T1'!F11-'Occ T1'!D11</f>
        <v>-35.199323631147621</v>
      </c>
    </row>
    <row r="8" spans="1:29" x14ac:dyDescent="0.2">
      <c r="W8" s="10" t="str">
        <f>name!E8</f>
        <v>Skilled trades occupations</v>
      </c>
      <c r="X8" s="11">
        <f>'Occ T1'!C12-'Occ T1'!B12</f>
        <v>-3.3157127764540917</v>
      </c>
      <c r="Y8" s="11">
        <f>'Occ T1'!D12-'Occ T1'!C12</f>
        <v>-20.889291630226552</v>
      </c>
      <c r="Z8" s="11">
        <f>'Occ T1'!E12-'Occ T1'!D12</f>
        <v>-5.024691328859376</v>
      </c>
      <c r="AA8" s="11">
        <f>'Occ T1'!F12-'Occ T1'!E12</f>
        <v>-14.055698519014982</v>
      </c>
      <c r="AB8" s="11">
        <f>'Occ T1'!D12-'Occ T1'!B12</f>
        <v>-24.205004406680644</v>
      </c>
      <c r="AC8" s="11">
        <f>'Occ T1'!F12-'Occ T1'!D12</f>
        <v>-19.080389847874358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17.10606639953869</v>
      </c>
      <c r="Y9" s="11">
        <f>'Occ T1'!D13-'Occ T1'!C13</f>
        <v>-9.3064852721729494</v>
      </c>
      <c r="Z9" s="11">
        <f>'Occ T1'!E13-'Occ T1'!D13</f>
        <v>15.793980702306612</v>
      </c>
      <c r="AA9" s="11">
        <f>'Occ T1'!F13-'Occ T1'!E13</f>
        <v>19.512651159011284</v>
      </c>
      <c r="AB9" s="11">
        <f>'Occ T1'!D13-'Occ T1'!B13</f>
        <v>7.7995811273657409</v>
      </c>
      <c r="AC9" s="11">
        <f>'Occ T1'!F13-'Occ T1'!D13</f>
        <v>35.306631861317896</v>
      </c>
    </row>
    <row r="10" spans="1:29" x14ac:dyDescent="0.2">
      <c r="W10" s="10" t="str">
        <f>name!E10</f>
        <v>Sales and customer service occupations</v>
      </c>
      <c r="X10" s="11">
        <f>'Occ T1'!C14-'Occ T1'!B14</f>
        <v>-6.8344013596382638</v>
      </c>
      <c r="Y10" s="11">
        <f>'Occ T1'!D14-'Occ T1'!C14</f>
        <v>-4.5618228013674411</v>
      </c>
      <c r="Z10" s="11">
        <f>'Occ T1'!E14-'Occ T1'!D14</f>
        <v>7.4011812841320079E-2</v>
      </c>
      <c r="AA10" s="11">
        <f>'Occ T1'!F14-'Occ T1'!E14</f>
        <v>-1.2250766150146433</v>
      </c>
      <c r="AB10" s="11">
        <f>'Occ T1'!D14-'Occ T1'!B14</f>
        <v>-11.396224161005705</v>
      </c>
      <c r="AC10" s="11">
        <f>'Occ T1'!F14-'Occ T1'!D14</f>
        <v>-1.1510648021733232</v>
      </c>
    </row>
    <row r="11" spans="1:29" x14ac:dyDescent="0.2">
      <c r="W11" s="10" t="str">
        <f>name!E11</f>
        <v>Process, plant and machine operatives</v>
      </c>
      <c r="X11" s="11">
        <f>'Occ T1'!C15-'Occ T1'!B15</f>
        <v>10.792369602588792</v>
      </c>
      <c r="Y11" s="11">
        <f>'Occ T1'!D15-'Occ T1'!C15</f>
        <v>-11.932107785015489</v>
      </c>
      <c r="Z11" s="11">
        <f>'Occ T1'!E15-'Occ T1'!D15</f>
        <v>21.580156528824034</v>
      </c>
      <c r="AA11" s="11">
        <f>'Occ T1'!F15-'Occ T1'!E15</f>
        <v>-3.5375575092250813</v>
      </c>
      <c r="AB11" s="11">
        <f>'Occ T1'!D15-'Occ T1'!B15</f>
        <v>-1.1397381824266972</v>
      </c>
      <c r="AC11" s="11">
        <f>'Occ T1'!F15-'Occ T1'!D15</f>
        <v>18.042599019598953</v>
      </c>
    </row>
    <row r="12" spans="1:29" x14ac:dyDescent="0.2">
      <c r="W12" s="10" t="str">
        <f>name!E12</f>
        <v>Elementary occupations</v>
      </c>
      <c r="X12" s="11">
        <f>'Occ T1'!C16-'Occ T1'!B16</f>
        <v>-13.109108760812433</v>
      </c>
      <c r="Y12" s="11">
        <f>'Occ T1'!D16-'Occ T1'!C16</f>
        <v>-18.93359329645466</v>
      </c>
      <c r="Z12" s="11">
        <f>'Occ T1'!E16-'Occ T1'!D16</f>
        <v>-7.1320270889756614</v>
      </c>
      <c r="AA12" s="11">
        <f>'Occ T1'!F16-'Occ T1'!E16</f>
        <v>-15.918629596392492</v>
      </c>
      <c r="AB12" s="11">
        <f>'Occ T1'!D16-'Occ T1'!B16</f>
        <v>-32.042702057267093</v>
      </c>
      <c r="AC12" s="11">
        <f>'Occ T1'!F16-'Occ T1'!D16</f>
        <v>-23.050656685368153</v>
      </c>
    </row>
    <row r="14" spans="1:29" x14ac:dyDescent="0.2">
      <c r="W14" s="10" t="str">
        <f>name!E3</f>
        <v>All occupations</v>
      </c>
      <c r="X14" s="11">
        <f>'Occ T1'!C18-'Occ T1'!B18</f>
        <v>130.89299999957757</v>
      </c>
      <c r="Y14" s="11">
        <f>'Occ T1'!D18-'Occ T1'!C18</f>
        <v>-1.1460000004685753</v>
      </c>
      <c r="Z14" s="11">
        <f>'Occ T1'!E18-'Occ T1'!D18</f>
        <v>38.562000006362268</v>
      </c>
      <c r="AA14" s="11">
        <f>'Occ T1'!F18-'Occ T1'!E18</f>
        <v>67.893999994571914</v>
      </c>
      <c r="AB14" s="11">
        <f>'Occ T1'!D18-'Occ T1'!B18</f>
        <v>129.74699999910899</v>
      </c>
      <c r="AC14" s="11">
        <f>'Occ T1'!F18-'Occ T1'!D18</f>
        <v>106.45600000093418</v>
      </c>
    </row>
    <row r="17" spans="23:26" x14ac:dyDescent="0.2">
      <c r="Y17" s="82" t="s">
        <v>442</v>
      </c>
      <c r="Z17" s="82" t="s">
        <v>443</v>
      </c>
    </row>
    <row r="18" spans="23:26" x14ac:dyDescent="0.2">
      <c r="W18" s="82" t="s">
        <v>444</v>
      </c>
      <c r="X18">
        <f>CEILING(MAX(X4:AA12),IF(MAX(X4:AA12)&lt;100,10,IF(MAX(X4:AA12)&lt;1000,100,1000)))</f>
        <v>70</v>
      </c>
      <c r="Y18">
        <f>MAX(X18,(X19*-1))</f>
        <v>70</v>
      </c>
      <c r="Z18">
        <f>IF(Y18&gt;1000,1000,IF(Y18&gt;500,500,IF(Y18&gt;100,100,IF(Y18&gt;40,20,10))))</f>
        <v>20</v>
      </c>
    </row>
    <row r="19" spans="23:26" x14ac:dyDescent="0.2">
      <c r="W19" s="82" t="s">
        <v>445</v>
      </c>
      <c r="X19">
        <f>FLOOR(MIN(X4:AA12),IF(MIN(X4:AA12)&gt;-100,10,IF(MIN(X4:AA12)&gt;-1000,100,1000)))</f>
        <v>-30</v>
      </c>
      <c r="Y19">
        <f>Y18*-1</f>
        <v>-70</v>
      </c>
    </row>
  </sheetData>
  <pageMargins left="0.7" right="0.7" top="0.75" bottom="0.75" header="0.3" footer="0.3"/>
  <pageSetup paperSize="9" scale="74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79" t="str">
        <f>CONCATENATE("Occupation Figure 4  Occupational Change by Gender (000s) (SOC 2020), ",N1,", ",Info!B5)</f>
        <v>Occupation Figure 4  Occupational Change by Gender (000s) (SOC 2020), 2020-2035, East Midlands</v>
      </c>
      <c r="M1" s="82" t="s">
        <v>18</v>
      </c>
      <c r="N1" t="str">
        <f>'Occ T1'!F62</f>
        <v>2020-2035</v>
      </c>
    </row>
    <row r="2" spans="1:16" x14ac:dyDescent="0.2">
      <c r="A2" s="1" t="s">
        <v>536</v>
      </c>
      <c r="M2" s="1" t="s">
        <v>0</v>
      </c>
      <c r="N2" s="82" t="s">
        <v>32</v>
      </c>
      <c r="O2" s="82" t="s">
        <v>99</v>
      </c>
      <c r="P2" s="82" t="s">
        <v>98</v>
      </c>
    </row>
    <row r="3" spans="1:16" x14ac:dyDescent="0.2">
      <c r="M3" s="10" t="str">
        <f>name!E4</f>
        <v>Managers, directors and senior officials</v>
      </c>
      <c r="N3" s="11">
        <f>'Occ T1'!F64</f>
        <v>34.747652460325469</v>
      </c>
      <c r="O3" s="11">
        <f>'Occ T1'!AB64</f>
        <v>18.477360036850826</v>
      </c>
      <c r="P3" s="11">
        <f>'Occ T1'!Q64</f>
        <v>16.270292423474245</v>
      </c>
    </row>
    <row r="4" spans="1:16" x14ac:dyDescent="0.2">
      <c r="M4" s="10" t="str">
        <f>name!E5</f>
        <v>Professional occupations</v>
      </c>
      <c r="N4" s="11">
        <f>'Occ T1'!F65</f>
        <v>86.38610585027925</v>
      </c>
      <c r="O4" s="11">
        <f>'Occ T1'!AB65</f>
        <v>48.45523923788727</v>
      </c>
      <c r="P4" s="11">
        <f>'Occ T1'!Q65</f>
        <v>37.930866612391469</v>
      </c>
    </row>
    <row r="5" spans="1:16" x14ac:dyDescent="0.2">
      <c r="M5" s="10" t="str">
        <f>name!E6</f>
        <v>Associate professional occupations</v>
      </c>
      <c r="N5" s="11">
        <f>'Occ T1'!F66</f>
        <v>10.454445775976069</v>
      </c>
      <c r="O5" s="11">
        <f>'Occ T1'!AB66</f>
        <v>18.478569706069322</v>
      </c>
      <c r="P5" s="11">
        <f>'Occ T1'!Q66</f>
        <v>-8.024123930093964</v>
      </c>
    </row>
    <row r="6" spans="1:16" x14ac:dyDescent="0.2">
      <c r="M6" s="10" t="str">
        <f>name!E7</f>
        <v>Administrative and secretarial occupations</v>
      </c>
      <c r="N6" s="11">
        <f>'Occ T1'!F67</f>
        <v>-35.199323631147621</v>
      </c>
      <c r="O6" s="11">
        <f>'Occ T1'!AB67</f>
        <v>-36.274775868003417</v>
      </c>
      <c r="P6" s="11">
        <f>'Occ T1'!Q67</f>
        <v>1.0754522368557176</v>
      </c>
    </row>
    <row r="7" spans="1:16" x14ac:dyDescent="0.2">
      <c r="M7" s="10" t="str">
        <f>name!E8</f>
        <v>Skilled trades occupations</v>
      </c>
      <c r="N7" s="11">
        <f>'Occ T1'!F68</f>
        <v>-19.080389847874358</v>
      </c>
      <c r="O7" s="11">
        <f>'Occ T1'!AB68</f>
        <v>2.989417972045171</v>
      </c>
      <c r="P7" s="11">
        <f>'Occ T1'!Q68</f>
        <v>-22.069807819919475</v>
      </c>
    </row>
    <row r="8" spans="1:16" x14ac:dyDescent="0.2">
      <c r="M8" s="10" t="str">
        <f>name!E9</f>
        <v>Caring, leisure and other service occupations</v>
      </c>
      <c r="N8" s="11">
        <f>'Occ T1'!F69</f>
        <v>35.306631861317896</v>
      </c>
      <c r="O8" s="11">
        <f>'Occ T1'!AB69</f>
        <v>21.010217748444603</v>
      </c>
      <c r="P8" s="11">
        <f>'Occ T1'!Q69</f>
        <v>14.296414112872831</v>
      </c>
    </row>
    <row r="9" spans="1:16" x14ac:dyDescent="0.2">
      <c r="M9" s="10" t="str">
        <f>name!E10</f>
        <v>Sales and customer service occupations</v>
      </c>
      <c r="N9" s="11">
        <f>'Occ T1'!F70</f>
        <v>-1.1510648021733232</v>
      </c>
      <c r="O9" s="11">
        <f>'Occ T1'!AB70</f>
        <v>-2.6969149070298499</v>
      </c>
      <c r="P9" s="11">
        <f>'Occ T1'!Q70</f>
        <v>1.5458501048569389</v>
      </c>
    </row>
    <row r="10" spans="1:16" x14ac:dyDescent="0.2">
      <c r="M10" s="10" t="str">
        <f>name!E11</f>
        <v>Process, plant and machine operatives</v>
      </c>
      <c r="N10" s="11">
        <f>'Occ T1'!F71</f>
        <v>18.042599019598953</v>
      </c>
      <c r="O10" s="11">
        <f>'Occ T1'!AB71</f>
        <v>10.528176343128223</v>
      </c>
      <c r="P10" s="11">
        <f>'Occ T1'!Q71</f>
        <v>7.5144226764703035</v>
      </c>
    </row>
    <row r="11" spans="1:16" x14ac:dyDescent="0.2">
      <c r="M11" s="10" t="str">
        <f>name!E12</f>
        <v>Elementary occupations</v>
      </c>
      <c r="N11" s="11">
        <f>'Occ T1'!F72</f>
        <v>-23.050656685368153</v>
      </c>
      <c r="O11" s="11">
        <f>'Occ T1'!AB72</f>
        <v>-12.320290269200157</v>
      </c>
      <c r="P11" s="11">
        <f>'Occ T1'!Q72</f>
        <v>-10.730366416168323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106.45600000093418</v>
      </c>
      <c r="O13" s="11">
        <f>'Occ T1'!AB74</f>
        <v>68.647000000191838</v>
      </c>
      <c r="P13" s="11">
        <f>'Occ T1'!Q74</f>
        <v>37.809000000739843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3" max="13" width="36" customWidth="1"/>
    <col min="14" max="14" width="19.5703125" customWidth="1"/>
  </cols>
  <sheetData>
    <row r="1" spans="1:16" ht="15.75" x14ac:dyDescent="0.25">
      <c r="A1" s="79" t="str">
        <f>CONCATENATE("Occupation Figure 5  Occupational Change by Status (000s) (SOC 2020), ",N1,", ",Info!B5)</f>
        <v>Occupation Figure 5  Occupational Change by Status (000s) (SOC 2020), 2020-2035, East Midlands</v>
      </c>
      <c r="M1" s="82" t="s">
        <v>18</v>
      </c>
      <c r="N1" t="str">
        <f>'Ind Occ T2'!G6&amp;"-"&amp;'Ind Occ T2'!L6</f>
        <v>2020-2035</v>
      </c>
    </row>
    <row r="2" spans="1:16" x14ac:dyDescent="0.2">
      <c r="A2" s="1" t="s">
        <v>536</v>
      </c>
      <c r="M2" s="1" t="s">
        <v>331</v>
      </c>
      <c r="N2" s="82" t="s">
        <v>338</v>
      </c>
      <c r="O2" s="82" t="s">
        <v>432</v>
      </c>
      <c r="P2" s="82" t="s">
        <v>433</v>
      </c>
    </row>
    <row r="3" spans="1:16" x14ac:dyDescent="0.2">
      <c r="M3" s="10" t="str">
        <f>name!E4</f>
        <v>Managers, directors and senior officials</v>
      </c>
      <c r="N3" s="11">
        <f>'Occ T5'!I44</f>
        <v>8.4876307550169514</v>
      </c>
      <c r="O3" s="11">
        <f>'Occ T5'!H44</f>
        <v>9.9711492438137768</v>
      </c>
      <c r="P3" s="11">
        <f>'Occ T5'!G44</f>
        <v>16.288872461494435</v>
      </c>
    </row>
    <row r="4" spans="1:16" x14ac:dyDescent="0.2">
      <c r="M4" s="10" t="str">
        <f>name!E5</f>
        <v>Professional occupations</v>
      </c>
      <c r="N4" s="11">
        <f>'Occ T5'!I45</f>
        <v>-0.31323563771797325</v>
      </c>
      <c r="O4" s="11">
        <f>'Occ T5'!H45</f>
        <v>19.552141778297951</v>
      </c>
      <c r="P4" s="11">
        <f>'Occ T5'!G45</f>
        <v>67.147199709698555</v>
      </c>
    </row>
    <row r="5" spans="1:16" x14ac:dyDescent="0.2">
      <c r="M5" s="10" t="str">
        <f>name!E6</f>
        <v>Associate professional occupations</v>
      </c>
      <c r="N5" s="11">
        <f>'Occ T5'!I46</f>
        <v>-5.6151595826300138E-2</v>
      </c>
      <c r="O5" s="11">
        <f>'Occ T5'!H46</f>
        <v>2.7424267114465479</v>
      </c>
      <c r="P5" s="11">
        <f>'Occ T5'!G46</f>
        <v>7.7681706603553664</v>
      </c>
    </row>
    <row r="6" spans="1:16" x14ac:dyDescent="0.2">
      <c r="M6" s="10" t="str">
        <f>name!E7</f>
        <v>Administrative and secretarial occupations</v>
      </c>
      <c r="N6" s="11">
        <f>'Occ T5'!I47</f>
        <v>-0.61262251381831057</v>
      </c>
      <c r="O6" s="11">
        <f>'Occ T5'!H47</f>
        <v>-15.139688693248573</v>
      </c>
      <c r="P6" s="11">
        <f>'Occ T5'!G47</f>
        <v>-19.447012424081379</v>
      </c>
    </row>
    <row r="7" spans="1:16" x14ac:dyDescent="0.2">
      <c r="M7" s="10" t="str">
        <f>name!E8</f>
        <v>Skilled trades occupations</v>
      </c>
      <c r="N7" s="11">
        <f>'Occ T5'!I48</f>
        <v>0.69721471539716617</v>
      </c>
      <c r="O7" s="11">
        <f>'Occ T5'!H48</f>
        <v>1.1648437199858996</v>
      </c>
      <c r="P7" s="11">
        <f>'Occ T5'!G48</f>
        <v>-20.942448283257136</v>
      </c>
    </row>
    <row r="8" spans="1:16" x14ac:dyDescent="0.2">
      <c r="M8" s="10" t="str">
        <f>name!E9</f>
        <v>Caring, leisure and other service occupations</v>
      </c>
      <c r="N8" s="11">
        <f>'Occ T5'!I49</f>
        <v>3.7419597895791341</v>
      </c>
      <c r="O8" s="11">
        <f>'Occ T5'!H49</f>
        <v>7.6946950126420859</v>
      </c>
      <c r="P8" s="11">
        <f>'Occ T5'!G49</f>
        <v>23.869977059096669</v>
      </c>
    </row>
    <row r="9" spans="1:16" x14ac:dyDescent="0.2">
      <c r="M9" s="10" t="str">
        <f>name!E10</f>
        <v>Sales and customer service occupations</v>
      </c>
      <c r="N9" s="11">
        <f>'Occ T5'!I50</f>
        <v>-1.7495823612378505</v>
      </c>
      <c r="O9" s="11">
        <f>'Occ T5'!H50</f>
        <v>2.3224574215884672</v>
      </c>
      <c r="P9" s="11">
        <f>'Occ T5'!G50</f>
        <v>-1.7239398625236646</v>
      </c>
    </row>
    <row r="10" spans="1:16" x14ac:dyDescent="0.2">
      <c r="M10" s="10" t="str">
        <f>name!E11</f>
        <v>Process, plant and machine operatives</v>
      </c>
      <c r="N10" s="11">
        <f>'Occ T5'!I51</f>
        <v>2.9529118932269292</v>
      </c>
      <c r="O10" s="11">
        <f>'Occ T5'!H51</f>
        <v>7.7910219392928788</v>
      </c>
      <c r="P10" s="11">
        <f>'Occ T5'!G51</f>
        <v>7.2986651870785408</v>
      </c>
    </row>
    <row r="11" spans="1:16" x14ac:dyDescent="0.2">
      <c r="M11" s="10" t="str">
        <f>name!E12</f>
        <v>Elementary occupations</v>
      </c>
      <c r="N11" s="11">
        <f>'Occ T5'!I52</f>
        <v>4.0708749576886856</v>
      </c>
      <c r="O11" s="11">
        <f>'Occ T5'!H52</f>
        <v>-22.874047139133964</v>
      </c>
      <c r="P11" s="11">
        <f>'Occ T5'!G52</f>
        <v>-4.2474845039233884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17.219000002308462</v>
      </c>
      <c r="O13" s="11">
        <f>'Occ T5'!H54</f>
        <v>13.224999994685049</v>
      </c>
      <c r="P13" s="11">
        <f>'Occ T5'!G54</f>
        <v>76.012000003937828</v>
      </c>
    </row>
    <row r="16" spans="1:16" x14ac:dyDescent="0.2">
      <c r="M16" s="82" t="s">
        <v>18</v>
      </c>
      <c r="N16" t="str">
        <f>N1</f>
        <v>2020-2035</v>
      </c>
    </row>
    <row r="17" spans="13:16" x14ac:dyDescent="0.2">
      <c r="M17" s="1" t="s">
        <v>99</v>
      </c>
      <c r="N17" s="82" t="s">
        <v>338</v>
      </c>
      <c r="O17" s="82" t="s">
        <v>432</v>
      </c>
      <c r="P17" s="82" t="s">
        <v>433</v>
      </c>
    </row>
    <row r="18" spans="13:16" x14ac:dyDescent="0.2">
      <c r="M18" s="10" t="str">
        <f>M3</f>
        <v>Managers, directors and senior officials</v>
      </c>
      <c r="N18" s="11">
        <f>'Occ T5'!AO44</f>
        <v>1.8780481538768399</v>
      </c>
      <c r="O18" s="11">
        <f>'Occ T5'!AN44</f>
        <v>3.4640710558598151</v>
      </c>
      <c r="P18" s="11">
        <f>'Occ T5'!AM44</f>
        <v>13.135240827114238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2.836830139745107</v>
      </c>
      <c r="O19" s="11">
        <f>'Occ T5'!AN45</f>
        <v>13.329618690368491</v>
      </c>
      <c r="P19" s="11">
        <f>'Occ T5'!AM45</f>
        <v>32.288790407773632</v>
      </c>
    </row>
    <row r="20" spans="13:16" x14ac:dyDescent="0.2">
      <c r="M20" s="10" t="str">
        <f t="shared" si="0"/>
        <v>Associate professional occupations</v>
      </c>
      <c r="N20" s="11">
        <f>'Occ T5'!AO46</f>
        <v>1.3332145306435415</v>
      </c>
      <c r="O20" s="11">
        <f>'Occ T5'!AN46</f>
        <v>4.902621913386227</v>
      </c>
      <c r="P20" s="11">
        <f>'Occ T5'!AM46</f>
        <v>12.242733262039479</v>
      </c>
    </row>
    <row r="21" spans="13:16" x14ac:dyDescent="0.2">
      <c r="M21" s="10" t="str">
        <f t="shared" si="0"/>
        <v>Administrative and secretarial occupations</v>
      </c>
      <c r="N21" s="11">
        <f>'Occ T5'!AO47</f>
        <v>-1.0780240021378891</v>
      </c>
      <c r="O21" s="11">
        <f>'Occ T5'!AN47</f>
        <v>-14.236738408006943</v>
      </c>
      <c r="P21" s="11">
        <f>'Occ T5'!AM47</f>
        <v>-20.960013457858864</v>
      </c>
    </row>
    <row r="22" spans="13:16" x14ac:dyDescent="0.2">
      <c r="M22" s="10" t="str">
        <f t="shared" si="0"/>
        <v>Skilled trades occupations</v>
      </c>
      <c r="N22" s="11">
        <f>'Occ T5'!AO48</f>
        <v>1.5259085671988508</v>
      </c>
      <c r="O22" s="11">
        <f>'Occ T5'!AN48</f>
        <v>-6.7147803285188878E-2</v>
      </c>
      <c r="P22" s="11">
        <f>'Occ T5'!AM48</f>
        <v>1.5306572081315171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1.8518998183895441</v>
      </c>
      <c r="O23" s="11">
        <f>'Occ T5'!AN49</f>
        <v>3.9345846036761003</v>
      </c>
      <c r="P23" s="11">
        <f>'Occ T5'!AM49</f>
        <v>15.223733326379431</v>
      </c>
    </row>
    <row r="24" spans="13:16" x14ac:dyDescent="0.2">
      <c r="M24" s="10" t="str">
        <f t="shared" si="0"/>
        <v>Sales and customer service occupations</v>
      </c>
      <c r="N24" s="11">
        <f>'Occ T5'!AO50</f>
        <v>-0.78140395735890467</v>
      </c>
      <c r="O24" s="11">
        <f>'Occ T5'!AN50</f>
        <v>7.2011332758251001E-2</v>
      </c>
      <c r="P24" s="11">
        <f>'Occ T5'!AM50</f>
        <v>-1.9875222824293175</v>
      </c>
    </row>
    <row r="25" spans="13:16" x14ac:dyDescent="0.2">
      <c r="M25" s="10" t="str">
        <f t="shared" si="0"/>
        <v>Process, plant and machine operatives</v>
      </c>
      <c r="N25" s="11">
        <f>'Occ T5'!AO51</f>
        <v>-7.6729421841821299E-2</v>
      </c>
      <c r="O25" s="11">
        <f>'Occ T5'!AN51</f>
        <v>5.1184786306982826</v>
      </c>
      <c r="P25" s="11">
        <f>'Occ T5'!AM51</f>
        <v>5.4864271342717981</v>
      </c>
    </row>
    <row r="26" spans="13:16" x14ac:dyDescent="0.2">
      <c r="M26" s="10" t="str">
        <f t="shared" si="0"/>
        <v>Elementary occupations</v>
      </c>
      <c r="N26" s="11">
        <f>'Occ T5'!AO52</f>
        <v>1.0862561735766709</v>
      </c>
      <c r="O26" s="11">
        <f>'Occ T5'!AN52</f>
        <v>-15.76550002045817</v>
      </c>
      <c r="P26" s="11">
        <f>'Occ T5'!AM52</f>
        <v>2.3589535776812234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8.5760000020919591</v>
      </c>
      <c r="O28" s="11">
        <f>'Occ T5'!AN54</f>
        <v>0.75199999499693604</v>
      </c>
      <c r="P28" s="11">
        <f>'Occ T5'!AM54</f>
        <v>59.319000003103156</v>
      </c>
    </row>
    <row r="31" spans="13:16" x14ac:dyDescent="0.2">
      <c r="M31" s="82" t="s">
        <v>18</v>
      </c>
      <c r="N31" t="str">
        <f>N1</f>
        <v>2020-2035</v>
      </c>
    </row>
    <row r="32" spans="13:16" x14ac:dyDescent="0.2">
      <c r="M32" s="1" t="s">
        <v>98</v>
      </c>
      <c r="N32" s="82" t="s">
        <v>338</v>
      </c>
      <c r="O32" s="82" t="s">
        <v>432</v>
      </c>
      <c r="P32" s="82" t="s">
        <v>433</v>
      </c>
    </row>
    <row r="33" spans="1:16" x14ac:dyDescent="0.2">
      <c r="M33" s="10" t="str">
        <f>M3</f>
        <v>Managers, directors and senior officials</v>
      </c>
      <c r="N33" s="11">
        <f>'Occ T5'!Y44</f>
        <v>6.6095826011401364</v>
      </c>
      <c r="O33" s="11">
        <f>'Occ T5'!X44</f>
        <v>6.5070781879539528</v>
      </c>
      <c r="P33" s="11">
        <f>'Occ T5'!W44</f>
        <v>3.1536316343801047</v>
      </c>
    </row>
    <row r="34" spans="1:16" x14ac:dyDescent="0.2">
      <c r="M34" s="10" t="str">
        <f t="shared" ref="M34:M43" si="1">M4</f>
        <v>Professional occupations</v>
      </c>
      <c r="N34" s="11">
        <f>'Occ T5'!Y45</f>
        <v>-3.1500657774630731</v>
      </c>
      <c r="O34" s="11">
        <f>'Occ T5'!X45</f>
        <v>6.2225230879294209</v>
      </c>
      <c r="P34" s="11">
        <f>'Occ T5'!W45</f>
        <v>34.858409301924667</v>
      </c>
    </row>
    <row r="35" spans="1:16" x14ac:dyDescent="0.2">
      <c r="M35" s="10" t="str">
        <f t="shared" si="1"/>
        <v>Associate professional occupations</v>
      </c>
      <c r="N35" s="11">
        <f>'Occ T5'!Y46</f>
        <v>-1.3893661264698363</v>
      </c>
      <c r="O35" s="11">
        <f>'Occ T5'!X46</f>
        <v>-2.1601952019396666</v>
      </c>
      <c r="P35" s="11">
        <f>'Occ T5'!W46</f>
        <v>-4.4745626016842124</v>
      </c>
    </row>
    <row r="36" spans="1:16" x14ac:dyDescent="0.2">
      <c r="M36" s="10" t="str">
        <f t="shared" si="1"/>
        <v>Administrative and secretarial occupations</v>
      </c>
      <c r="N36" s="11">
        <f>'Occ T5'!Y47</f>
        <v>0.46540148831958694</v>
      </c>
      <c r="O36" s="11">
        <f>'Occ T5'!X47</f>
        <v>-0.90295028524156962</v>
      </c>
      <c r="P36" s="11">
        <f>'Occ T5'!W47</f>
        <v>1.5130010337775701</v>
      </c>
    </row>
    <row r="37" spans="1:16" x14ac:dyDescent="0.2">
      <c r="M37" s="10" t="str">
        <f t="shared" si="1"/>
        <v>Skilled trades occupations</v>
      </c>
      <c r="N37" s="11">
        <f>'Occ T5'!Y48</f>
        <v>-0.82869385180168109</v>
      </c>
      <c r="O37" s="11">
        <f>'Occ T5'!X48</f>
        <v>1.231991523271093</v>
      </c>
      <c r="P37" s="11">
        <f>'Occ T5'!W48</f>
        <v>-22.473105491388665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1.8900599711895869</v>
      </c>
      <c r="O38" s="11">
        <f>'Occ T5'!X49</f>
        <v>3.7601104089660105</v>
      </c>
      <c r="P38" s="11">
        <f>'Occ T5'!W49</f>
        <v>8.6462437327172772</v>
      </c>
    </row>
    <row r="39" spans="1:16" x14ac:dyDescent="0.2">
      <c r="M39" s="10" t="str">
        <f t="shared" si="1"/>
        <v>Sales and customer service occupations</v>
      </c>
      <c r="N39" s="11">
        <f>'Occ T5'!Y50</f>
        <v>-0.96817840387894805</v>
      </c>
      <c r="O39" s="11">
        <f>'Occ T5'!X50</f>
        <v>2.2504460888302518</v>
      </c>
      <c r="P39" s="11">
        <f>'Occ T5'!W50</f>
        <v>0.26358241990563869</v>
      </c>
    </row>
    <row r="40" spans="1:16" ht="15.75" x14ac:dyDescent="0.25">
      <c r="A40" s="79" t="str">
        <f>CONCATENATE("Occupation Figure 5.1 Females:  Occupational Change by Status (000s) (SOC 2020), ",N1,", ",Info!B5)</f>
        <v>Occupation Figure 5.1 Females:  Occupational Change by Status (000s) (SOC 2020), 2020-2035, East Midlands</v>
      </c>
      <c r="M40" s="10" t="str">
        <f t="shared" si="1"/>
        <v>Process, plant and machine operatives</v>
      </c>
      <c r="N40" s="11">
        <f>'Occ T5'!Y51</f>
        <v>3.0296413150687869</v>
      </c>
      <c r="O40" s="11">
        <f>'Occ T5'!X51</f>
        <v>2.6725433085946229</v>
      </c>
      <c r="P40" s="11">
        <f>'Occ T5'!W51</f>
        <v>1.8122380528068192</v>
      </c>
    </row>
    <row r="41" spans="1:16" x14ac:dyDescent="0.2">
      <c r="M41" s="10" t="str">
        <f t="shared" si="1"/>
        <v>Elementary occupations</v>
      </c>
      <c r="N41" s="11">
        <f>'Occ T5'!Y52</f>
        <v>2.9846187841120102</v>
      </c>
      <c r="O41" s="11">
        <f>'Occ T5'!X52</f>
        <v>-7.1085471186758618</v>
      </c>
      <c r="P41" s="11">
        <f>'Occ T5'!W52</f>
        <v>-6.6064380816047219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8.643000000216631</v>
      </c>
      <c r="O43" s="11">
        <f>'Occ T5'!X54</f>
        <v>12.472999999688227</v>
      </c>
      <c r="P43" s="11">
        <f>'Occ T5'!W54</f>
        <v>16.693000000834445</v>
      </c>
    </row>
    <row r="79" spans="1:1" ht="15.75" x14ac:dyDescent="0.25">
      <c r="A79" s="79" t="str">
        <f>CONCATENATE("Occupation Figure 5.2 Males:  Occupational Change by Status (000s) (SOC 2020), ",N1,", ",Info!B5)</f>
        <v>Occupation Figure 5.2 Males:  Occupational Change by Status (000s) (SOC 2020), 2020-2035, East Midlands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8" t="str">
        <f>CONCATENATE("Qualification Table 1  Employment by Qualification, ",B$3,"-",F$3,", ",Info!B5)</f>
        <v>Qualification Table 1  Employment by Qualification, 2015-2035, East Midlands</v>
      </c>
    </row>
    <row r="2" spans="1:7" x14ac:dyDescent="0.2">
      <c r="A2" s="1" t="s">
        <v>539</v>
      </c>
    </row>
    <row r="3" spans="1:7" x14ac:dyDescent="0.2">
      <c r="A3" s="21"/>
      <c r="B3" s="22">
        <f>'Occ T3'!B5</f>
        <v>2015</v>
      </c>
      <c r="C3" s="22">
        <f>'Occ T3'!C5</f>
        <v>2019</v>
      </c>
      <c r="D3" s="22">
        <f>'Occ T3'!D5</f>
        <v>2020</v>
      </c>
      <c r="E3" s="22">
        <f>'Occ T3'!E5</f>
        <v>2025</v>
      </c>
      <c r="F3" s="22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F1'!$M$4:$BZ$14,11,FALSE)</f>
        <v>23.913964921187709</v>
      </c>
      <c r="C5" s="11">
        <f>HLOOKUP(C$3,'Qual F1'!$M$4:$BZ$14,11,FALSE)</f>
        <v>32.613949913739575</v>
      </c>
      <c r="D5" s="11">
        <f>HLOOKUP(D$3,'Qual F1'!$M$4:$BZ$14,11,FALSE)</f>
        <v>30.954057953835946</v>
      </c>
      <c r="E5" s="11">
        <f>HLOOKUP(E$3,'Qual F1'!$M$4:$BZ$14,11,FALSE)</f>
        <v>37.59614286816042</v>
      </c>
      <c r="F5" s="11">
        <f>HLOOKUP(F$3,'Qual F1'!$M$4:$BZ$14,11,FALSE)</f>
        <v>48.860340121758895</v>
      </c>
      <c r="G5" s="11"/>
    </row>
    <row r="6" spans="1:7" x14ac:dyDescent="0.2">
      <c r="A6" t="str">
        <f>name!F5</f>
        <v>RQF7 Other higher degree</v>
      </c>
      <c r="B6" s="11">
        <f>HLOOKUP(B$3,'Qual F1'!$M$4:$BZ$14,10,FALSE)</f>
        <v>160.42965103922151</v>
      </c>
      <c r="C6" s="11">
        <f>HLOOKUP(C$3,'Qual F1'!$M$4:$BZ$14,10,FALSE)</f>
        <v>227.87188562348908</v>
      </c>
      <c r="D6" s="11">
        <f>HLOOKUP(D$3,'Qual F1'!$M$4:$BZ$14,10,FALSE)</f>
        <v>212.99487870195154</v>
      </c>
      <c r="E6" s="11">
        <f>HLOOKUP(E$3,'Qual F1'!$M$4:$BZ$14,10,FALSE)</f>
        <v>258.63593530804212</v>
      </c>
      <c r="F6" s="11">
        <f>HLOOKUP(F$3,'Qual F1'!$M$4:$BZ$14,10,FALSE)</f>
        <v>340.01785069760598</v>
      </c>
      <c r="G6" s="11"/>
    </row>
    <row r="7" spans="1:7" x14ac:dyDescent="0.2">
      <c r="A7" t="str">
        <f>name!F6</f>
        <v>RQF6 First degree</v>
      </c>
      <c r="B7" s="11">
        <f>HLOOKUP(B$3,'Qual F1'!$M$4:$BZ$14,9,FALSE)</f>
        <v>380.75669432289305</v>
      </c>
      <c r="C7" s="11">
        <f>HLOOKUP(C$3,'Qual F1'!$M$4:$BZ$14,9,FALSE)</f>
        <v>412.00306056156444</v>
      </c>
      <c r="D7" s="11">
        <f>HLOOKUP(D$3,'Qual F1'!$M$4:$BZ$14,9,FALSE)</f>
        <v>457.17129301962717</v>
      </c>
      <c r="E7" s="11">
        <f>HLOOKUP(E$3,'Qual F1'!$M$4:$BZ$14,9,FALSE)</f>
        <v>501.05228278538124</v>
      </c>
      <c r="F7" s="11">
        <f>HLOOKUP(F$3,'Qual F1'!$M$4:$BZ$14,9,FALSE)</f>
        <v>607.10599253045552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F1'!$M$4:$BZ$14,8,FALSE)</f>
        <v>123.06624477321419</v>
      </c>
      <c r="C8" s="11">
        <f>HLOOKUP(C$3,'Qual F1'!$M$4:$BZ$14,8,FALSE)</f>
        <v>121.45388502029206</v>
      </c>
      <c r="D8" s="11">
        <f>HLOOKUP(D$3,'Qual F1'!$M$4:$BZ$14,8,FALSE)</f>
        <v>128.11968402111813</v>
      </c>
      <c r="E8" s="11">
        <f>HLOOKUP(E$3,'Qual F1'!$M$4:$BZ$14,8,FALSE)</f>
        <v>131.79415220350802</v>
      </c>
      <c r="F8" s="11">
        <f>HLOOKUP(F$3,'Qual F1'!$M$4:$BZ$14,8,FALSE)</f>
        <v>152.52117230598648</v>
      </c>
      <c r="G8" s="11"/>
    </row>
    <row r="9" spans="1:7" x14ac:dyDescent="0.2">
      <c r="A9" t="str">
        <f>name!F8</f>
        <v>RQF4 HE below degree level</v>
      </c>
      <c r="B9" s="11">
        <f>HLOOKUP(B$3,'Qual F1'!$M$4:$BZ$14,7,FALSE)</f>
        <v>116.80027616033009</v>
      </c>
      <c r="C9" s="11">
        <f>HLOOKUP(C$3,'Qual F1'!$M$4:$BZ$14,7,FALSE)</f>
        <v>119.52488795776786</v>
      </c>
      <c r="D9" s="11">
        <f>HLOOKUP(D$3,'Qual F1'!$M$4:$BZ$14,7,FALSE)</f>
        <v>134.6398436011055</v>
      </c>
      <c r="E9" s="11">
        <f>HLOOKUP(E$3,'Qual F1'!$M$4:$BZ$14,7,FALSE)</f>
        <v>142.04375859989213</v>
      </c>
      <c r="F9" s="11">
        <f>HLOOKUP(F$3,'Qual F1'!$M$4:$BZ$14,7,FALSE)</f>
        <v>169.1353923922178</v>
      </c>
      <c r="G9" s="11"/>
    </row>
    <row r="10" spans="1:7" x14ac:dyDescent="0.2">
      <c r="A10" t="str">
        <f>name!F9</f>
        <v>RQF3 A level &amp; equivalent</v>
      </c>
      <c r="B10" s="11">
        <f>HLOOKUP(B$3,'Qual F1'!$M$4:$BZ$14,6,FALSE)</f>
        <v>484.45172860631641</v>
      </c>
      <c r="C10" s="11">
        <f>HLOOKUP(C$3,'Qual F1'!$M$4:$BZ$14,6,FALSE)</f>
        <v>544.17211461117711</v>
      </c>
      <c r="D10" s="11">
        <f>HLOOKUP(D$3,'Qual F1'!$M$4:$BZ$14,6,FALSE)</f>
        <v>534.71951434715538</v>
      </c>
      <c r="E10" s="11">
        <f>HLOOKUP(E$3,'Qual F1'!$M$4:$BZ$14,6,FALSE)</f>
        <v>544.25280129793941</v>
      </c>
      <c r="F10" s="11">
        <f>HLOOKUP(F$3,'Qual F1'!$M$4:$BZ$14,6,FALSE)</f>
        <v>570.45544529511574</v>
      </c>
      <c r="G10" s="11"/>
    </row>
    <row r="11" spans="1:7" x14ac:dyDescent="0.2">
      <c r="A11" t="str">
        <f>name!F10</f>
        <v>RQF2 GCSE(A-C) &amp; equivalent</v>
      </c>
      <c r="B11" s="11">
        <f>HLOOKUP(B$3,'Qual F1'!$M$4:$BZ$14,5,FALSE)</f>
        <v>502.40734819505462</v>
      </c>
      <c r="C11" s="11">
        <f>HLOOKUP(C$3,'Qual F1'!$M$4:$BZ$14,5,FALSE)</f>
        <v>520.14831394457178</v>
      </c>
      <c r="D11" s="11">
        <f>HLOOKUP(D$3,'Qual F1'!$M$4:$BZ$14,5,FALSE)</f>
        <v>497.2538673909786</v>
      </c>
      <c r="E11" s="11">
        <f>HLOOKUP(E$3,'Qual F1'!$M$4:$BZ$14,5,FALSE)</f>
        <v>461.39481487496096</v>
      </c>
      <c r="F11" s="11">
        <f>HLOOKUP(F$3,'Qual F1'!$M$4:$BZ$14,5,FALSE)</f>
        <v>384.7990369156671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F1'!$M$4:$BZ$14,4,FALSE)</f>
        <v>372.70232854631269</v>
      </c>
      <c r="C12" s="11">
        <f>HLOOKUP(C$3,'Qual F1'!$M$4:$BZ$14,4,FALSE)</f>
        <v>324.02911493315139</v>
      </c>
      <c r="D12" s="11">
        <f>HLOOKUP(D$3,'Qual F1'!$M$4:$BZ$14,4,FALSE)</f>
        <v>321.22551859382401</v>
      </c>
      <c r="E12" s="11">
        <f>HLOOKUP(E$3,'Qual F1'!$M$4:$BZ$14,4,FALSE)</f>
        <v>283.66005633997975</v>
      </c>
      <c r="F12" s="11">
        <f>HLOOKUP(F$3,'Qual F1'!$M$4:$BZ$14,4,FALSE)</f>
        <v>178.85291862942279</v>
      </c>
      <c r="G12" s="11"/>
    </row>
    <row r="13" spans="1:7" x14ac:dyDescent="0.2">
      <c r="A13" t="str">
        <f>name!F12</f>
        <v>No Qualification</v>
      </c>
      <c r="B13" s="11">
        <f>HLOOKUP(B$3,'Qual F1'!$M$4:$BZ$14,3,FALSE)</f>
        <v>109.96276343469535</v>
      </c>
      <c r="C13" s="11">
        <f>HLOOKUP(C$3,'Qual F1'!$M$4:$BZ$14,3,FALSE)</f>
        <v>103.56678743304919</v>
      </c>
      <c r="D13" s="11">
        <f>HLOOKUP(D$3,'Qual F1'!$M$4:$BZ$14,3,FALSE)</f>
        <v>87.159342368740582</v>
      </c>
      <c r="E13" s="11">
        <f>HLOOKUP(E$3,'Qual F1'!$M$4:$BZ$14,3,FALSE)</f>
        <v>82.370055726837549</v>
      </c>
      <c r="F13" s="11">
        <f>HLOOKUP(F$3,'Qual F1'!$M$4:$BZ$14,3,FALSE)</f>
        <v>58.945851111039701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2274.4909999992256</v>
      </c>
      <c r="C15" s="11">
        <f t="shared" ref="C15:F15" si="0">SUM(C5:C13)</f>
        <v>2405.3839999988027</v>
      </c>
      <c r="D15" s="11">
        <f t="shared" si="0"/>
        <v>2404.2379999983364</v>
      </c>
      <c r="E15" s="11">
        <f t="shared" si="0"/>
        <v>2442.8000000047014</v>
      </c>
      <c r="F15" s="11">
        <f t="shared" si="0"/>
        <v>2510.6939999992701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463</v>
      </c>
      <c r="B18" s="16">
        <f>B$3</f>
        <v>2015</v>
      </c>
      <c r="C18" s="16">
        <f>C$3</f>
        <v>2019</v>
      </c>
      <c r="D18" s="16">
        <f>D$3</f>
        <v>2020</v>
      </c>
      <c r="E18" s="16">
        <f>E$3</f>
        <v>2025</v>
      </c>
      <c r="F18" s="16">
        <f>F$3</f>
        <v>2035</v>
      </c>
      <c r="G18" s="11"/>
    </row>
    <row r="19" spans="1:7" x14ac:dyDescent="0.2">
      <c r="A19" t="str">
        <f>$A5</f>
        <v>RQF8 Doctorate</v>
      </c>
      <c r="B19" s="17">
        <f t="shared" ref="B19:F21" si="1">B5/B$15*100</f>
        <v>1.0513985292180033</v>
      </c>
      <c r="C19" s="17">
        <f t="shared" si="1"/>
        <v>1.3558729048565972</v>
      </c>
      <c r="D19" s="17">
        <f t="shared" si="1"/>
        <v>1.2874789415131682</v>
      </c>
      <c r="E19" s="17">
        <f>E5/E$15*100</f>
        <v>1.5390593936502401</v>
      </c>
      <c r="F19" s="17">
        <f t="shared" si="1"/>
        <v>1.9460890145024883</v>
      </c>
      <c r="G19" s="11"/>
    </row>
    <row r="20" spans="1:7" x14ac:dyDescent="0.2">
      <c r="A20" t="str">
        <f>$A6</f>
        <v>RQF7 Other higher degree</v>
      </c>
      <c r="B20" s="17">
        <f t="shared" si="1"/>
        <v>7.0534309012115743</v>
      </c>
      <c r="C20" s="17">
        <f t="shared" si="1"/>
        <v>9.4734098848085182</v>
      </c>
      <c r="D20" s="17">
        <f t="shared" si="1"/>
        <v>8.8591428428507886</v>
      </c>
      <c r="E20" s="17">
        <f t="shared" si="1"/>
        <v>10.587683613375813</v>
      </c>
      <c r="F20" s="17">
        <f t="shared" si="1"/>
        <v>13.542783417561232</v>
      </c>
      <c r="G20" s="11"/>
    </row>
    <row r="21" spans="1:7" x14ac:dyDescent="0.2">
      <c r="A21" t="str">
        <f>$A7</f>
        <v>RQF6 First degree</v>
      </c>
      <c r="B21" s="17">
        <f t="shared" si="1"/>
        <v>16.74030340515846</v>
      </c>
      <c r="C21" s="17">
        <f t="shared" si="1"/>
        <v>17.128369547721675</v>
      </c>
      <c r="D21" s="17">
        <f t="shared" si="1"/>
        <v>19.01522615564447</v>
      </c>
      <c r="E21" s="17">
        <f t="shared" si="1"/>
        <v>20.511391959407931</v>
      </c>
      <c r="F21" s="17">
        <f t="shared" si="1"/>
        <v>24.180803894486228</v>
      </c>
      <c r="G21" s="11"/>
    </row>
    <row r="22" spans="1:7" x14ac:dyDescent="0.2">
      <c r="A22" t="str">
        <f t="shared" ref="A22:A27" si="2">$A8</f>
        <v>RQF5 Foundation degree;Nursing;Teaching</v>
      </c>
      <c r="B22" s="17">
        <f t="shared" ref="B22:F22" si="3">B8/B$15*100</f>
        <v>5.4107158381042657</v>
      </c>
      <c r="C22" s="17">
        <f t="shared" si="3"/>
        <v>5.0492513885663382</v>
      </c>
      <c r="D22" s="17">
        <f t="shared" si="3"/>
        <v>5.3289102002882744</v>
      </c>
      <c r="E22" s="17">
        <f t="shared" si="3"/>
        <v>5.3952084576410009</v>
      </c>
      <c r="F22" s="17">
        <f t="shared" si="3"/>
        <v>6.0748610665429883</v>
      </c>
      <c r="G22" s="11"/>
    </row>
    <row r="23" spans="1:7" x14ac:dyDescent="0.2">
      <c r="A23" t="str">
        <f t="shared" si="2"/>
        <v>RQF4 HE below degree level</v>
      </c>
      <c r="B23" s="17">
        <f t="shared" ref="B23:F23" si="4">B9/B$15*100</f>
        <v>5.1352270094878305</v>
      </c>
      <c r="C23" s="17">
        <f t="shared" si="4"/>
        <v>4.9690564150184482</v>
      </c>
      <c r="D23" s="17">
        <f t="shared" si="4"/>
        <v>5.6001046319540189</v>
      </c>
      <c r="E23" s="17">
        <f t="shared" si="4"/>
        <v>5.8147928033248215</v>
      </c>
      <c r="F23" s="17">
        <f t="shared" si="4"/>
        <v>6.7365992188720316</v>
      </c>
      <c r="G23" s="11"/>
    </row>
    <row r="24" spans="1:7" x14ac:dyDescent="0.2">
      <c r="A24" t="str">
        <f t="shared" si="2"/>
        <v>RQF3 A level &amp; equivalent</v>
      </c>
      <c r="B24" s="17">
        <f t="shared" ref="B24:F24" si="5">B10/B$15*100</f>
        <v>21.299346913506422</v>
      </c>
      <c r="C24" s="17">
        <f t="shared" si="5"/>
        <v>22.623086983676952</v>
      </c>
      <c r="D24" s="17">
        <f t="shared" si="5"/>
        <v>22.240706383790847</v>
      </c>
      <c r="E24" s="17">
        <f t="shared" si="5"/>
        <v>22.27987560573489</v>
      </c>
      <c r="F24" s="17">
        <f t="shared" si="5"/>
        <v>22.721026349498647</v>
      </c>
      <c r="G24" s="11"/>
    </row>
    <row r="25" spans="1:7" x14ac:dyDescent="0.2">
      <c r="A25" t="str">
        <f t="shared" si="2"/>
        <v>RQF2 GCSE(A-C) &amp; equivalent</v>
      </c>
      <c r="B25" s="17">
        <f t="shared" ref="B25:F25" si="6">B11/B$15*100</f>
        <v>22.088781542561641</v>
      </c>
      <c r="C25" s="17">
        <f t="shared" si="6"/>
        <v>21.624335821009481</v>
      </c>
      <c r="D25" s="17">
        <f t="shared" si="6"/>
        <v>20.682389488533275</v>
      </c>
      <c r="E25" s="17">
        <f t="shared" si="6"/>
        <v>18.88794886499398</v>
      </c>
      <c r="F25" s="17">
        <f t="shared" si="6"/>
        <v>15.326401262590302</v>
      </c>
      <c r="G25" s="11"/>
    </row>
    <row r="26" spans="1:7" x14ac:dyDescent="0.2">
      <c r="A26" t="str">
        <f t="shared" si="2"/>
        <v>RQF1 GCSE(below grade C) &amp; equivalent</v>
      </c>
      <c r="B26" s="17">
        <f t="shared" ref="B26:F26" si="7">B12/B$15*100</f>
        <v>16.386186120166649</v>
      </c>
      <c r="C26" s="17">
        <f>C12/C$15*100</f>
        <v>13.470993194155806</v>
      </c>
      <c r="D26" s="17">
        <f t="shared" si="7"/>
        <v>13.360803655630029</v>
      </c>
      <c r="E26" s="17">
        <f t="shared" si="7"/>
        <v>11.612086799551081</v>
      </c>
      <c r="F26" s="17">
        <f t="shared" si="7"/>
        <v>7.1236446428547167</v>
      </c>
      <c r="G26" s="11"/>
    </row>
    <row r="27" spans="1:7" x14ac:dyDescent="0.2">
      <c r="A27" t="str">
        <f t="shared" si="2"/>
        <v>No Qualification</v>
      </c>
      <c r="B27" s="17">
        <f t="shared" ref="B27:F27" si="8">B13/B$15*100</f>
        <v>4.8346097405851589</v>
      </c>
      <c r="C27" s="17">
        <f>C13/C$15*100</f>
        <v>4.3056238601861798</v>
      </c>
      <c r="D27" s="17">
        <f t="shared" si="8"/>
        <v>3.6252376997951488</v>
      </c>
      <c r="E27" s="17">
        <f t="shared" si="8"/>
        <v>3.3719525023202483</v>
      </c>
      <c r="F27" s="17">
        <f t="shared" si="8"/>
        <v>2.3477911330913619</v>
      </c>
      <c r="G27" s="11"/>
    </row>
    <row r="28" spans="1:7" x14ac:dyDescent="0.2">
      <c r="B28" s="17"/>
      <c r="C28" s="17"/>
      <c r="D28" s="17"/>
      <c r="E28" s="17"/>
      <c r="F28" s="17"/>
      <c r="G28" s="11"/>
    </row>
    <row r="29" spans="1:7" x14ac:dyDescent="0.2">
      <c r="A29" t="str">
        <f>$A15</f>
        <v>All qualifications</v>
      </c>
      <c r="B29" s="17">
        <f>B15/B$15*100</f>
        <v>100</v>
      </c>
      <c r="C29" s="17">
        <f>C15/C$15*100</f>
        <v>100</v>
      </c>
      <c r="D29" s="17">
        <f>D15/D$15*100</f>
        <v>100</v>
      </c>
      <c r="E29" s="17">
        <f>E15/E$15*100</f>
        <v>100</v>
      </c>
      <c r="F29" s="17">
        <f>F15/F$15*100</f>
        <v>100</v>
      </c>
      <c r="G29" s="11"/>
    </row>
    <row r="30" spans="1:7" x14ac:dyDescent="0.2">
      <c r="B30" s="17"/>
      <c r="C30" s="17"/>
      <c r="D30" s="17"/>
      <c r="E30" s="17"/>
      <c r="F30" s="17"/>
      <c r="G30" s="11"/>
    </row>
    <row r="32" spans="1:7" x14ac:dyDescent="0.2">
      <c r="A32" s="1" t="s">
        <v>14</v>
      </c>
      <c r="B32" s="19" t="str">
        <f>CONCATENATE(B$3,"-",C$3)</f>
        <v>2015-2019</v>
      </c>
      <c r="C32" s="19" t="str">
        <f>CONCATENATE(C$3,"-",D$3)</f>
        <v>2019-2020</v>
      </c>
      <c r="D32" s="19" t="str">
        <f>CONCATENATE(D$3,"-",E$3)</f>
        <v>2020-2025</v>
      </c>
      <c r="E32" s="19" t="str">
        <f>CONCATENATE(E$3,"-",F$3)</f>
        <v>2025-2035</v>
      </c>
      <c r="F32" s="19" t="str">
        <f>CONCATENATE(D$3,"-",F$3)</f>
        <v>2020-2035</v>
      </c>
    </row>
    <row r="33" spans="1:6" x14ac:dyDescent="0.2">
      <c r="A33" t="str">
        <f>$A19</f>
        <v>RQF8 Doctorate</v>
      </c>
      <c r="B33" s="17">
        <f>IF(C$3-B$3 &lt;&gt; 0,(EXP(LN(C5/B5)/(C$3-B$3))-1)*100,0)</f>
        <v>8.0657204148889114</v>
      </c>
      <c r="C33" s="17">
        <f t="shared" ref="B33:E35" si="9">IF(D$3-C$3 &lt;&gt; 0,(EXP(LN(D5/C5)/(D$3-C$3))-1)*100,0)</f>
        <v>-5.0895152666078918</v>
      </c>
      <c r="D33" s="17">
        <f t="shared" si="9"/>
        <v>3.9645169349192599</v>
      </c>
      <c r="E33" s="17">
        <f t="shared" si="9"/>
        <v>2.6552865120258673</v>
      </c>
      <c r="F33" s="17">
        <f>IF(F$3-D$3 &lt;&gt; 0,(EXP(LN(F5/D5)/(F$3-D$3))-1)*100,0)</f>
        <v>3.0898544123233895</v>
      </c>
    </row>
    <row r="34" spans="1:6" x14ac:dyDescent="0.2">
      <c r="A34" t="str">
        <f>$A20</f>
        <v>RQF7 Other higher degree</v>
      </c>
      <c r="B34" s="17">
        <f t="shared" si="9"/>
        <v>9.1695516792663856</v>
      </c>
      <c r="C34" s="17">
        <f t="shared" si="9"/>
        <v>-6.52867152998361</v>
      </c>
      <c r="D34" s="17">
        <f t="shared" si="9"/>
        <v>3.9594422969452037</v>
      </c>
      <c r="E34" s="17">
        <f t="shared" si="9"/>
        <v>2.7735327192099479</v>
      </c>
      <c r="F34" s="17">
        <f t="shared" ref="F34:F43" si="10">IF(F$3-D$3 &lt;&gt; 0,(EXP(LN(F6/D6)/(F$3-D$3))-1)*100,0)</f>
        <v>3.1673251093122801</v>
      </c>
    </row>
    <row r="35" spans="1:6" x14ac:dyDescent="0.2">
      <c r="A35" t="str">
        <f>$A21</f>
        <v>RQF6 First degree</v>
      </c>
      <c r="B35" s="17">
        <f t="shared" si="9"/>
        <v>1.9913225948384738</v>
      </c>
      <c r="C35" s="17">
        <f t="shared" si="9"/>
        <v>10.963081778202799</v>
      </c>
      <c r="D35" s="17">
        <f t="shared" si="9"/>
        <v>1.8499496411989336</v>
      </c>
      <c r="E35" s="17">
        <f t="shared" si="9"/>
        <v>1.9384785680612859</v>
      </c>
      <c r="F35" s="17">
        <f t="shared" si="10"/>
        <v>1.9089603790563237</v>
      </c>
    </row>
    <row r="36" spans="1:6" x14ac:dyDescent="0.2">
      <c r="A36" t="str">
        <f t="shared" ref="A36:A41" si="11">$A22</f>
        <v>RQF5 Foundation degree;Nursing;Teaching</v>
      </c>
      <c r="B36" s="17">
        <f>IF(C$3-B$3 &lt;&gt; 0,(EXP(LN(C8/B8)/(C$3-B$3))-1)*100,0)</f>
        <v>-0.32916062988540551</v>
      </c>
      <c r="C36" s="17">
        <f t="shared" ref="C36:E36" si="12">IF(D$3-C$3 &lt;&gt; 0,(EXP(LN(D8/C8)/(D$3-C$3))-1)*100,0)</f>
        <v>5.4883374045320732</v>
      </c>
      <c r="D36" s="17">
        <f t="shared" si="12"/>
        <v>0.567130005743266</v>
      </c>
      <c r="E36" s="17">
        <f t="shared" si="12"/>
        <v>1.4713408923427096</v>
      </c>
      <c r="F36" s="17">
        <f t="shared" si="10"/>
        <v>1.1690375358798022</v>
      </c>
    </row>
    <row r="37" spans="1:6" x14ac:dyDescent="0.2">
      <c r="A37" t="str">
        <f t="shared" si="11"/>
        <v>RQF4 HE below degree level</v>
      </c>
      <c r="B37" s="17">
        <f t="shared" ref="B37:E37" si="13">IF(C$3-B$3 &lt;&gt; 0,(EXP(LN(C9/B9)/(C$3-B$3))-1)*100,0)</f>
        <v>0.5781443994805624</v>
      </c>
      <c r="C37" s="17">
        <f t="shared" si="13"/>
        <v>12.64586472457372</v>
      </c>
      <c r="D37" s="17">
        <f t="shared" si="13"/>
        <v>1.0763874320156352</v>
      </c>
      <c r="E37" s="17">
        <f t="shared" si="13"/>
        <v>1.7609690373858955</v>
      </c>
      <c r="F37" s="17">
        <f t="shared" si="10"/>
        <v>1.5322615345204182</v>
      </c>
    </row>
    <row r="38" spans="1:6" x14ac:dyDescent="0.2">
      <c r="A38" t="str">
        <f t="shared" si="11"/>
        <v>RQF3 A level &amp; equivalent</v>
      </c>
      <c r="B38" s="17">
        <f t="shared" ref="B38:E38" si="14">IF(C$3-B$3 &lt;&gt; 0,(EXP(LN(C10/B10)/(C$3-B$3))-1)*100,0)</f>
        <v>2.9488366463085836</v>
      </c>
      <c r="C38" s="17">
        <f t="shared" si="14"/>
        <v>-1.7370607589431208</v>
      </c>
      <c r="D38" s="17">
        <f t="shared" si="14"/>
        <v>0.3540555012189861</v>
      </c>
      <c r="E38" s="17">
        <f t="shared" si="14"/>
        <v>0.4713194466931192</v>
      </c>
      <c r="F38" s="17">
        <f t="shared" si="10"/>
        <v>0.43221624797080693</v>
      </c>
    </row>
    <row r="39" spans="1:6" x14ac:dyDescent="0.2">
      <c r="A39" t="str">
        <f t="shared" si="11"/>
        <v>RQF2 GCSE(A-C) &amp; equivalent</v>
      </c>
      <c r="B39" s="17">
        <f t="shared" ref="B39:E39" si="15">IF(C$3-B$3 &lt;&gt; 0,(EXP(LN(C11/B11)/(C$3-B$3))-1)*100,0)</f>
        <v>0.87134300438487244</v>
      </c>
      <c r="C39" s="17">
        <f t="shared" si="15"/>
        <v>-4.4015227849095506</v>
      </c>
      <c r="D39" s="17">
        <f t="shared" si="15"/>
        <v>-1.4857834215415311</v>
      </c>
      <c r="E39" s="17">
        <f t="shared" si="15"/>
        <v>-1.7989510771899808</v>
      </c>
      <c r="F39" s="17">
        <f t="shared" si="10"/>
        <v>-1.6946726297951353</v>
      </c>
    </row>
    <row r="40" spans="1:6" x14ac:dyDescent="0.2">
      <c r="A40" t="str">
        <f t="shared" si="11"/>
        <v>RQF1 GCSE(below grade C) &amp; equivalent</v>
      </c>
      <c r="B40" s="17">
        <f t="shared" ref="B40:E40" si="16">IF(C$3-B$3 &lt;&gt; 0,(EXP(LN(C12/B12)/(C$3-B$3))-1)*100,0)</f>
        <v>-3.4381712518433916</v>
      </c>
      <c r="C40" s="17">
        <f t="shared" si="16"/>
        <v>-0.86522976180883893</v>
      </c>
      <c r="D40" s="17">
        <f t="shared" si="16"/>
        <v>-2.4566584482340614</v>
      </c>
      <c r="E40" s="17">
        <f t="shared" si="16"/>
        <v>-4.5073853695637993</v>
      </c>
      <c r="F40" s="17">
        <f t="shared" si="10"/>
        <v>-3.828645488577731</v>
      </c>
    </row>
    <row r="41" spans="1:6" x14ac:dyDescent="0.2">
      <c r="A41" t="str">
        <f t="shared" si="11"/>
        <v>No Qualification</v>
      </c>
      <c r="B41" s="17">
        <f t="shared" ref="B41:E41" si="17">IF(C$3-B$3 &lt;&gt; 0,(EXP(LN(C13/B13)/(C$3-B$3))-1)*100,0)</f>
        <v>-1.4869614113850904</v>
      </c>
      <c r="C41" s="17">
        <f t="shared" si="17"/>
        <v>-15.842381009370598</v>
      </c>
      <c r="D41" s="17">
        <f t="shared" si="17"/>
        <v>-1.1239557943347966</v>
      </c>
      <c r="E41" s="17">
        <f t="shared" si="17"/>
        <v>-3.2906669310666992</v>
      </c>
      <c r="F41" s="17">
        <f t="shared" si="10"/>
        <v>-2.5737574906750549</v>
      </c>
    </row>
    <row r="42" spans="1:6" x14ac:dyDescent="0.2">
      <c r="B42" s="17"/>
      <c r="C42" s="17"/>
      <c r="D42" s="17"/>
      <c r="E42" s="17"/>
      <c r="F42" s="17"/>
    </row>
    <row r="43" spans="1:6" x14ac:dyDescent="0.2">
      <c r="A43" t="str">
        <f>$A29</f>
        <v>All qualifications</v>
      </c>
      <c r="B43" s="17">
        <f>IF(C$3-B$3 &lt;&gt; 0,(EXP(LN(C15/B15)/(C$3-B$3))-1)*100,0)</f>
        <v>1.4086611058431009</v>
      </c>
      <c r="C43" s="17">
        <f t="shared" ref="C43" si="18">IF(D$3-C$3 &lt;&gt; 0,(EXP(LN(D15/C15)/(D$3-C$3))-1)*100,0)</f>
        <v>-4.7643120618867663E-2</v>
      </c>
      <c r="D43" s="17">
        <f>IF(E$3-D$3 &lt;&gt; 0,(EXP(LN(E15/D15)/(E$3-D$3))-1)*100,0)</f>
        <v>0.31874509394071993</v>
      </c>
      <c r="E43" s="17">
        <f>IF(F$3-E$3 &lt;&gt; 0,(EXP(LN(F15/E15)/(F$3-E$3))-1)*100,0)</f>
        <v>0.27451898098458383</v>
      </c>
      <c r="F43" s="17">
        <f t="shared" si="10"/>
        <v>0.28925885184052369</v>
      </c>
    </row>
    <row r="44" spans="1:6" x14ac:dyDescent="0.2">
      <c r="B44" s="17"/>
      <c r="C44" s="17"/>
      <c r="D44" s="17"/>
      <c r="E44" s="17"/>
      <c r="F44" s="17"/>
    </row>
    <row r="46" spans="1:6" x14ac:dyDescent="0.2">
      <c r="A46" s="1" t="s">
        <v>15</v>
      </c>
      <c r="B46" s="19" t="str">
        <f>CONCATENATE(B$3,"-",C$3)</f>
        <v>2015-2019</v>
      </c>
      <c r="C46" s="19" t="str">
        <f>CONCATENATE(C$3,"-",D$3)</f>
        <v>2019-2020</v>
      </c>
      <c r="D46" s="19" t="str">
        <f>CONCATENATE(D$3,"-",E$3)</f>
        <v>2020-2025</v>
      </c>
      <c r="E46" s="19" t="str">
        <f>CONCATENATE(E$3,"-",F$3)</f>
        <v>2025-2035</v>
      </c>
      <c r="F46" s="19" t="str">
        <f>CONCATENATE(D$3,"-",F$3)</f>
        <v>2020-2035</v>
      </c>
    </row>
    <row r="47" spans="1:6" x14ac:dyDescent="0.2">
      <c r="A47" t="str">
        <f>$A33</f>
        <v>RQF8 Doctorate</v>
      </c>
      <c r="B47" s="26">
        <f>C5-B5</f>
        <v>8.6999849925518653</v>
      </c>
      <c r="C47" s="26">
        <f>D5-C5</f>
        <v>-1.6598919599036286</v>
      </c>
      <c r="D47" s="26">
        <f>E5-D5</f>
        <v>6.6420849143244745</v>
      </c>
      <c r="E47" s="26">
        <f>F5-E5</f>
        <v>11.264197253598475</v>
      </c>
      <c r="F47" s="26">
        <f>F5-D5</f>
        <v>17.906282167922949</v>
      </c>
    </row>
    <row r="48" spans="1:6" x14ac:dyDescent="0.2">
      <c r="A48" t="str">
        <f t="shared" ref="A48:A55" si="19">$A34</f>
        <v>RQF7 Other higher degree</v>
      </c>
      <c r="B48" s="26">
        <f t="shared" ref="B48:E48" si="20">C6-B6</f>
        <v>67.442234584267567</v>
      </c>
      <c r="C48" s="26">
        <f t="shared" si="20"/>
        <v>-14.877006921537543</v>
      </c>
      <c r="D48" s="26">
        <f t="shared" si="20"/>
        <v>45.641056606090586</v>
      </c>
      <c r="E48" s="26">
        <f t="shared" si="20"/>
        <v>81.381915389563858</v>
      </c>
      <c r="F48" s="26">
        <f t="shared" ref="F48:F57" si="21">F6-D6</f>
        <v>127.02297199565444</v>
      </c>
    </row>
    <row r="49" spans="1:6" x14ac:dyDescent="0.2">
      <c r="A49" t="str">
        <f t="shared" si="19"/>
        <v>RQF6 First degree</v>
      </c>
      <c r="B49" s="26">
        <f t="shared" ref="B49:E49" si="22">C7-B7</f>
        <v>31.246366238671385</v>
      </c>
      <c r="C49" s="26">
        <f t="shared" si="22"/>
        <v>45.168232458062732</v>
      </c>
      <c r="D49" s="26">
        <f t="shared" si="22"/>
        <v>43.880989765754066</v>
      </c>
      <c r="E49" s="26">
        <f t="shared" si="22"/>
        <v>106.05370974507429</v>
      </c>
      <c r="F49" s="26">
        <f t="shared" si="21"/>
        <v>149.93469951082835</v>
      </c>
    </row>
    <row r="50" spans="1:6" x14ac:dyDescent="0.2">
      <c r="A50" t="str">
        <f t="shared" si="19"/>
        <v>RQF5 Foundation degree;Nursing;Teaching</v>
      </c>
      <c r="B50" s="26">
        <f t="shared" ref="B50:E50" si="23">C8-B8</f>
        <v>-1.6123597529221314</v>
      </c>
      <c r="C50" s="26">
        <f t="shared" si="23"/>
        <v>6.6657990008260697</v>
      </c>
      <c r="D50" s="26">
        <f t="shared" si="23"/>
        <v>3.6744681823898873</v>
      </c>
      <c r="E50" s="26">
        <f t="shared" si="23"/>
        <v>20.727020102478463</v>
      </c>
      <c r="F50" s="26">
        <f t="shared" si="21"/>
        <v>24.40148828486835</v>
      </c>
    </row>
    <row r="51" spans="1:6" x14ac:dyDescent="0.2">
      <c r="A51" t="str">
        <f t="shared" si="19"/>
        <v>RQF4 HE below degree level</v>
      </c>
      <c r="B51" s="26">
        <f t="shared" ref="B51:E51" si="24">C9-B9</f>
        <v>2.7246117974377739</v>
      </c>
      <c r="C51" s="26">
        <f t="shared" si="24"/>
        <v>15.114955643337638</v>
      </c>
      <c r="D51" s="26">
        <f t="shared" si="24"/>
        <v>7.4039149987866324</v>
      </c>
      <c r="E51" s="26">
        <f t="shared" si="24"/>
        <v>27.091633792325666</v>
      </c>
      <c r="F51" s="26">
        <f t="shared" si="21"/>
        <v>34.495548791112299</v>
      </c>
    </row>
    <row r="52" spans="1:6" x14ac:dyDescent="0.2">
      <c r="A52" t="str">
        <f t="shared" si="19"/>
        <v>RQF3 A level &amp; equivalent</v>
      </c>
      <c r="B52" s="26">
        <f t="shared" ref="B52:E52" si="25">C10-B10</f>
        <v>59.7203860048607</v>
      </c>
      <c r="C52" s="26">
        <f t="shared" si="25"/>
        <v>-9.4526002640217257</v>
      </c>
      <c r="D52" s="26">
        <f t="shared" si="25"/>
        <v>9.5332869507840314</v>
      </c>
      <c r="E52" s="26">
        <f t="shared" si="25"/>
        <v>26.202643997176324</v>
      </c>
      <c r="F52" s="26">
        <f t="shared" si="21"/>
        <v>35.735930947960355</v>
      </c>
    </row>
    <row r="53" spans="1:6" x14ac:dyDescent="0.2">
      <c r="A53" t="str">
        <f t="shared" si="19"/>
        <v>RQF2 GCSE(A-C) &amp; equivalent</v>
      </c>
      <c r="B53" s="26">
        <f t="shared" ref="B53:E53" si="26">C11-B11</f>
        <v>17.740965749517159</v>
      </c>
      <c r="C53" s="26">
        <f>D11-C11</f>
        <v>-22.894446553593184</v>
      </c>
      <c r="D53" s="26">
        <f t="shared" si="26"/>
        <v>-35.859052516017641</v>
      </c>
      <c r="E53" s="26">
        <f t="shared" si="26"/>
        <v>-76.595777959293855</v>
      </c>
      <c r="F53" s="26">
        <f t="shared" si="21"/>
        <v>-112.4548304753115</v>
      </c>
    </row>
    <row r="54" spans="1:6" x14ac:dyDescent="0.2">
      <c r="A54" t="str">
        <f t="shared" si="19"/>
        <v>RQF1 GCSE(below grade C) &amp; equivalent</v>
      </c>
      <c r="B54" s="26">
        <f t="shared" ref="B54:E54" si="27">C12-B12</f>
        <v>-48.673213613161295</v>
      </c>
      <c r="C54" s="26">
        <f t="shared" si="27"/>
        <v>-2.8035963393273846</v>
      </c>
      <c r="D54" s="26">
        <f t="shared" si="27"/>
        <v>-37.56546225384426</v>
      </c>
      <c r="E54" s="26">
        <f t="shared" si="27"/>
        <v>-104.80713771055696</v>
      </c>
      <c r="F54" s="26">
        <f t="shared" si="21"/>
        <v>-142.37259996440122</v>
      </c>
    </row>
    <row r="55" spans="1:6" x14ac:dyDescent="0.2">
      <c r="A55" t="str">
        <f t="shared" si="19"/>
        <v>No Qualification</v>
      </c>
      <c r="B55" s="26">
        <f t="shared" ref="B55:E55" si="28">C13-B13</f>
        <v>-6.3959760016461615</v>
      </c>
      <c r="C55" s="26">
        <f t="shared" si="28"/>
        <v>-16.407445064308604</v>
      </c>
      <c r="D55" s="26">
        <f t="shared" si="28"/>
        <v>-4.7892866419030327</v>
      </c>
      <c r="E55" s="26">
        <f t="shared" si="28"/>
        <v>-23.424204615797848</v>
      </c>
      <c r="F55" s="26">
        <f t="shared" si="21"/>
        <v>-28.213491257700881</v>
      </c>
    </row>
    <row r="56" spans="1:6" x14ac:dyDescent="0.2">
      <c r="B56" s="20"/>
      <c r="C56" s="26"/>
      <c r="D56" s="20"/>
      <c r="E56" s="20"/>
      <c r="F56" s="26"/>
    </row>
    <row r="57" spans="1:6" x14ac:dyDescent="0.2">
      <c r="A57" s="23" t="str">
        <f>$A43</f>
        <v>All qualifications</v>
      </c>
      <c r="B57" s="28">
        <f>C15-B15</f>
        <v>130.89299999957711</v>
      </c>
      <c r="C57" s="28">
        <f t="shared" ref="C57" si="29">D15-C15</f>
        <v>-1.1460000004663016</v>
      </c>
      <c r="D57" s="28">
        <f>E15-D15</f>
        <v>38.562000006364997</v>
      </c>
      <c r="E57" s="28">
        <f>F15-E15</f>
        <v>67.89399999456873</v>
      </c>
      <c r="F57" s="28">
        <f t="shared" si="21"/>
        <v>106.45600000093373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0" customWidth="1"/>
    <col min="2" max="8" width="9.140625" style="80"/>
    <col min="9" max="9" width="31.85546875" style="80" customWidth="1"/>
    <col min="10" max="10" width="11.28515625" style="80" customWidth="1"/>
    <col min="11" max="11" width="6.140625" style="80" customWidth="1"/>
    <col min="12" max="12" width="27.140625" customWidth="1"/>
    <col min="13" max="33" width="4.7109375" bestFit="1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79" t="str">
        <f>CONCATENATE("Qualification Figure 1  Employment by Qualification, ",$M$2,"-",$O$2,", ",Info!B5)</f>
        <v>Qualification Figure 1  Employment by Qualification, 2010-2035, East Midlands</v>
      </c>
      <c r="H1"/>
      <c r="L1" s="45"/>
    </row>
    <row r="2" spans="1:68" x14ac:dyDescent="0.2">
      <c r="A2" s="1" t="s">
        <v>539</v>
      </c>
      <c r="L2" s="15" t="s">
        <v>28</v>
      </c>
      <c r="M2" s="15">
        <f>M4</f>
        <v>2010</v>
      </c>
      <c r="N2" s="46" t="s">
        <v>27</v>
      </c>
      <c r="O2" s="47">
        <f>MAX(M4:BP4)</f>
        <v>2035</v>
      </c>
    </row>
    <row r="3" spans="1:68" x14ac:dyDescent="0.2">
      <c r="L3" s="15"/>
      <c r="M3" s="15"/>
      <c r="N3" s="46"/>
      <c r="O3" s="15"/>
    </row>
    <row r="4" spans="1:68" x14ac:dyDescent="0.2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</row>
    <row r="6" spans="1:68" x14ac:dyDescent="0.2">
      <c r="L6" s="232" t="str">
        <f>name!F12</f>
        <v>No Qualification</v>
      </c>
      <c r="M6" s="11">
        <v>162.31088812817188</v>
      </c>
      <c r="N6" s="11">
        <v>148.84155117711336</v>
      </c>
      <c r="O6" s="11">
        <v>137.76079576221588</v>
      </c>
      <c r="P6" s="11">
        <v>129.02621581363692</v>
      </c>
      <c r="Q6" s="11">
        <v>123.57023161101719</v>
      </c>
      <c r="R6" s="11">
        <v>109.96276343469535</v>
      </c>
      <c r="S6" s="11">
        <v>107.00724474489135</v>
      </c>
      <c r="T6" s="11">
        <v>108.34404707041044</v>
      </c>
      <c r="U6" s="11">
        <v>116.5678176967715</v>
      </c>
      <c r="V6" s="11">
        <v>103.56678743304919</v>
      </c>
      <c r="W6" s="11">
        <v>87.159342368740582</v>
      </c>
      <c r="X6" s="11">
        <v>117.50261968448396</v>
      </c>
      <c r="Y6" s="11">
        <v>93.274612345568428</v>
      </c>
      <c r="Z6" s="11">
        <v>88.949227124357805</v>
      </c>
      <c r="AA6" s="11">
        <v>84.778823324133512</v>
      </c>
      <c r="AB6" s="11">
        <v>82.370055726837549</v>
      </c>
      <c r="AC6" s="11">
        <v>80.083749805857309</v>
      </c>
      <c r="AD6" s="11">
        <v>77.685905948206496</v>
      </c>
      <c r="AE6" s="11">
        <v>75.211770897741062</v>
      </c>
      <c r="AF6" s="11">
        <v>72.657549849423148</v>
      </c>
      <c r="AG6" s="11">
        <v>70.049570038656213</v>
      </c>
      <c r="AH6" s="11">
        <v>67.353329660497295</v>
      </c>
      <c r="AI6" s="11">
        <v>64.574747463541371</v>
      </c>
      <c r="AJ6" s="11">
        <v>61.7177881460563</v>
      </c>
      <c r="AK6" s="11">
        <v>58.964761465802873</v>
      </c>
      <c r="AL6" s="11">
        <v>58.945851111039701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 x14ac:dyDescent="0.2">
      <c r="L7" s="232" t="str">
        <f>name!F11</f>
        <v>RQF1 GCSE(below grade C) &amp; equivalent</v>
      </c>
      <c r="M7" s="11">
        <v>366.56691582163899</v>
      </c>
      <c r="N7" s="11">
        <v>372.5905239288191</v>
      </c>
      <c r="O7" s="11">
        <v>397.73871952955955</v>
      </c>
      <c r="P7" s="11">
        <v>338.9265931179574</v>
      </c>
      <c r="Q7" s="11">
        <v>350.91303974576073</v>
      </c>
      <c r="R7" s="11">
        <v>372.70232854631269</v>
      </c>
      <c r="S7" s="11">
        <v>343.33939512783371</v>
      </c>
      <c r="T7" s="11">
        <v>359.84387751132834</v>
      </c>
      <c r="U7" s="11">
        <v>354.48369277721076</v>
      </c>
      <c r="V7" s="11">
        <v>324.02911493315139</v>
      </c>
      <c r="W7" s="11">
        <v>321.22551859382401</v>
      </c>
      <c r="X7" s="11">
        <v>331.453663408718</v>
      </c>
      <c r="Y7" s="11">
        <v>310.8534300336795</v>
      </c>
      <c r="Z7" s="11">
        <v>301.78981071862978</v>
      </c>
      <c r="AA7" s="11">
        <v>293.1557440651867</v>
      </c>
      <c r="AB7" s="11">
        <v>283.66005633997975</v>
      </c>
      <c r="AC7" s="11">
        <v>273.85226555177951</v>
      </c>
      <c r="AD7" s="11">
        <v>263.82542298529881</v>
      </c>
      <c r="AE7" s="11">
        <v>253.68417756877903</v>
      </c>
      <c r="AF7" s="11">
        <v>243.41593906133073</v>
      </c>
      <c r="AG7" s="11">
        <v>233.09838842797669</v>
      </c>
      <c r="AH7" s="11">
        <v>222.61575070035784</v>
      </c>
      <c r="AI7" s="11">
        <v>211.98234324510784</v>
      </c>
      <c r="AJ7" s="11">
        <v>201.20688197249697</v>
      </c>
      <c r="AK7" s="11">
        <v>190.24183064989259</v>
      </c>
      <c r="AL7" s="11">
        <v>178.85291862942279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</row>
    <row r="8" spans="1:68" x14ac:dyDescent="0.2">
      <c r="L8" s="232" t="str">
        <f>name!F10</f>
        <v>RQF2 GCSE(A-C) &amp; equivalent</v>
      </c>
      <c r="M8" s="11">
        <v>480.4049223673926</v>
      </c>
      <c r="N8" s="11">
        <v>486.53994616901355</v>
      </c>
      <c r="O8" s="11">
        <v>502.9873429962704</v>
      </c>
      <c r="P8" s="11">
        <v>501.42287985351891</v>
      </c>
      <c r="Q8" s="11">
        <v>516.45122437190116</v>
      </c>
      <c r="R8" s="11">
        <v>502.40734819505462</v>
      </c>
      <c r="S8" s="11">
        <v>542.35850417989809</v>
      </c>
      <c r="T8" s="11">
        <v>498.55478498107499</v>
      </c>
      <c r="U8" s="11">
        <v>482.54334449083126</v>
      </c>
      <c r="V8" s="11">
        <v>520.14831394457178</v>
      </c>
      <c r="W8" s="11">
        <v>497.2538673909786</v>
      </c>
      <c r="X8" s="11">
        <v>480.00425605604659</v>
      </c>
      <c r="Y8" s="11">
        <v>480.96459571872259</v>
      </c>
      <c r="Z8" s="11">
        <v>474.28288967065924</v>
      </c>
      <c r="AA8" s="11">
        <v>468.45186965217198</v>
      </c>
      <c r="AB8" s="11">
        <v>461.39481487496096</v>
      </c>
      <c r="AC8" s="11">
        <v>453.9908570692819</v>
      </c>
      <c r="AD8" s="11">
        <v>446.3973597089136</v>
      </c>
      <c r="AE8" s="11">
        <v>438.78841053309719</v>
      </c>
      <c r="AF8" s="11">
        <v>431.15236773944719</v>
      </c>
      <c r="AG8" s="11">
        <v>423.63710798525221</v>
      </c>
      <c r="AH8" s="11">
        <v>416.05006909407717</v>
      </c>
      <c r="AI8" s="11">
        <v>408.42545975702598</v>
      </c>
      <c r="AJ8" s="11">
        <v>400.79223079873952</v>
      </c>
      <c r="AK8" s="11">
        <v>393.06963331766144</v>
      </c>
      <c r="AL8" s="11">
        <v>384.7990369156671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</row>
    <row r="9" spans="1:68" x14ac:dyDescent="0.2">
      <c r="L9" s="232" t="str">
        <f>name!F9</f>
        <v>RQF3 A level &amp; equivalent</v>
      </c>
      <c r="M9" s="11">
        <v>455.81424743003441</v>
      </c>
      <c r="N9" s="11">
        <v>475.12642344234263</v>
      </c>
      <c r="O9" s="11">
        <v>499.85349844805262</v>
      </c>
      <c r="P9" s="11">
        <v>448.38426144247865</v>
      </c>
      <c r="Q9" s="11">
        <v>477.02122259703742</v>
      </c>
      <c r="R9" s="11">
        <v>484.45172860631641</v>
      </c>
      <c r="S9" s="11">
        <v>511.70867676806438</v>
      </c>
      <c r="T9" s="11">
        <v>521.49325019172636</v>
      </c>
      <c r="U9" s="11">
        <v>497.12471051454304</v>
      </c>
      <c r="V9" s="11">
        <v>544.17211461117711</v>
      </c>
      <c r="W9" s="11">
        <v>534.71951434715538</v>
      </c>
      <c r="X9" s="11">
        <v>525.3357155144663</v>
      </c>
      <c r="Y9" s="11">
        <v>533.63586382546464</v>
      </c>
      <c r="Z9" s="11">
        <v>536.90723032643962</v>
      </c>
      <c r="AA9" s="11">
        <v>541.23232679199987</v>
      </c>
      <c r="AB9" s="11">
        <v>544.25280129793941</v>
      </c>
      <c r="AC9" s="11">
        <v>546.92615244110937</v>
      </c>
      <c r="AD9" s="11">
        <v>549.41800003465289</v>
      </c>
      <c r="AE9" s="11">
        <v>551.94001979361337</v>
      </c>
      <c r="AF9" s="11">
        <v>554.48087715101758</v>
      </c>
      <c r="AG9" s="11">
        <v>557.23915263048082</v>
      </c>
      <c r="AH9" s="11">
        <v>559.97310307667726</v>
      </c>
      <c r="AI9" s="11">
        <v>562.73097465484295</v>
      </c>
      <c r="AJ9" s="11">
        <v>565.55872748324794</v>
      </c>
      <c r="AK9" s="11">
        <v>568.34967318100246</v>
      </c>
      <c r="AL9" s="11">
        <v>570.45544529511574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</row>
    <row r="10" spans="1:68" x14ac:dyDescent="0.2">
      <c r="L10" s="232" t="str">
        <f>name!F8</f>
        <v>RQF4 HE below degree level</v>
      </c>
      <c r="M10" s="11">
        <v>102.07449924558556</v>
      </c>
      <c r="N10" s="11">
        <v>109.11661434083544</v>
      </c>
      <c r="O10" s="11">
        <v>100.86638572624676</v>
      </c>
      <c r="P10" s="11">
        <v>112.98889993984982</v>
      </c>
      <c r="Q10" s="11">
        <v>112.16518311080981</v>
      </c>
      <c r="R10" s="11">
        <v>116.80027616033009</v>
      </c>
      <c r="S10" s="11">
        <v>119.42303839213146</v>
      </c>
      <c r="T10" s="11">
        <v>127.37318883873948</v>
      </c>
      <c r="U10" s="11">
        <v>126.74786926200659</v>
      </c>
      <c r="V10" s="11">
        <v>119.52488795776786</v>
      </c>
      <c r="W10" s="11">
        <v>134.6398436011055</v>
      </c>
      <c r="X10" s="11">
        <v>130.48695197056071</v>
      </c>
      <c r="Y10" s="11">
        <v>134.60103674433097</v>
      </c>
      <c r="Z10" s="11">
        <v>136.96190885508176</v>
      </c>
      <c r="AA10" s="11">
        <v>139.62943210497832</v>
      </c>
      <c r="AB10" s="11">
        <v>142.04375859989213</v>
      </c>
      <c r="AC10" s="11">
        <v>144.49726421697696</v>
      </c>
      <c r="AD10" s="11">
        <v>146.99662880689183</v>
      </c>
      <c r="AE10" s="11">
        <v>149.47175015893137</v>
      </c>
      <c r="AF10" s="11">
        <v>152.02863742861635</v>
      </c>
      <c r="AG10" s="11">
        <v>154.70874770667041</v>
      </c>
      <c r="AH10">
        <v>157.44208928942481</v>
      </c>
      <c r="AI10">
        <v>160.26447455505772</v>
      </c>
      <c r="AJ10">
        <v>163.18838916587086</v>
      </c>
      <c r="AK10">
        <v>166.22362317220706</v>
      </c>
      <c r="AL10" s="11">
        <v>169.1353923922178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</row>
    <row r="11" spans="1:68" x14ac:dyDescent="0.2">
      <c r="L11" s="232" t="str">
        <f>name!F7</f>
        <v>RQF5 Foundation degree;Nursing;Teaching</v>
      </c>
      <c r="M11" s="11">
        <v>117.46270886764465</v>
      </c>
      <c r="N11" s="11">
        <v>124.82906723701728</v>
      </c>
      <c r="O11" s="11">
        <v>113.85611233358745</v>
      </c>
      <c r="P11" s="11">
        <v>124.40578346809208</v>
      </c>
      <c r="Q11" s="11">
        <v>119.68081376735634</v>
      </c>
      <c r="R11" s="11">
        <v>123.06624477321419</v>
      </c>
      <c r="S11" s="11">
        <v>125.50390238963386</v>
      </c>
      <c r="T11" s="11">
        <v>128.84200866402895</v>
      </c>
      <c r="U11" s="11">
        <v>126.86220953544282</v>
      </c>
      <c r="V11" s="11">
        <v>121.45388502029206</v>
      </c>
      <c r="W11" s="11">
        <v>128.11968402111813</v>
      </c>
      <c r="X11" s="11">
        <v>123.46754517144937</v>
      </c>
      <c r="Y11" s="11">
        <v>126.78549358147144</v>
      </c>
      <c r="Z11" s="11">
        <v>128.3029163125002</v>
      </c>
      <c r="AA11" s="11">
        <v>130.21415435857804</v>
      </c>
      <c r="AB11" s="11">
        <v>131.79415220350802</v>
      </c>
      <c r="AC11" s="11">
        <v>133.35762305252953</v>
      </c>
      <c r="AD11" s="11">
        <v>135.13996652156936</v>
      </c>
      <c r="AE11" s="11">
        <v>136.98197528210105</v>
      </c>
      <c r="AF11" s="11">
        <v>138.87822078450307</v>
      </c>
      <c r="AG11" s="11">
        <v>140.93297008647085</v>
      </c>
      <c r="AH11">
        <v>143.11424818024349</v>
      </c>
      <c r="AI11">
        <v>145.34839034878485</v>
      </c>
      <c r="AJ11">
        <v>147.66771373304573</v>
      </c>
      <c r="AK11">
        <v>150.01855549252494</v>
      </c>
      <c r="AL11" s="11">
        <v>152.52117230598648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</row>
    <row r="12" spans="1:68" x14ac:dyDescent="0.2">
      <c r="L12" s="232" t="str">
        <f>name!F6</f>
        <v>RQF6 First degree</v>
      </c>
      <c r="M12" s="11">
        <v>300.46929334409128</v>
      </c>
      <c r="N12" s="11">
        <v>331.21043821373985</v>
      </c>
      <c r="O12" s="11">
        <v>316.65922468222465</v>
      </c>
      <c r="P12" s="11">
        <v>351.53804807912104</v>
      </c>
      <c r="Q12" s="11">
        <v>365.11476674636498</v>
      </c>
      <c r="R12" s="11">
        <v>380.75669432289305</v>
      </c>
      <c r="S12" s="11">
        <v>392.34728075470377</v>
      </c>
      <c r="T12" s="11">
        <v>421.27490041891372</v>
      </c>
      <c r="U12" s="11">
        <v>418.95246892645827</v>
      </c>
      <c r="V12" s="11">
        <v>412.00306056156444</v>
      </c>
      <c r="W12" s="11">
        <v>457.17129301962717</v>
      </c>
      <c r="X12" s="11">
        <v>453.48991784898158</v>
      </c>
      <c r="Y12" s="11">
        <v>467.93056831130673</v>
      </c>
      <c r="Z12" s="11">
        <v>478.63736258975337</v>
      </c>
      <c r="AA12" s="11">
        <v>490.40672469670653</v>
      </c>
      <c r="AB12" s="11">
        <v>501.05228278538124</v>
      </c>
      <c r="AC12" s="11">
        <v>511.36867308784809</v>
      </c>
      <c r="AD12" s="11">
        <v>521.40266213553889</v>
      </c>
      <c r="AE12" s="11">
        <v>531.66599586230859</v>
      </c>
      <c r="AF12" s="11">
        <v>542.06111504559715</v>
      </c>
      <c r="AG12" s="11">
        <v>552.73409331121286</v>
      </c>
      <c r="AH12">
        <v>563.44778638877256</v>
      </c>
      <c r="AI12">
        <v>574.31767779365862</v>
      </c>
      <c r="AJ12">
        <v>585.38483167122661</v>
      </c>
      <c r="AK12">
        <v>596.54687852789516</v>
      </c>
      <c r="AL12">
        <v>607.10599253045552</v>
      </c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</row>
    <row r="13" spans="1:68" x14ac:dyDescent="0.2">
      <c r="L13" s="232" t="str">
        <f>name!F5</f>
        <v>RQF7 Other higher degree</v>
      </c>
      <c r="M13" s="11">
        <v>136.53421101345532</v>
      </c>
      <c r="N13" s="11">
        <v>118.88320387931444</v>
      </c>
      <c r="O13" s="11">
        <v>114.70949875880163</v>
      </c>
      <c r="P13" s="11">
        <v>146.88488710215458</v>
      </c>
      <c r="Q13" s="11">
        <v>149.92538001472244</v>
      </c>
      <c r="R13" s="11">
        <v>160.42965103922151</v>
      </c>
      <c r="S13" s="11">
        <v>166.06844399713421</v>
      </c>
      <c r="T13" s="11">
        <v>164.71474544836417</v>
      </c>
      <c r="U13" s="11">
        <v>187.51472265651461</v>
      </c>
      <c r="V13" s="11">
        <v>227.87188562348908</v>
      </c>
      <c r="W13" s="11">
        <v>212.99487870195154</v>
      </c>
      <c r="X13" s="11">
        <v>214.75707792291431</v>
      </c>
      <c r="Y13" s="11">
        <v>230.68905003649269</v>
      </c>
      <c r="Z13" s="11">
        <v>239.96359805351261</v>
      </c>
      <c r="AA13" s="11">
        <v>249.66487030381137</v>
      </c>
      <c r="AB13" s="11">
        <v>258.63593530804212</v>
      </c>
      <c r="AC13" s="11">
        <v>267.32389475275772</v>
      </c>
      <c r="AD13" s="11">
        <v>275.82253910011252</v>
      </c>
      <c r="AE13" s="11">
        <v>284.18500426771971</v>
      </c>
      <c r="AF13" s="11">
        <v>292.44456680891204</v>
      </c>
      <c r="AG13" s="11">
        <v>300.69871213172632</v>
      </c>
      <c r="AH13">
        <v>308.83135048485775</v>
      </c>
      <c r="AI13">
        <v>316.86284160893501</v>
      </c>
      <c r="AJ13">
        <v>324.82526621917901</v>
      </c>
      <c r="AK13">
        <v>332.64539844070219</v>
      </c>
      <c r="AL13">
        <v>340.01785069760598</v>
      </c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</row>
    <row r="14" spans="1:68" x14ac:dyDescent="0.2">
      <c r="L14" s="232" t="str">
        <f>name!F4</f>
        <v>RQF8 Doctorate</v>
      </c>
      <c r="M14" s="11">
        <v>19.581313781377684</v>
      </c>
      <c r="N14" s="11">
        <v>17.92223160963443</v>
      </c>
      <c r="O14" s="11">
        <v>17.016421760978684</v>
      </c>
      <c r="P14" s="11">
        <v>21.842431180342476</v>
      </c>
      <c r="Q14" s="11">
        <v>21.767138034267056</v>
      </c>
      <c r="R14" s="11">
        <v>23.913964921187709</v>
      </c>
      <c r="S14" s="11">
        <v>25.115513644099455</v>
      </c>
      <c r="T14" s="11">
        <v>24.340196875052218</v>
      </c>
      <c r="U14" s="11">
        <v>26.529164140353927</v>
      </c>
      <c r="V14" s="11">
        <v>32.613949913739575</v>
      </c>
      <c r="W14" s="11">
        <v>30.954057953835946</v>
      </c>
      <c r="X14" s="11">
        <v>32.053252419216484</v>
      </c>
      <c r="Y14" s="11">
        <v>33.715349404166972</v>
      </c>
      <c r="Z14" s="11">
        <v>35.015056350274044</v>
      </c>
      <c r="AA14" s="11">
        <v>36.357054703454438</v>
      </c>
      <c r="AB14" s="11">
        <v>37.59614286816042</v>
      </c>
      <c r="AC14" s="11">
        <v>38.790520026017305</v>
      </c>
      <c r="AD14" s="11">
        <v>39.947514763386629</v>
      </c>
      <c r="AE14" s="11">
        <v>41.119895639643872</v>
      </c>
      <c r="AF14" s="11">
        <v>42.27272613588714</v>
      </c>
      <c r="AG14" s="11">
        <v>43.424257686493469</v>
      </c>
      <c r="AH14">
        <v>44.551273129347805</v>
      </c>
      <c r="AI14">
        <v>45.661090577777706</v>
      </c>
      <c r="AJ14">
        <v>46.753170815195411</v>
      </c>
      <c r="AK14">
        <v>47.835645756931605</v>
      </c>
      <c r="AL14">
        <v>48.860340121758895</v>
      </c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13:68" x14ac:dyDescent="0.2">
      <c r="M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13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13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13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13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13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13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13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13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13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13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13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13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13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13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79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79" t="str">
        <f>CONCATENATE("Qualification Figure 1.1  Employment by Qualification, ",$M$2,"-",$O$2," ",Info!B5)</f>
        <v>Qualification Figure 1.1  Employment by Qualification, 2010-2035 East Midlands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0" customWidth="1"/>
    <col min="2" max="6" width="11.7109375" style="90" customWidth="1"/>
    <col min="7" max="7" width="5.7109375" style="90" customWidth="1"/>
    <col min="8" max="12" width="11.7109375" style="90" customWidth="1"/>
    <col min="13" max="16384" width="9.140625" style="90"/>
  </cols>
  <sheetData>
    <row r="1" spans="1:12" ht="15.75" x14ac:dyDescent="0.25">
      <c r="A1" s="18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6"/>
      <c r="L3" s="116" t="s">
        <v>19</v>
      </c>
    </row>
    <row r="4" spans="1:12" x14ac:dyDescent="0.2">
      <c r="A4" s="95"/>
      <c r="B4" s="117" t="s">
        <v>17</v>
      </c>
      <c r="C4" s="95"/>
      <c r="D4" s="95"/>
      <c r="E4" s="95"/>
      <c r="F4" s="118"/>
      <c r="H4" s="117" t="s">
        <v>18</v>
      </c>
      <c r="I4" s="95"/>
      <c r="J4" s="95"/>
      <c r="K4" s="95"/>
      <c r="L4" s="95"/>
    </row>
    <row r="5" spans="1:12" x14ac:dyDescent="0.2">
      <c r="A5" s="91"/>
      <c r="B5" s="119">
        <v>2008</v>
      </c>
      <c r="C5" s="119">
        <v>2010</v>
      </c>
      <c r="D5" s="119">
        <v>2012</v>
      </c>
      <c r="E5" s="119">
        <v>2015</v>
      </c>
      <c r="F5" s="119">
        <v>2020</v>
      </c>
      <c r="H5" s="120" t="str">
        <f>CONCATENATE(B$5,"-",C$5)</f>
        <v>2008-2010</v>
      </c>
      <c r="I5" s="120" t="str">
        <f>CONCATENATE(B$5,"-",D$5)</f>
        <v>2008-2012</v>
      </c>
      <c r="J5" s="120" t="str">
        <f>CONCATENATE(D$5,"-",E$5)</f>
        <v>2012-2015</v>
      </c>
      <c r="K5" s="120" t="str">
        <f>CONCATENATE(E$5,"-",F$5)</f>
        <v>2015-2020</v>
      </c>
      <c r="L5" s="120" t="str">
        <f>CONCATENATE(D$5,"-",F$5)</f>
        <v>2012-2020</v>
      </c>
    </row>
    <row r="7" spans="1:12" s="121" customFormat="1" x14ac:dyDescent="0.2">
      <c r="A7" s="121" t="str">
        <f>name!F4</f>
        <v>RQF8 Doctorate</v>
      </c>
      <c r="B7" s="122">
        <v>71325.851049592791</v>
      </c>
      <c r="C7" s="122">
        <v>67875.205285452204</v>
      </c>
      <c r="D7" s="122">
        <v>65953.088065984106</v>
      </c>
      <c r="E7" s="122">
        <v>63161.5699830265</v>
      </c>
      <c r="F7" s="122">
        <v>59517.030027737295</v>
      </c>
      <c r="H7" s="122">
        <f>C7-B7</f>
        <v>-3450.6457641405868</v>
      </c>
      <c r="I7" s="122">
        <f>D7-B7</f>
        <v>-5372.7629836086853</v>
      </c>
      <c r="J7" s="122">
        <f>E7-D7</f>
        <v>-2791.5180829576057</v>
      </c>
      <c r="K7" s="122">
        <f>F7-E7</f>
        <v>-3644.539955289205</v>
      </c>
      <c r="L7" s="122">
        <f>F7-D7</f>
        <v>-6436.0580382468106</v>
      </c>
    </row>
    <row r="8" spans="1:12" x14ac:dyDescent="0.2">
      <c r="A8" s="90" t="str">
        <f>name!J4</f>
        <v>SE</v>
      </c>
      <c r="B8" s="93">
        <v>21828.171692536111</v>
      </c>
      <c r="C8" s="93">
        <v>20792.172573048945</v>
      </c>
      <c r="D8" s="93">
        <v>20234.216118009812</v>
      </c>
      <c r="E8" s="93">
        <v>19430.497541178578</v>
      </c>
      <c r="F8" s="93">
        <v>18413.968008235337</v>
      </c>
      <c r="H8" s="93">
        <f>C8-B8</f>
        <v>-1035.9991194871654</v>
      </c>
      <c r="I8" s="93">
        <f>D8-B8</f>
        <v>-1593.9555745262987</v>
      </c>
      <c r="J8" s="93">
        <f t="shared" ref="J8:K10" si="0">E8-D8</f>
        <v>-803.7185768312338</v>
      </c>
      <c r="K8" s="93">
        <f t="shared" si="0"/>
        <v>-1016.5295329432411</v>
      </c>
      <c r="L8" s="93">
        <f>F8-D8</f>
        <v>-1820.2481097744749</v>
      </c>
    </row>
    <row r="9" spans="1:12" x14ac:dyDescent="0.2">
      <c r="A9" s="90" t="str">
        <f>name!J5</f>
        <v>FT</v>
      </c>
      <c r="B9" s="93">
        <v>49497.679357056688</v>
      </c>
      <c r="C9" s="93">
        <v>47083.032712403263</v>
      </c>
      <c r="D9" s="93">
        <v>45718.871947974287</v>
      </c>
      <c r="E9" s="93">
        <v>43731.072441847915</v>
      </c>
      <c r="F9" s="93">
        <v>41103.062019501958</v>
      </c>
      <c r="H9" s="93">
        <f>C9-B9</f>
        <v>-2414.646644653425</v>
      </c>
      <c r="I9" s="93">
        <f>D9-B9</f>
        <v>-3778.8074090824011</v>
      </c>
      <c r="J9" s="93">
        <f t="shared" si="0"/>
        <v>-1987.7995061263719</v>
      </c>
      <c r="K9" s="93">
        <f t="shared" si="0"/>
        <v>-2628.0104223459566</v>
      </c>
      <c r="L9" s="93">
        <f>F9-D9</f>
        <v>-4615.8099284723285</v>
      </c>
    </row>
    <row r="10" spans="1:12" x14ac:dyDescent="0.2">
      <c r="A10" s="90" t="str">
        <f>name!J6</f>
        <v>PT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H10" s="93">
        <f>C10-B10</f>
        <v>0</v>
      </c>
      <c r="I10" s="93">
        <f>D10-B10</f>
        <v>0</v>
      </c>
      <c r="J10" s="93">
        <f t="shared" si="0"/>
        <v>0</v>
      </c>
      <c r="K10" s="93">
        <f t="shared" si="0"/>
        <v>0</v>
      </c>
      <c r="L10" s="93">
        <f>F10-D10</f>
        <v>0</v>
      </c>
    </row>
    <row r="11" spans="1:12" x14ac:dyDescent="0.2">
      <c r="H11" s="93"/>
      <c r="I11" s="93"/>
      <c r="J11" s="93"/>
      <c r="K11" s="93"/>
      <c r="L11" s="93"/>
    </row>
    <row r="12" spans="1:12" s="121" customFormat="1" x14ac:dyDescent="0.2">
      <c r="A12" s="121" t="str">
        <f>name!F5</f>
        <v>RQF7 Other higher degree</v>
      </c>
      <c r="B12" s="122">
        <v>117603.36216609999</v>
      </c>
      <c r="C12" s="122">
        <v>115939.95604983499</v>
      </c>
      <c r="D12" s="122">
        <v>117782.27837055401</v>
      </c>
      <c r="E12" s="122">
        <v>118889.39584623399</v>
      </c>
      <c r="F12" s="122">
        <v>120707.41471465</v>
      </c>
      <c r="H12" s="122">
        <f>C12-B12</f>
        <v>-1663.4061162650032</v>
      </c>
      <c r="I12" s="122">
        <f>D12-B12</f>
        <v>178.9162044540135</v>
      </c>
      <c r="J12" s="122">
        <f t="shared" ref="J12:K14" si="1">E12-D12</f>
        <v>1107.1174756799883</v>
      </c>
      <c r="K12" s="122">
        <f t="shared" si="1"/>
        <v>1818.0188684160094</v>
      </c>
      <c r="L12" s="122">
        <f>F12-D12</f>
        <v>2925.1363440959976</v>
      </c>
    </row>
    <row r="13" spans="1:12" x14ac:dyDescent="0.2">
      <c r="A13" s="90">
        <f>name!J7</f>
        <v>0</v>
      </c>
      <c r="B13" s="93">
        <v>85684.696366442135</v>
      </c>
      <c r="C13" s="93">
        <v>84496.661838978005</v>
      </c>
      <c r="D13" s="93">
        <v>85862.536135946357</v>
      </c>
      <c r="E13" s="93">
        <v>86649.544796460745</v>
      </c>
      <c r="F13" s="93">
        <v>87931.502704386687</v>
      </c>
      <c r="H13" s="93">
        <f>C13-B13</f>
        <v>-1188.0345274641295</v>
      </c>
      <c r="I13" s="93">
        <f>D13-B13</f>
        <v>177.8397695042222</v>
      </c>
      <c r="J13" s="93">
        <f t="shared" si="1"/>
        <v>787.00866051438788</v>
      </c>
      <c r="K13" s="93">
        <f t="shared" si="1"/>
        <v>1281.957907925942</v>
      </c>
      <c r="L13" s="93">
        <f>F13-D13</f>
        <v>2068.9665684403299</v>
      </c>
    </row>
    <row r="14" spans="1:12" x14ac:dyDescent="0.2">
      <c r="A14" s="90">
        <f>name!J8</f>
        <v>0</v>
      </c>
      <c r="B14" s="93">
        <v>31918.665799657861</v>
      </c>
      <c r="C14" s="93">
        <v>31443.29421085698</v>
      </c>
      <c r="D14" s="93">
        <v>31919.742234607653</v>
      </c>
      <c r="E14" s="93">
        <v>32239.851049773246</v>
      </c>
      <c r="F14" s="93">
        <v>32775.912010263324</v>
      </c>
      <c r="H14" s="93">
        <f>C14-B14</f>
        <v>-475.371588800881</v>
      </c>
      <c r="I14" s="93">
        <f>D14-B14</f>
        <v>1.0764349497912917</v>
      </c>
      <c r="J14" s="93">
        <f t="shared" si="1"/>
        <v>320.10881516559311</v>
      </c>
      <c r="K14" s="93">
        <f t="shared" si="1"/>
        <v>536.06096049007829</v>
      </c>
      <c r="L14" s="93">
        <f>F14-D14</f>
        <v>856.1697756556714</v>
      </c>
    </row>
    <row r="15" spans="1:12" x14ac:dyDescent="0.2">
      <c r="H15" s="93"/>
      <c r="I15" s="93"/>
      <c r="J15" s="93"/>
      <c r="K15" s="93"/>
      <c r="L15" s="93"/>
    </row>
    <row r="16" spans="1:12" s="121" customFormat="1" x14ac:dyDescent="0.2">
      <c r="A16" s="121" t="str">
        <f>name!F6</f>
        <v>RQF6 First degree</v>
      </c>
      <c r="B16" s="122">
        <v>10699.858351711669</v>
      </c>
      <c r="C16" s="122">
        <v>10970.73916072664</v>
      </c>
      <c r="D16" s="122">
        <v>11301.540359819686</v>
      </c>
      <c r="E16" s="122">
        <v>11603.888290360199</v>
      </c>
      <c r="F16" s="122">
        <v>11675.073262162417</v>
      </c>
      <c r="H16" s="122">
        <f>C16-B16</f>
        <v>270.88080901497051</v>
      </c>
      <c r="I16" s="122">
        <f>D16-B16</f>
        <v>601.68200810801682</v>
      </c>
      <c r="J16" s="122">
        <f t="shared" ref="J16:K18" si="2">E16-D16</f>
        <v>302.34793054051261</v>
      </c>
      <c r="K16" s="122">
        <f t="shared" si="2"/>
        <v>71.18497180221857</v>
      </c>
      <c r="L16" s="122">
        <f>F16-D16</f>
        <v>373.53290234273118</v>
      </c>
    </row>
    <row r="17" spans="1:12" x14ac:dyDescent="0.2">
      <c r="A17" s="90">
        <f>name!J9</f>
        <v>0</v>
      </c>
      <c r="B17" s="93">
        <v>8525.1872183076739</v>
      </c>
      <c r="C17" s="93">
        <v>8709.9422108052859</v>
      </c>
      <c r="D17" s="93">
        <v>8966.579956519352</v>
      </c>
      <c r="E17" s="93">
        <v>9198.0093388787081</v>
      </c>
      <c r="F17" s="93">
        <v>9243.5195858644965</v>
      </c>
      <c r="H17" s="93">
        <f>C17-B17</f>
        <v>184.75499249761197</v>
      </c>
      <c r="I17" s="93">
        <f>D17-B17</f>
        <v>441.39273821167808</v>
      </c>
      <c r="J17" s="93">
        <f t="shared" si="2"/>
        <v>231.42938235935617</v>
      </c>
      <c r="K17" s="93">
        <f t="shared" si="2"/>
        <v>45.510246985788399</v>
      </c>
      <c r="L17" s="93">
        <f>F17-D17</f>
        <v>276.93962934514457</v>
      </c>
    </row>
    <row r="18" spans="1:12" x14ac:dyDescent="0.2">
      <c r="A18" s="90">
        <f>name!J10</f>
        <v>0</v>
      </c>
      <c r="B18" s="93">
        <v>2174.6711334039956</v>
      </c>
      <c r="C18" s="93">
        <v>2260.7969499213555</v>
      </c>
      <c r="D18" s="93">
        <v>2334.9604033003338</v>
      </c>
      <c r="E18" s="93">
        <v>2405.8789514814907</v>
      </c>
      <c r="F18" s="93">
        <v>2431.5536762979191</v>
      </c>
      <c r="H18" s="93">
        <f>C18-B18</f>
        <v>86.125816517359908</v>
      </c>
      <c r="I18" s="93">
        <f>D18-B18</f>
        <v>160.28926989633828</v>
      </c>
      <c r="J18" s="93">
        <f t="shared" si="2"/>
        <v>70.918548181156893</v>
      </c>
      <c r="K18" s="93">
        <f t="shared" si="2"/>
        <v>25.674724816428352</v>
      </c>
      <c r="L18" s="93">
        <f>F18-D18</f>
        <v>96.593272997585245</v>
      </c>
    </row>
    <row r="19" spans="1:12" x14ac:dyDescent="0.2">
      <c r="H19" s="93"/>
      <c r="I19" s="93"/>
      <c r="J19" s="93"/>
      <c r="K19" s="93"/>
      <c r="L19" s="93"/>
    </row>
    <row r="20" spans="1:12" x14ac:dyDescent="0.2">
      <c r="A20" s="91" t="str">
        <f>name!J3</f>
        <v>EE</v>
      </c>
      <c r="B20" s="92">
        <v>199629.07156740446</v>
      </c>
      <c r="C20" s="92">
        <v>194785.90049601384</v>
      </c>
      <c r="D20" s="92">
        <v>195036.90679635777</v>
      </c>
      <c r="E20" s="92">
        <v>193654.85411962072</v>
      </c>
      <c r="F20" s="92">
        <v>191899.51800454973</v>
      </c>
      <c r="H20" s="92">
        <f>C20-B20</f>
        <v>-4843.1710713906214</v>
      </c>
      <c r="I20" s="92">
        <f>D20-B20</f>
        <v>-4592.1647710466932</v>
      </c>
      <c r="J20" s="92">
        <f>E20-D20</f>
        <v>-1382.0526767370466</v>
      </c>
      <c r="K20" s="92">
        <f>F20-E20</f>
        <v>-1755.336115070997</v>
      </c>
      <c r="L20" s="92">
        <f>F20-D20</f>
        <v>-3137.3887918080436</v>
      </c>
    </row>
    <row r="23" spans="1:12" x14ac:dyDescent="0.2">
      <c r="A23" s="90" t="str">
        <f>CONCATENATE("Note: For ",Info!$A$1," there is no European LFS data for some of the ISCED Qualifications.")</f>
        <v>Note: For Region/Nation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5"/>
  <dimension ref="A1:CS102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29" customWidth="1"/>
    <col min="2" max="2" width="13" style="129" customWidth="1"/>
    <col min="3" max="3" width="10.140625" style="129" customWidth="1"/>
    <col min="4" max="4" width="3.7109375" style="129" customWidth="1"/>
    <col min="5" max="6" width="10.140625" style="129" customWidth="1"/>
    <col min="7" max="7" width="3.7109375" style="129" customWidth="1"/>
    <col min="8" max="9" width="10.140625" style="129" customWidth="1"/>
    <col min="10" max="10" width="3.7109375" style="129" customWidth="1"/>
    <col min="11" max="12" width="10.140625" style="129" customWidth="1"/>
    <col min="13" max="13" width="3.7109375" style="129" customWidth="1"/>
    <col min="14" max="15" width="10.140625" style="129" customWidth="1"/>
    <col min="16" max="16" width="3.7109375" style="129" customWidth="1"/>
    <col min="17" max="18" width="10.140625" style="129" customWidth="1"/>
    <col min="19" max="19" width="9.140625" style="129"/>
    <col min="20" max="20" width="16.7109375" style="129" customWidth="1"/>
    <col min="21" max="21" width="9.140625" style="129"/>
    <col min="22" max="22" width="8.85546875" style="129" customWidth="1"/>
    <col min="23" max="41" width="9.140625" style="129"/>
    <col min="42" max="46" width="9.140625" style="136" customWidth="1"/>
    <col min="47" max="49" width="9.140625" style="129"/>
    <col min="50" max="50" width="9.140625" style="129" customWidth="1"/>
    <col min="51" max="16384" width="9.140625" style="129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East Midlands</v>
      </c>
      <c r="W1" s="203" t="str">
        <f>CONCATENATE("Shift-share Figure 1: Levels of Employment, ",C4," - ",F40,", ",Info!B5)</f>
        <v>Shift-share Figure 1: Levels of Employment, 2015 - 2035, East Midlands</v>
      </c>
      <c r="AK1" s="203" t="str">
        <f>CONCATENATE("Shift-share Figure 1.1: Net Changes, ",C4,"-",F40,", ",Info!B5)</f>
        <v>Shift-share Figure 1.1: Net Changes, 2015-2035, East Midlands</v>
      </c>
    </row>
    <row r="2" spans="1:97" ht="18.75" customHeight="1" x14ac:dyDescent="0.25">
      <c r="A2" s="135" t="s">
        <v>537</v>
      </c>
      <c r="W2" s="203"/>
      <c r="AK2" s="203"/>
    </row>
    <row r="3" spans="1:97" x14ac:dyDescent="0.2">
      <c r="A3" s="145"/>
      <c r="B3" s="275"/>
      <c r="C3" s="275"/>
      <c r="D3" s="275"/>
      <c r="E3" s="275"/>
      <c r="F3" s="275"/>
      <c r="G3" s="275"/>
      <c r="H3" s="275"/>
      <c r="I3" s="275"/>
      <c r="J3" s="275"/>
      <c r="K3" s="377" t="s">
        <v>53</v>
      </c>
      <c r="L3" s="377"/>
      <c r="M3" s="377"/>
      <c r="N3" s="377"/>
      <c r="O3" s="377"/>
      <c r="P3" s="377"/>
      <c r="Q3" s="377"/>
      <c r="R3" s="377"/>
      <c r="AT3" s="137"/>
      <c r="AU3" s="125"/>
      <c r="AW3" s="137"/>
      <c r="AX3" s="136"/>
      <c r="AY3" s="138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5"/>
      <c r="CI3" s="125"/>
      <c r="CJ3" s="125"/>
      <c r="CK3" s="125"/>
      <c r="CL3" s="125"/>
      <c r="CM3" s="125"/>
      <c r="CN3" s="125"/>
      <c r="CO3" s="125"/>
      <c r="CP3" s="125"/>
      <c r="CQ3" s="125"/>
      <c r="CR3" s="125"/>
      <c r="CS3" s="125"/>
    </row>
    <row r="4" spans="1:97" x14ac:dyDescent="0.2">
      <c r="B4" s="270" t="s">
        <v>54</v>
      </c>
      <c r="C4" s="271">
        <v>2015</v>
      </c>
      <c r="D4" s="135"/>
      <c r="E4" s="270" t="s">
        <v>55</v>
      </c>
      <c r="F4" s="271">
        <v>2020</v>
      </c>
      <c r="G4" s="135"/>
      <c r="H4" s="270" t="s">
        <v>18</v>
      </c>
      <c r="I4" s="270" t="str">
        <f>CONCATENATE(C4,"-",F4)</f>
        <v>2015-2020</v>
      </c>
      <c r="J4" s="135"/>
      <c r="K4" s="376" t="s">
        <v>56</v>
      </c>
      <c r="L4" s="376"/>
      <c r="M4" s="135"/>
      <c r="N4" s="376" t="s">
        <v>57</v>
      </c>
      <c r="O4" s="376"/>
      <c r="P4" s="135"/>
      <c r="Q4" s="376" t="s">
        <v>58</v>
      </c>
      <c r="R4" s="376"/>
      <c r="AW4" s="136"/>
      <c r="AX4" s="136"/>
      <c r="AY4" s="138"/>
    </row>
    <row r="5" spans="1:97" x14ac:dyDescent="0.2">
      <c r="A5" s="142" t="s">
        <v>507</v>
      </c>
      <c r="B5" s="272" t="s">
        <v>60</v>
      </c>
      <c r="C5" s="272" t="s">
        <v>61</v>
      </c>
      <c r="D5" s="135"/>
      <c r="E5" s="272" t="str">
        <f>B5</f>
        <v>000s</v>
      </c>
      <c r="F5" s="272" t="str">
        <f>C5</f>
        <v>% share</v>
      </c>
      <c r="G5" s="135"/>
      <c r="H5" s="272" t="str">
        <f>E5</f>
        <v>000s</v>
      </c>
      <c r="I5" s="272" t="s">
        <v>62</v>
      </c>
      <c r="J5" s="135"/>
      <c r="K5" s="272" t="str">
        <f>H5</f>
        <v>000s</v>
      </c>
      <c r="L5" s="272" t="str">
        <f>I5</f>
        <v xml:space="preserve">%   </v>
      </c>
      <c r="M5" s="135"/>
      <c r="N5" s="272" t="str">
        <f>K5</f>
        <v>000s</v>
      </c>
      <c r="O5" s="272" t="str">
        <f>L5</f>
        <v xml:space="preserve">%   </v>
      </c>
      <c r="P5" s="135"/>
      <c r="Q5" s="272" t="str">
        <f>N5</f>
        <v>000s</v>
      </c>
      <c r="R5" s="272" t="str">
        <f>O5</f>
        <v xml:space="preserve">%   </v>
      </c>
      <c r="Z5" s="138" t="e">
        <f>"Levels of Employment, "&amp;#REF!&amp;"-"&amp;#REF!</f>
        <v>#REF!</v>
      </c>
      <c r="AM5" s="129" t="e">
        <f>"Net Changes, "&amp;#REF!&amp;"-"&amp;#REF!</f>
        <v>#REF!</v>
      </c>
      <c r="AV5" s="136"/>
      <c r="AW5" s="136"/>
      <c r="AX5" s="136"/>
    </row>
    <row r="6" spans="1:97" x14ac:dyDescent="0.2">
      <c r="A6" s="142"/>
      <c r="B6" s="270"/>
      <c r="C6" s="270"/>
      <c r="D6" s="135"/>
      <c r="E6" s="270"/>
      <c r="F6" s="270"/>
      <c r="G6" s="135"/>
      <c r="H6" s="270"/>
      <c r="I6" s="270"/>
      <c r="J6" s="135"/>
      <c r="K6" s="270"/>
      <c r="L6" s="270"/>
      <c r="M6" s="135"/>
      <c r="N6" s="270"/>
      <c r="O6" s="270"/>
      <c r="P6" s="135"/>
      <c r="Q6" s="270"/>
      <c r="R6" s="270"/>
      <c r="T6" s="135"/>
      <c r="AV6" s="136"/>
      <c r="AW6" s="136"/>
      <c r="AX6" s="136"/>
      <c r="AY6" s="138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5"/>
      <c r="AV7" s="136"/>
      <c r="AW7" s="136"/>
      <c r="AX7" s="136"/>
      <c r="AY7" s="138"/>
    </row>
    <row r="8" spans="1:97" x14ac:dyDescent="0.2">
      <c r="A8" s="10" t="str">
        <f>name!$D4</f>
        <v>11 Corporate managers and directors</v>
      </c>
      <c r="B8" s="150">
        <v>143.65805606021732</v>
      </c>
      <c r="C8" s="140">
        <f t="shared" ref="C8:C33" si="0">B8/B$35*100</f>
        <v>6.316052956915021</v>
      </c>
      <c r="E8" s="150">
        <v>181.26829746514963</v>
      </c>
      <c r="F8" s="140">
        <f t="shared" ref="F8:F33" si="1">E8/E$35*100</f>
        <v>7.5395321704953915</v>
      </c>
      <c r="H8" s="150">
        <f>E8-B8</f>
        <v>37.61024140493231</v>
      </c>
      <c r="I8" s="140">
        <f>IF(B8&lt;&gt;0,((E8/B8)-1)*100,0)</f>
        <v>26.180391435317183</v>
      </c>
      <c r="K8" s="207">
        <f t="shared" ref="K8:K33" si="2">(($E$35/$B$35)-1)*B8</f>
        <v>8.1948892299522331</v>
      </c>
      <c r="L8" s="140">
        <f>IF(B8&lt;&gt;0,K8/B8*100,0)</f>
        <v>5.7044411254717042</v>
      </c>
      <c r="N8" s="150">
        <f>H8-(K8+Q8)</f>
        <v>27.893554117981829</v>
      </c>
      <c r="O8" s="140">
        <f>IF(B8&lt;&gt;0,N8/B8*100,0)</f>
        <v>19.416630631761894</v>
      </c>
      <c r="Q8" s="150">
        <v>1.5217980569982481</v>
      </c>
      <c r="R8" s="140">
        <f>IF(B8&lt;&gt;0,Q8/B8*100,0)</f>
        <v>1.0593196780835974</v>
      </c>
      <c r="AT8" s="136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0">
        <v>69.308890456575654</v>
      </c>
      <c r="C9" s="140">
        <f t="shared" si="0"/>
        <v>3.0472264105067532</v>
      </c>
      <c r="E9" s="150">
        <v>80.330640441711182</v>
      </c>
      <c r="F9" s="140">
        <f t="shared" si="1"/>
        <v>3.3412099984180745</v>
      </c>
      <c r="H9" s="150">
        <f t="shared" ref="H9:H32" si="3">E9-B9</f>
        <v>11.021749985135529</v>
      </c>
      <c r="I9" s="140">
        <f t="shared" ref="I9:I35" si="4">IF(B9&lt;&gt;0,((E9/B9)-1)*100,0)</f>
        <v>15.902361028331601</v>
      </c>
      <c r="K9" s="207">
        <f t="shared" si="2"/>
        <v>3.9536848508130347</v>
      </c>
      <c r="L9" s="140">
        <f t="shared" ref="L9:L32" si="5">IF(B9&lt;&gt;0,K9/B9*100,0)</f>
        <v>5.7044411254717042</v>
      </c>
      <c r="N9" s="150">
        <f t="shared" ref="N9:N31" si="6">H9-(K9+Q9)</f>
        <v>5.7038267471154853</v>
      </c>
      <c r="O9" s="140">
        <f>IF(B9&lt;&gt;0,N9/B9*100,0)</f>
        <v>8.2295744594109816</v>
      </c>
      <c r="Q9" s="150">
        <v>1.3642383872070083</v>
      </c>
      <c r="R9" s="140">
        <f>IF(B9&lt;&gt;0,Q9/B9*100,0)</f>
        <v>1.9683454434489174</v>
      </c>
      <c r="T9" s="135"/>
    </row>
    <row r="10" spans="1:97" x14ac:dyDescent="0.2">
      <c r="A10" s="10" t="str">
        <f>name!$D6</f>
        <v>21 Science, research, engineering and technology professionals</v>
      </c>
      <c r="B10" s="150">
        <v>118.17350877122848</v>
      </c>
      <c r="C10" s="140">
        <f t="shared" si="0"/>
        <v>5.1956023906565711</v>
      </c>
      <c r="E10" s="150">
        <v>146.15293795725444</v>
      </c>
      <c r="F10" s="140">
        <f t="shared" si="1"/>
        <v>6.0789712980726325</v>
      </c>
      <c r="H10" s="150">
        <f t="shared" si="3"/>
        <v>27.979429186025953</v>
      </c>
      <c r="I10" s="140">
        <f t="shared" si="4"/>
        <v>23.676566327730185</v>
      </c>
      <c r="K10" s="207">
        <f t="shared" si="2"/>
        <v>6.7411382337588694</v>
      </c>
      <c r="L10" s="140">
        <f t="shared" si="5"/>
        <v>5.7044411254717042</v>
      </c>
      <c r="N10" s="150">
        <f t="shared" si="6"/>
        <v>19.920391244348401</v>
      </c>
      <c r="O10" s="140">
        <f t="shared" ref="O10:O32" si="7">IF(B10&lt;&gt;0,N10/B10*100,0)</f>
        <v>16.856900883693136</v>
      </c>
      <c r="Q10" s="150">
        <v>1.317899707918684</v>
      </c>
      <c r="R10" s="140">
        <f t="shared" ref="R10:R32" si="8">IF(B10&lt;&gt;0,Q10/B10*100,0)</f>
        <v>1.1152243185653392</v>
      </c>
      <c r="AT10" s="136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0">
        <v>84.941490204701466</v>
      </c>
      <c r="C11" s="140">
        <f t="shared" si="0"/>
        <v>3.7345274263441919</v>
      </c>
      <c r="E11" s="150">
        <v>97.677408108303439</v>
      </c>
      <c r="F11" s="140">
        <f t="shared" si="1"/>
        <v>4.0627179217852385</v>
      </c>
      <c r="H11" s="150">
        <f>E11-B11</f>
        <v>12.735917903601973</v>
      </c>
      <c r="I11" s="140">
        <f>IF(B11&lt;&gt;0,((E11/B11)-1)*100,0)</f>
        <v>14.993753786176267</v>
      </c>
      <c r="K11" s="207">
        <f t="shared" si="2"/>
        <v>4.8454372998255097</v>
      </c>
      <c r="L11" s="140">
        <f t="shared" si="5"/>
        <v>5.7044411254717042</v>
      </c>
      <c r="N11" s="150">
        <f t="shared" si="6"/>
        <v>9.5642777445991616</v>
      </c>
      <c r="O11" s="140">
        <f t="shared" si="7"/>
        <v>11.259842182601339</v>
      </c>
      <c r="Q11" s="150">
        <v>-1.6737971408226993</v>
      </c>
      <c r="R11" s="140">
        <f>IF(B11&lt;&gt;0,Q11/B11*100,0)</f>
        <v>-1.9705295218967744</v>
      </c>
      <c r="T11" s="135"/>
    </row>
    <row r="12" spans="1:97" x14ac:dyDescent="0.2">
      <c r="A12" s="10" t="str">
        <f>name!$D8</f>
        <v>23 Teaching and other educational professionals</v>
      </c>
      <c r="B12" s="150">
        <v>82.340741240666205</v>
      </c>
      <c r="C12" s="140">
        <f t="shared" si="0"/>
        <v>3.6201832076141049</v>
      </c>
      <c r="E12" s="150">
        <v>93.288876949246799</v>
      </c>
      <c r="F12" s="140">
        <f t="shared" si="1"/>
        <v>3.8801847799307438</v>
      </c>
      <c r="H12" s="150">
        <f t="shared" si="3"/>
        <v>10.948135708580594</v>
      </c>
      <c r="I12" s="140">
        <f t="shared" si="4"/>
        <v>13.296134505980817</v>
      </c>
      <c r="K12" s="207">
        <f t="shared" si="2"/>
        <v>4.6970791063508033</v>
      </c>
      <c r="L12" s="140">
        <f t="shared" si="5"/>
        <v>5.7044411254717051</v>
      </c>
      <c r="N12" s="150">
        <f t="shared" si="6"/>
        <v>8.436015953568166</v>
      </c>
      <c r="O12" s="140">
        <f t="shared" si="7"/>
        <v>10.245251410733974</v>
      </c>
      <c r="Q12" s="150">
        <v>-2.1849593513383749</v>
      </c>
      <c r="R12" s="140">
        <f t="shared" si="8"/>
        <v>-2.6535580302248647</v>
      </c>
      <c r="AT12" s="136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0">
        <v>116.06575968813439</v>
      </c>
      <c r="C13" s="140">
        <f t="shared" si="0"/>
        <v>5.1029333458859041</v>
      </c>
      <c r="E13" s="150">
        <v>158.37692219613299</v>
      </c>
      <c r="F13" s="140">
        <f t="shared" si="1"/>
        <v>6.5874061634597956</v>
      </c>
      <c r="H13" s="150">
        <f t="shared" si="3"/>
        <v>42.311162507998603</v>
      </c>
      <c r="I13" s="140">
        <f t="shared" si="4"/>
        <v>36.45447427534836</v>
      </c>
      <c r="K13" s="207">
        <f t="shared" si="2"/>
        <v>6.6209029282410974</v>
      </c>
      <c r="L13" s="140">
        <f t="shared" si="5"/>
        <v>5.7044411254717042</v>
      </c>
      <c r="N13" s="150">
        <f>H13-(K13+Q13)</f>
        <v>31.439525703404762</v>
      </c>
      <c r="O13" s="140">
        <f>IF(B13&lt;&gt;0,N13/B13*100,0)</f>
        <v>27.087683557908836</v>
      </c>
      <c r="Q13" s="150">
        <v>4.2507338763527436</v>
      </c>
      <c r="R13" s="140">
        <f t="shared" si="8"/>
        <v>3.6623495919678231</v>
      </c>
      <c r="T13" s="135"/>
    </row>
    <row r="14" spans="1:97" x14ac:dyDescent="0.2">
      <c r="A14" s="10" t="str">
        <f>name!$D10</f>
        <v>31 Science, engineering and technology associate professionals</v>
      </c>
      <c r="B14" s="150">
        <v>36.888897619733804</v>
      </c>
      <c r="C14" s="140">
        <f t="shared" si="0"/>
        <v>1.6218528725656118</v>
      </c>
      <c r="E14" s="150">
        <v>48.896441347773603</v>
      </c>
      <c r="F14" s="140">
        <f t="shared" si="1"/>
        <v>2.033760440846847</v>
      </c>
      <c r="H14" s="150">
        <f t="shared" si="3"/>
        <v>12.007543728039799</v>
      </c>
      <c r="I14" s="140">
        <f t="shared" si="4"/>
        <v>32.550562643043946</v>
      </c>
      <c r="K14" s="207">
        <f t="shared" si="2"/>
        <v>2.1043054465532478</v>
      </c>
      <c r="L14" s="140">
        <f>IF(B14&lt;&gt;0,K14/B14*100,0)</f>
        <v>5.7044411254717042</v>
      </c>
      <c r="N14" s="150">
        <f t="shared" si="6"/>
        <v>9.6181097446957651</v>
      </c>
      <c r="O14" s="140">
        <f t="shared" si="7"/>
        <v>26.073182895957657</v>
      </c>
      <c r="Q14" s="150">
        <v>0.28512853679078531</v>
      </c>
      <c r="R14" s="140">
        <f t="shared" si="8"/>
        <v>0.77293862161458338</v>
      </c>
      <c r="AT14" s="136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0">
        <v>37.756201665299528</v>
      </c>
      <c r="C15" s="140">
        <f t="shared" si="0"/>
        <v>1.6599846587791436</v>
      </c>
      <c r="E15" s="150">
        <v>43.808538911689013</v>
      </c>
      <c r="F15" s="140">
        <f t="shared" si="1"/>
        <v>1.8221381956245311</v>
      </c>
      <c r="H15" s="150">
        <f t="shared" si="3"/>
        <v>6.0523372463894844</v>
      </c>
      <c r="I15" s="140">
        <f t="shared" si="4"/>
        <v>16.03004799063774</v>
      </c>
      <c r="K15" s="207">
        <f t="shared" si="2"/>
        <v>2.1537802952113787</v>
      </c>
      <c r="L15" s="140">
        <f t="shared" si="5"/>
        <v>5.7044411254717042</v>
      </c>
      <c r="N15" s="150">
        <f t="shared" si="6"/>
        <v>4.7517421587065574</v>
      </c>
      <c r="O15" s="140">
        <f t="shared" si="7"/>
        <v>12.585328897301991</v>
      </c>
      <c r="Q15" s="150">
        <v>-0.85318520752845117</v>
      </c>
      <c r="R15" s="140">
        <f t="shared" si="8"/>
        <v>-2.2597220321359428</v>
      </c>
      <c r="T15" s="11"/>
    </row>
    <row r="16" spans="1:97" x14ac:dyDescent="0.2">
      <c r="A16" s="10" t="str">
        <f>name!$D12</f>
        <v>33 Protective service occupations</v>
      </c>
      <c r="B16" s="150">
        <v>24.674740515945114</v>
      </c>
      <c r="C16" s="140">
        <f t="shared" si="0"/>
        <v>1.0848466982702274</v>
      </c>
      <c r="E16" s="150">
        <v>26.423145140330963</v>
      </c>
      <c r="F16" s="140">
        <f t="shared" si="1"/>
        <v>1.0990236881851645</v>
      </c>
      <c r="H16" s="150">
        <f t="shared" si="3"/>
        <v>1.7484046243858486</v>
      </c>
      <c r="I16" s="140">
        <f t="shared" si="4"/>
        <v>7.0858075417490562</v>
      </c>
      <c r="K16" s="207">
        <f t="shared" si="2"/>
        <v>1.407556045595002</v>
      </c>
      <c r="L16" s="140">
        <f t="shared" si="5"/>
        <v>5.7044411254717042</v>
      </c>
      <c r="N16" s="150">
        <f t="shared" si="6"/>
        <v>0.57735636780549271</v>
      </c>
      <c r="O16" s="140">
        <f t="shared" si="7"/>
        <v>2.3398680421072635</v>
      </c>
      <c r="Q16" s="150">
        <v>-0.23650778901464603</v>
      </c>
      <c r="R16" s="140">
        <f t="shared" si="8"/>
        <v>-0.95850162582991238</v>
      </c>
      <c r="T16" s="11"/>
    </row>
    <row r="17" spans="1:20" x14ac:dyDescent="0.2">
      <c r="A17" s="10" t="str">
        <f>name!$D13</f>
        <v>34 Culture, media and sports occupations</v>
      </c>
      <c r="B17" s="150">
        <v>32.171809576694734</v>
      </c>
      <c r="C17" s="140">
        <f t="shared" si="0"/>
        <v>1.4144619423293232</v>
      </c>
      <c r="E17" s="150">
        <v>32.531561760617201</v>
      </c>
      <c r="F17" s="140">
        <f t="shared" si="1"/>
        <v>1.3530924043559622</v>
      </c>
      <c r="H17" s="150">
        <f t="shared" si="3"/>
        <v>0.35975218392246688</v>
      </c>
      <c r="I17" s="140">
        <f t="shared" si="4"/>
        <v>1.118221786887208</v>
      </c>
      <c r="K17" s="207">
        <f t="shared" si="2"/>
        <v>1.8352219363014186</v>
      </c>
      <c r="L17" s="140">
        <f t="shared" si="5"/>
        <v>5.7044411254717042</v>
      </c>
      <c r="N17" s="150">
        <f t="shared" si="6"/>
        <v>0.75714967700291491</v>
      </c>
      <c r="O17" s="140">
        <f t="shared" si="7"/>
        <v>2.353456914501304</v>
      </c>
      <c r="Q17" s="150">
        <v>-2.2326194293818666</v>
      </c>
      <c r="R17" s="140">
        <f t="shared" si="8"/>
        <v>-6.9396762530857972</v>
      </c>
      <c r="T17" s="11"/>
    </row>
    <row r="18" spans="1:20" x14ac:dyDescent="0.2">
      <c r="A18" s="10" t="str">
        <f>name!$D14</f>
        <v>35 Business and public service associate professionals</v>
      </c>
      <c r="B18" s="150">
        <v>122.99499019364232</v>
      </c>
      <c r="C18" s="140">
        <f t="shared" si="0"/>
        <v>5.4075830677581944</v>
      </c>
      <c r="E18" s="150">
        <v>141.70159177372162</v>
      </c>
      <c r="F18" s="140">
        <f t="shared" si="1"/>
        <v>5.8938254770875265</v>
      </c>
      <c r="H18" s="150">
        <f t="shared" si="3"/>
        <v>18.706601580079294</v>
      </c>
      <c r="I18" s="140">
        <f t="shared" si="4"/>
        <v>15.209238645108858</v>
      </c>
      <c r="K18" s="207">
        <f t="shared" si="2"/>
        <v>7.0161768028760223</v>
      </c>
      <c r="L18" s="140">
        <f t="shared" si="5"/>
        <v>5.7044411254717042</v>
      </c>
      <c r="N18" s="150">
        <f t="shared" si="6"/>
        <v>11.000968192019624</v>
      </c>
      <c r="O18" s="140">
        <f t="shared" si="7"/>
        <v>8.9442408789982313</v>
      </c>
      <c r="Q18" s="150">
        <v>0.68945658518364916</v>
      </c>
      <c r="R18" s="140">
        <f t="shared" si="8"/>
        <v>0.56055664063891886</v>
      </c>
      <c r="T18" s="11"/>
    </row>
    <row r="19" spans="1:20" x14ac:dyDescent="0.2">
      <c r="A19" s="10" t="str">
        <f>name!$D15</f>
        <v>41 Administrative occupations</v>
      </c>
      <c r="B19" s="150">
        <v>195.32738677630536</v>
      </c>
      <c r="C19" s="140">
        <f t="shared" si="0"/>
        <v>8.5877405879544746</v>
      </c>
      <c r="E19" s="150">
        <v>206.87406474545989</v>
      </c>
      <c r="F19" s="140">
        <f t="shared" si="1"/>
        <v>8.6045584815481231</v>
      </c>
      <c r="H19" s="150">
        <f t="shared" si="3"/>
        <v>11.54667796915453</v>
      </c>
      <c r="I19" s="140">
        <f t="shared" si="4"/>
        <v>5.9114485478567902</v>
      </c>
      <c r="K19" s="207">
        <f t="shared" si="2"/>
        <v>11.142335780576742</v>
      </c>
      <c r="L19" s="140">
        <f t="shared" si="5"/>
        <v>5.7044411254717042</v>
      </c>
      <c r="N19" s="150">
        <f t="shared" si="6"/>
        <v>-2.5620522885983608</v>
      </c>
      <c r="O19" s="140">
        <f t="shared" si="7"/>
        <v>-1.3116707958277751</v>
      </c>
      <c r="Q19" s="150">
        <v>2.966394477176149</v>
      </c>
      <c r="R19" s="140">
        <f t="shared" si="8"/>
        <v>1.5186782182128666</v>
      </c>
      <c r="T19" s="11"/>
    </row>
    <row r="20" spans="1:20" x14ac:dyDescent="0.2">
      <c r="A20" s="10" t="str">
        <f>name!$D16</f>
        <v>42 Secretarial and related occupations</v>
      </c>
      <c r="B20" s="150">
        <v>47.376562530143858</v>
      </c>
      <c r="C20" s="140">
        <f t="shared" si="0"/>
        <v>2.082952297026452</v>
      </c>
      <c r="E20" s="150">
        <v>45.079696181020772</v>
      </c>
      <c r="F20" s="140">
        <f t="shared" si="1"/>
        <v>1.8750097195473971</v>
      </c>
      <c r="H20" s="150">
        <f t="shared" si="3"/>
        <v>-2.2968663491230856</v>
      </c>
      <c r="I20" s="140">
        <f t="shared" si="4"/>
        <v>-4.8481067989296971</v>
      </c>
      <c r="K20" s="207">
        <f t="shared" si="2"/>
        <v>2.7025681168043438</v>
      </c>
      <c r="L20" s="140">
        <f t="shared" si="5"/>
        <v>5.7044411254717042</v>
      </c>
      <c r="N20" s="150">
        <f t="shared" si="6"/>
        <v>-6.2775393565100668</v>
      </c>
      <c r="O20" s="140">
        <f t="shared" si="7"/>
        <v>-13.250305681244631</v>
      </c>
      <c r="Q20" s="150">
        <v>1.2781048905826371</v>
      </c>
      <c r="R20" s="140">
        <f t="shared" si="8"/>
        <v>2.6977577568432256</v>
      </c>
      <c r="T20" s="11"/>
    </row>
    <row r="21" spans="1:20" x14ac:dyDescent="0.2">
      <c r="A21" s="10" t="str">
        <f>name!$D17</f>
        <v>51 Skilled agricultural and related trades</v>
      </c>
      <c r="B21" s="150">
        <v>27.425453405239896</v>
      </c>
      <c r="C21" s="140">
        <f t="shared" si="0"/>
        <v>1.2057842130502692</v>
      </c>
      <c r="E21" s="150">
        <v>34.109425717301711</v>
      </c>
      <c r="F21" s="140">
        <f t="shared" si="1"/>
        <v>1.4187208469929058</v>
      </c>
      <c r="H21" s="150">
        <f t="shared" si="3"/>
        <v>6.6839723120618153</v>
      </c>
      <c r="I21" s="140">
        <f t="shared" si="4"/>
        <v>24.371419547013872</v>
      </c>
      <c r="K21" s="207">
        <f t="shared" si="2"/>
        <v>1.5644688428955846</v>
      </c>
      <c r="L21" s="140">
        <f t="shared" si="5"/>
        <v>5.7044411254717042</v>
      </c>
      <c r="N21" s="150">
        <f t="shared" si="6"/>
        <v>-0.21083389281393572</v>
      </c>
      <c r="O21" s="140">
        <f t="shared" si="7"/>
        <v>-0.76875262442754688</v>
      </c>
      <c r="Q21" s="150">
        <v>5.3303373619801659</v>
      </c>
      <c r="R21" s="140">
        <f t="shared" si="8"/>
        <v>19.435731045969703</v>
      </c>
      <c r="T21" s="11"/>
    </row>
    <row r="22" spans="1:20" x14ac:dyDescent="0.2">
      <c r="A22" s="10" t="str">
        <f>name!$D18</f>
        <v>52 Skilled metal, electrical and electronic trades</v>
      </c>
      <c r="B22" s="150">
        <v>97.618362867403548</v>
      </c>
      <c r="C22" s="140">
        <f t="shared" si="0"/>
        <v>4.2918772977090986</v>
      </c>
      <c r="E22" s="150">
        <v>86.576735172954471</v>
      </c>
      <c r="F22" s="140">
        <f t="shared" si="1"/>
        <v>3.6010051905432965</v>
      </c>
      <c r="H22" s="150">
        <f t="shared" si="3"/>
        <v>-11.041627694449076</v>
      </c>
      <c r="I22" s="140">
        <f t="shared" si="4"/>
        <v>-11.311015028439964</v>
      </c>
      <c r="K22" s="207">
        <f t="shared" si="2"/>
        <v>5.5685820374203674</v>
      </c>
      <c r="L22" s="140">
        <f t="shared" si="5"/>
        <v>5.7044411254717042</v>
      </c>
      <c r="N22" s="150">
        <f t="shared" si="6"/>
        <v>-12.420972966774446</v>
      </c>
      <c r="O22" s="140">
        <f t="shared" si="7"/>
        <v>-12.724012779896787</v>
      </c>
      <c r="Q22" s="150">
        <v>-4.1892367650949973</v>
      </c>
      <c r="R22" s="140">
        <f t="shared" si="8"/>
        <v>-4.2914433740148858</v>
      </c>
      <c r="T22" s="11"/>
    </row>
    <row r="23" spans="1:20" x14ac:dyDescent="0.2">
      <c r="A23" s="10" t="str">
        <f>name!$D19</f>
        <v>53 Skilled construction and building trades</v>
      </c>
      <c r="B23" s="150">
        <v>62.851513007293811</v>
      </c>
      <c r="C23" s="140">
        <f t="shared" si="0"/>
        <v>2.7633221238208954</v>
      </c>
      <c r="E23" s="150">
        <v>49.830413162678838</v>
      </c>
      <c r="F23" s="140">
        <f t="shared" si="1"/>
        <v>2.0726073359922479</v>
      </c>
      <c r="H23" s="150">
        <f t="shared" si="3"/>
        <v>-13.021099844614973</v>
      </c>
      <c r="I23" s="140">
        <f t="shared" si="4"/>
        <v>-20.717241672613184</v>
      </c>
      <c r="K23" s="207">
        <f t="shared" si="2"/>
        <v>3.5853275559692657</v>
      </c>
      <c r="L23" s="140">
        <f t="shared" si="5"/>
        <v>5.7044411254717042</v>
      </c>
      <c r="N23" s="150">
        <f t="shared" si="6"/>
        <v>-14.962323307767054</v>
      </c>
      <c r="O23" s="140">
        <f t="shared" si="7"/>
        <v>-23.805828359343874</v>
      </c>
      <c r="Q23" s="150">
        <v>-1.6441040928171844</v>
      </c>
      <c r="R23" s="140">
        <f t="shared" si="8"/>
        <v>-2.6158544387410196</v>
      </c>
      <c r="T23" s="11"/>
    </row>
    <row r="24" spans="1:20" x14ac:dyDescent="0.2">
      <c r="A24" s="10" t="str">
        <f>name!$D20</f>
        <v>54 Textiles, printing and other skilled trades</v>
      </c>
      <c r="B24" s="150">
        <v>45.114830155462691</v>
      </c>
      <c r="C24" s="140">
        <f t="shared" si="0"/>
        <v>1.9835132412253111</v>
      </c>
      <c r="E24" s="150">
        <v>38.288580975784285</v>
      </c>
      <c r="F24" s="140">
        <f t="shared" si="1"/>
        <v>1.5925453709578989</v>
      </c>
      <c r="H24" s="150">
        <f t="shared" si="3"/>
        <v>-6.8262491796784062</v>
      </c>
      <c r="I24" s="140">
        <f t="shared" si="4"/>
        <v>-15.130832048254661</v>
      </c>
      <c r="K24" s="207">
        <f t="shared" si="2"/>
        <v>2.5735489250749239</v>
      </c>
      <c r="L24" s="140">
        <f t="shared" si="5"/>
        <v>5.7044411254717051</v>
      </c>
      <c r="N24" s="150">
        <f t="shared" si="6"/>
        <v>-9.2001306578172475</v>
      </c>
      <c r="O24" s="140">
        <f t="shared" si="7"/>
        <v>-20.392697093426289</v>
      </c>
      <c r="Q24" s="150">
        <v>-0.19966744693608371</v>
      </c>
      <c r="R24" s="140">
        <f t="shared" si="8"/>
        <v>-0.44257608030007656</v>
      </c>
      <c r="T24" s="11"/>
    </row>
    <row r="25" spans="1:20" x14ac:dyDescent="0.2">
      <c r="A25" s="10" t="str">
        <f>name!$D21</f>
        <v>61 Caring personal service occupations</v>
      </c>
      <c r="B25" s="150">
        <v>197.12063317402581</v>
      </c>
      <c r="C25" s="140">
        <f t="shared" si="0"/>
        <v>8.6665822451745314</v>
      </c>
      <c r="E25" s="150">
        <v>195.15909339215122</v>
      </c>
      <c r="F25" s="140">
        <f t="shared" si="1"/>
        <v>8.1172951010792698</v>
      </c>
      <c r="H25" s="150">
        <f t="shared" si="3"/>
        <v>-1.9615397818745919</v>
      </c>
      <c r="I25" s="140">
        <f t="shared" si="4"/>
        <v>-0.99509612478916321</v>
      </c>
      <c r="K25" s="207">
        <f t="shared" si="2"/>
        <v>11.244630465569347</v>
      </c>
      <c r="L25" s="140">
        <f t="shared" si="5"/>
        <v>5.7044411254717042</v>
      </c>
      <c r="N25" s="150">
        <f t="shared" si="6"/>
        <v>-7.7810927615126193</v>
      </c>
      <c r="O25" s="140">
        <f t="shared" si="7"/>
        <v>-3.9473760997120815</v>
      </c>
      <c r="Q25" s="150">
        <v>-5.42507748593132</v>
      </c>
      <c r="R25" s="140">
        <f t="shared" si="8"/>
        <v>-2.752161150548786</v>
      </c>
      <c r="T25" s="11"/>
    </row>
    <row r="26" spans="1:20" x14ac:dyDescent="0.2">
      <c r="A26" s="10" t="str">
        <f>name!$D22</f>
        <v>62 Leisure, travel and related personal service occupations</v>
      </c>
      <c r="B26" s="150">
        <v>49.385317241689229</v>
      </c>
      <c r="C26" s="140">
        <f t="shared" si="0"/>
        <v>2.1712689670658611</v>
      </c>
      <c r="E26" s="150">
        <v>58.98916926833904</v>
      </c>
      <c r="F26" s="140">
        <f t="shared" si="1"/>
        <v>2.453549493368786</v>
      </c>
      <c r="H26" s="150">
        <f t="shared" si="3"/>
        <v>9.6038520266498111</v>
      </c>
      <c r="I26" s="140">
        <f t="shared" si="4"/>
        <v>19.446776011681877</v>
      </c>
      <c r="K26" s="207">
        <f t="shared" si="2"/>
        <v>2.8171563466795888</v>
      </c>
      <c r="L26" s="140">
        <f t="shared" si="5"/>
        <v>5.7044411254717042</v>
      </c>
      <c r="N26" s="150">
        <f t="shared" si="6"/>
        <v>0.58355134863899316</v>
      </c>
      <c r="O26" s="140">
        <f t="shared" si="7"/>
        <v>1.181629239684991</v>
      </c>
      <c r="Q26" s="150">
        <v>6.2031443313312291</v>
      </c>
      <c r="R26" s="140">
        <f t="shared" si="8"/>
        <v>12.560705646525175</v>
      </c>
      <c r="T26" s="11"/>
    </row>
    <row r="27" spans="1:20" x14ac:dyDescent="0.2">
      <c r="A27" s="10" t="str">
        <f>name!$D23</f>
        <v>63 Community and civil enforcement occupations</v>
      </c>
      <c r="B27" s="150">
        <v>2.3956029275567663</v>
      </c>
      <c r="C27" s="140">
        <f t="shared" si="0"/>
        <v>0.1053247925605148</v>
      </c>
      <c r="E27" s="150">
        <v>2.5528718101472609</v>
      </c>
      <c r="F27" s="140">
        <f t="shared" si="1"/>
        <v>0.10618215876086422</v>
      </c>
      <c r="H27" s="150">
        <f t="shared" si="3"/>
        <v>0.15726888259049465</v>
      </c>
      <c r="I27" s="140">
        <f t="shared" si="4"/>
        <v>6.5648977458418134</v>
      </c>
      <c r="K27" s="207">
        <f t="shared" si="2"/>
        <v>0.1366557586025523</v>
      </c>
      <c r="L27" s="140">
        <f t="shared" si="5"/>
        <v>5.7044411254717042</v>
      </c>
      <c r="N27" s="150">
        <f t="shared" si="6"/>
        <v>8.6871013971232133E-2</v>
      </c>
      <c r="O27" s="140">
        <f t="shared" si="7"/>
        <v>3.6262693191742912</v>
      </c>
      <c r="Q27" s="150">
        <v>-6.6257889983289783E-2</v>
      </c>
      <c r="R27" s="140">
        <f t="shared" si="8"/>
        <v>-2.7658126988041816</v>
      </c>
      <c r="T27" s="171"/>
    </row>
    <row r="28" spans="1:20" x14ac:dyDescent="0.2">
      <c r="A28" s="10" t="str">
        <f>name!$D24</f>
        <v>71 Sales occupations</v>
      </c>
      <c r="B28" s="150">
        <v>173.30397212646142</v>
      </c>
      <c r="C28" s="140">
        <f t="shared" si="0"/>
        <v>7.6194617664576469</v>
      </c>
      <c r="E28" s="150">
        <v>158.17137533328778</v>
      </c>
      <c r="F28" s="140">
        <f t="shared" si="1"/>
        <v>6.5788568075788323</v>
      </c>
      <c r="H28" s="150">
        <f t="shared" si="3"/>
        <v>-15.132596793173633</v>
      </c>
      <c r="I28" s="140">
        <f t="shared" si="4"/>
        <v>-8.7318234010996818</v>
      </c>
      <c r="K28" s="207">
        <f t="shared" si="2"/>
        <v>9.8860230580578836</v>
      </c>
      <c r="L28" s="140">
        <f t="shared" si="5"/>
        <v>5.7044411254717033</v>
      </c>
      <c r="N28" s="150">
        <f t="shared" si="6"/>
        <v>-12.815010135236941</v>
      </c>
      <c r="O28" s="140">
        <f t="shared" si="7"/>
        <v>-7.3945276487290883</v>
      </c>
      <c r="Q28" s="150">
        <v>-12.203609715994576</v>
      </c>
      <c r="R28" s="140">
        <f t="shared" si="8"/>
        <v>-7.0417368778423013</v>
      </c>
      <c r="T28" s="11"/>
    </row>
    <row r="29" spans="1:20" x14ac:dyDescent="0.2">
      <c r="A29" s="10" t="str">
        <f>name!$D25</f>
        <v>72 Customer service occupations</v>
      </c>
      <c r="B29" s="150">
        <v>36.274357680061875</v>
      </c>
      <c r="C29" s="140">
        <f t="shared" si="0"/>
        <v>1.5948340828815843</v>
      </c>
      <c r="E29" s="150">
        <v>40.010730312229803</v>
      </c>
      <c r="F29" s="140">
        <f t="shared" si="1"/>
        <v>1.6641751071340471</v>
      </c>
      <c r="H29" s="150">
        <f t="shared" si="3"/>
        <v>3.736372632167928</v>
      </c>
      <c r="I29" s="140">
        <f t="shared" si="4"/>
        <v>10.300313695758746</v>
      </c>
      <c r="K29" s="207">
        <f t="shared" si="2"/>
        <v>2.0692493775021532</v>
      </c>
      <c r="L29" s="140">
        <f t="shared" si="5"/>
        <v>5.7044411254717042</v>
      </c>
      <c r="N29" s="150">
        <f t="shared" si="6"/>
        <v>2.821999170320411</v>
      </c>
      <c r="O29" s="140">
        <f t="shared" si="7"/>
        <v>7.7795979055240911</v>
      </c>
      <c r="Q29" s="150">
        <v>-1.154875915654636</v>
      </c>
      <c r="R29" s="140">
        <f t="shared" si="8"/>
        <v>-3.1837253352370483</v>
      </c>
      <c r="T29" s="11"/>
    </row>
    <row r="30" spans="1:20" x14ac:dyDescent="0.2">
      <c r="A30" s="10" t="str">
        <f>name!$D26</f>
        <v>81 Process, plant and machine operatives</v>
      </c>
      <c r="B30" s="150">
        <v>96.336507305577143</v>
      </c>
      <c r="C30" s="140">
        <f t="shared" si="0"/>
        <v>4.2355193889802072</v>
      </c>
      <c r="E30" s="150">
        <v>82.980962009601029</v>
      </c>
      <c r="F30" s="140">
        <f t="shared" si="1"/>
        <v>3.4514454063889852</v>
      </c>
      <c r="H30" s="150">
        <f t="shared" si="3"/>
        <v>-13.355545295976114</v>
      </c>
      <c r="I30" s="140">
        <f t="shared" si="4"/>
        <v>-13.863431080818234</v>
      </c>
      <c r="K30" s="207">
        <f t="shared" si="2"/>
        <v>5.4954593415823956</v>
      </c>
      <c r="L30" s="140">
        <f t="shared" si="5"/>
        <v>5.7044411254717042</v>
      </c>
      <c r="N30" s="150">
        <f t="shared" si="6"/>
        <v>-19.565709533123339</v>
      </c>
      <c r="O30" s="140">
        <f t="shared" si="7"/>
        <v>-20.309755958933998</v>
      </c>
      <c r="Q30" s="150">
        <v>0.71470489556483119</v>
      </c>
      <c r="R30" s="140">
        <f t="shared" si="8"/>
        <v>0.74188375264405637</v>
      </c>
      <c r="T30" s="11"/>
    </row>
    <row r="31" spans="1:20" x14ac:dyDescent="0.2">
      <c r="A31" s="10" t="str">
        <f>name!$D27</f>
        <v>82 Transport and mobile machine drivers and operatives</v>
      </c>
      <c r="B31" s="150">
        <v>92.950932183114759</v>
      </c>
      <c r="C31" s="140">
        <f t="shared" si="0"/>
        <v>4.0866695969843922</v>
      </c>
      <c r="E31" s="150">
        <v>105.1667392966642</v>
      </c>
      <c r="F31" s="140">
        <f t="shared" si="1"/>
        <v>4.3742233213490893</v>
      </c>
      <c r="H31" s="150">
        <f t="shared" si="3"/>
        <v>12.215807113549445</v>
      </c>
      <c r="I31" s="140">
        <f t="shared" si="4"/>
        <v>13.142210440110613</v>
      </c>
      <c r="K31" s="207">
        <f t="shared" si="2"/>
        <v>5.3023312019629119</v>
      </c>
      <c r="L31" s="140">
        <f t="shared" si="5"/>
        <v>5.7044411254717042</v>
      </c>
      <c r="N31" s="150">
        <f t="shared" si="6"/>
        <v>-5.3247871223570229</v>
      </c>
      <c r="O31" s="140">
        <f t="shared" si="7"/>
        <v>-5.7286000229315732</v>
      </c>
      <c r="Q31" s="150">
        <v>12.238263033943557</v>
      </c>
      <c r="R31" s="140">
        <f t="shared" si="8"/>
        <v>13.166369337570485</v>
      </c>
      <c r="T31" s="11"/>
    </row>
    <row r="32" spans="1:20" x14ac:dyDescent="0.2">
      <c r="A32" s="10" t="str">
        <f>name!$D28</f>
        <v>91 Elementary trades and related occupations</v>
      </c>
      <c r="B32" s="150">
        <v>52.251811311873347</v>
      </c>
      <c r="C32" s="140">
        <f t="shared" si="0"/>
        <v>2.2972969034342658</v>
      </c>
      <c r="E32" s="150">
        <v>44.433630888629324</v>
      </c>
      <c r="F32" s="140">
        <f t="shared" si="1"/>
        <v>1.8481377837244091</v>
      </c>
      <c r="H32" s="150">
        <f t="shared" si="3"/>
        <v>-7.8181804232440228</v>
      </c>
      <c r="I32" s="140">
        <f t="shared" si="4"/>
        <v>-14.962506039417377</v>
      </c>
      <c r="K32" s="207">
        <f t="shared" si="2"/>
        <v>2.9806738132783792</v>
      </c>
      <c r="L32" s="140">
        <f t="shared" si="5"/>
        <v>5.7044411254717042</v>
      </c>
      <c r="N32" s="150">
        <f>H32-(K32+Q32)</f>
        <v>-13.227566402401221</v>
      </c>
      <c r="O32" s="140">
        <f t="shared" si="7"/>
        <v>-25.31503898199885</v>
      </c>
      <c r="Q32" s="150">
        <v>2.4287121658788196</v>
      </c>
      <c r="R32" s="140">
        <f t="shared" si="8"/>
        <v>4.6480918171097647</v>
      </c>
      <c r="T32" s="11"/>
    </row>
    <row r="33" spans="1:20" x14ac:dyDescent="0.2">
      <c r="A33" s="10" t="str">
        <f>name!$D29</f>
        <v>92 Elementary administration and service occupations</v>
      </c>
      <c r="B33" s="150">
        <v>229.78267131417977</v>
      </c>
      <c r="C33" s="140">
        <f t="shared" si="0"/>
        <v>10.10259751804943</v>
      </c>
      <c r="E33" s="150">
        <v>205.55814968015667</v>
      </c>
      <c r="F33" s="140">
        <f t="shared" si="1"/>
        <v>8.549825336771935</v>
      </c>
      <c r="H33" s="150">
        <f t="shared" ref="H33" si="9">E33-B33</f>
        <v>-24.224521634023091</v>
      </c>
      <c r="I33" s="140">
        <f>IF(B33&lt;&gt;0,((E33/B33)-1)*100,0)</f>
        <v>-10.542362265821659</v>
      </c>
      <c r="K33" s="207">
        <f t="shared" si="2"/>
        <v>13.107817201653543</v>
      </c>
      <c r="L33" s="140">
        <f t="shared" ref="L33" si="10">IF(B33&lt;&gt;0,K33/B33*100,0)</f>
        <v>5.7044411254717042</v>
      </c>
      <c r="N33" s="150">
        <f>H33-(K33+Q33)</f>
        <v>-28.807320759276649</v>
      </c>
      <c r="O33" s="140">
        <f t="shared" ref="O33" si="11">IF(B33&lt;&gt;0,N33/B33*100,0)</f>
        <v>-12.536768153369</v>
      </c>
      <c r="Q33" s="150">
        <v>-8.5250180763999825</v>
      </c>
      <c r="R33" s="140">
        <f t="shared" ref="R33" si="12">IF(B33&lt;&gt;0,Q33/B33*100,0)</f>
        <v>-3.7100352379243611</v>
      </c>
      <c r="T33" s="11"/>
    </row>
    <row r="34" spans="1:20" x14ac:dyDescent="0.2">
      <c r="A34" s="10"/>
      <c r="B34" s="150"/>
      <c r="C34" s="140"/>
      <c r="E34" s="150"/>
      <c r="F34" s="140"/>
      <c r="H34" s="150"/>
      <c r="I34" s="140"/>
      <c r="K34" s="207"/>
      <c r="L34" s="140"/>
      <c r="N34" s="150"/>
      <c r="O34" s="140"/>
      <c r="Q34" s="150"/>
      <c r="R34" s="140"/>
      <c r="T34" s="11"/>
    </row>
    <row r="35" spans="1:20" x14ac:dyDescent="0.2">
      <c r="A35" s="148" t="str">
        <f>name!$D$3</f>
        <v>All occupations</v>
      </c>
      <c r="B35" s="151">
        <f>SUM(B8:B33)</f>
        <v>2274.4909999992287</v>
      </c>
      <c r="C35" s="146">
        <f>B35/B$35*100</f>
        <v>100</v>
      </c>
      <c r="D35" s="144"/>
      <c r="E35" s="151">
        <f>SUM(E8:E33)</f>
        <v>2404.2379999983373</v>
      </c>
      <c r="F35" s="146">
        <f t="shared" ref="F35" si="13">E35/E$35*100</f>
        <v>100</v>
      </c>
      <c r="G35" s="144"/>
      <c r="H35" s="151">
        <f>E35-B35</f>
        <v>129.74699999910854</v>
      </c>
      <c r="I35" s="146">
        <f t="shared" si="4"/>
        <v>5.7044411254717042</v>
      </c>
      <c r="J35" s="144"/>
      <c r="K35" s="151"/>
      <c r="L35" s="146"/>
      <c r="M35" s="144"/>
      <c r="N35" s="147"/>
      <c r="O35" s="146"/>
      <c r="P35" s="144"/>
      <c r="Q35" s="147"/>
      <c r="R35" s="146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East Midlands</v>
      </c>
    </row>
    <row r="38" spans="1:20" ht="15.75" x14ac:dyDescent="0.25">
      <c r="A38" s="276"/>
    </row>
    <row r="39" spans="1:20" x14ac:dyDescent="0.2">
      <c r="A39" s="145"/>
      <c r="B39" s="275"/>
      <c r="C39" s="275"/>
      <c r="D39" s="275"/>
      <c r="E39" s="275"/>
      <c r="F39" s="275"/>
      <c r="G39" s="275"/>
      <c r="H39" s="275"/>
      <c r="I39" s="275"/>
      <c r="J39" s="275"/>
      <c r="K39" s="377" t="str">
        <f>K3</f>
        <v>Components of change</v>
      </c>
      <c r="L39" s="377"/>
      <c r="M39" s="377"/>
      <c r="N39" s="377"/>
      <c r="O39" s="377"/>
      <c r="P39" s="377"/>
      <c r="Q39" s="377"/>
      <c r="R39" s="377"/>
    </row>
    <row r="40" spans="1:20" x14ac:dyDescent="0.2">
      <c r="B40" s="270" t="str">
        <f>B4</f>
        <v>Base year</v>
      </c>
      <c r="C40" s="271">
        <v>2020</v>
      </c>
      <c r="D40" s="135"/>
      <c r="E40" s="270" t="str">
        <f>E4</f>
        <v>Target year</v>
      </c>
      <c r="F40" s="275">
        <v>2035</v>
      </c>
      <c r="G40" s="135"/>
      <c r="H40" s="270" t="str">
        <f>H4</f>
        <v>Change</v>
      </c>
      <c r="I40" s="270" t="str">
        <f>CONCATENATE(C40,"-",F40)</f>
        <v>2020-2035</v>
      </c>
      <c r="J40" s="135"/>
      <c r="K40" s="376" t="str">
        <f>K4</f>
        <v>Scale effect</v>
      </c>
      <c r="L40" s="376"/>
      <c r="M40" s="135"/>
      <c r="N40" s="376" t="str">
        <f>N4</f>
        <v>Occupation effect</v>
      </c>
      <c r="O40" s="376"/>
      <c r="P40" s="135"/>
      <c r="Q40" s="376" t="str">
        <f>Q4</f>
        <v>Industry mix effect</v>
      </c>
      <c r="R40" s="376"/>
    </row>
    <row r="41" spans="1:20" x14ac:dyDescent="0.2">
      <c r="A41" s="142" t="str">
        <f>A5</f>
        <v>SOC2020 Sub-Major Groups</v>
      </c>
      <c r="B41" s="272" t="str">
        <f>B5</f>
        <v>000s</v>
      </c>
      <c r="C41" s="272" t="str">
        <f>C5</f>
        <v>% share</v>
      </c>
      <c r="D41" s="135"/>
      <c r="E41" s="272" t="str">
        <f>E5</f>
        <v>000s</v>
      </c>
      <c r="F41" s="272" t="str">
        <f>F5</f>
        <v>% share</v>
      </c>
      <c r="G41" s="135"/>
      <c r="H41" s="272" t="str">
        <f>H5</f>
        <v>000s</v>
      </c>
      <c r="I41" s="272" t="str">
        <f>I5</f>
        <v xml:space="preserve">%   </v>
      </c>
      <c r="J41" s="135"/>
      <c r="K41" s="272" t="str">
        <f>H41</f>
        <v>000s</v>
      </c>
      <c r="L41" s="272" t="str">
        <f>I41</f>
        <v xml:space="preserve">%   </v>
      </c>
      <c r="M41" s="135"/>
      <c r="N41" s="272" t="str">
        <f>K41</f>
        <v>000s</v>
      </c>
      <c r="O41" s="272" t="str">
        <f>L41</f>
        <v xml:space="preserve">%   </v>
      </c>
      <c r="P41" s="135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2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3"/>
    </row>
    <row r="44" spans="1:20" x14ac:dyDescent="0.2">
      <c r="A44" s="134" t="str">
        <f t="shared" ref="A44:A69" si="14">A8</f>
        <v>11 Corporate managers and directors</v>
      </c>
      <c r="B44" s="150">
        <v>181.26829746514963</v>
      </c>
      <c r="C44" s="140">
        <f t="shared" ref="C44:C69" si="15">B44/B$71*100</f>
        <v>7.5395321704953915</v>
      </c>
      <c r="E44" s="150">
        <v>182.91832107250198</v>
      </c>
      <c r="F44" s="140">
        <f t="shared" ref="F44:F69" si="16">E44/E$71*100</f>
        <v>7.2855680968112821</v>
      </c>
      <c r="H44" s="150">
        <f>E44-B44</f>
        <v>1.6500236073523524</v>
      </c>
      <c r="I44" s="140">
        <f>IF(B44&gt;0,((E44/B44)-1)*100,0)</f>
        <v>0.91026595958931811</v>
      </c>
      <c r="K44" s="150">
        <f>(($E$71/$B$71)-1)*B44</f>
        <v>8.0262843674930568</v>
      </c>
      <c r="L44" s="140">
        <f>IF(B44&gt;0,K44/B44*100,0)</f>
        <v>4.4278478254236253</v>
      </c>
      <c r="N44" s="150">
        <f>H44-(K44+Q44)</f>
        <v>-5.6239755725863745</v>
      </c>
      <c r="O44" s="140">
        <f>IF(B44&gt;0,N44/B44*100,0)</f>
        <v>-3.1025698653498037</v>
      </c>
      <c r="Q44" s="150">
        <v>-0.7522851875543296</v>
      </c>
      <c r="R44" s="140">
        <f>IF(B44&gt;0,Q44/B44*100,0)</f>
        <v>-0.41501200048450987</v>
      </c>
      <c r="T44" s="150"/>
    </row>
    <row r="45" spans="1:20" x14ac:dyDescent="0.2">
      <c r="A45" s="134" t="str">
        <f t="shared" si="14"/>
        <v>12 Other managers and proprietors</v>
      </c>
      <c r="B45" s="150">
        <v>80.330640441711182</v>
      </c>
      <c r="C45" s="140">
        <f t="shared" si="15"/>
        <v>3.3412099984180745</v>
      </c>
      <c r="E45" s="150">
        <v>113.42826929468428</v>
      </c>
      <c r="F45" s="140">
        <f t="shared" si="16"/>
        <v>4.5178054073780869</v>
      </c>
      <c r="H45" s="150">
        <f t="shared" ref="H45:H71" si="17">E45-B45</f>
        <v>33.097628852973102</v>
      </c>
      <c r="I45" s="140">
        <f t="shared" ref="I45:I71" si="18">IF(B45&gt;0,((E45/B45)-1)*100,0)</f>
        <v>41.201749010066855</v>
      </c>
      <c r="K45" s="150">
        <f t="shared" ref="K45:K68" si="19">(($E$71/$B$71)-1)*B45</f>
        <v>3.5569185159471801</v>
      </c>
      <c r="L45" s="140">
        <f t="shared" ref="L45:L68" si="20">IF(B45&gt;0,K45/B45*100,0)</f>
        <v>4.4278478254236253</v>
      </c>
      <c r="N45" s="150">
        <f t="shared" ref="N45:N68" si="21">H45-(K45+Q45)</f>
        <v>29.459190112560265</v>
      </c>
      <c r="O45" s="140">
        <f t="shared" ref="O45:O68" si="22">IF(B45&gt;0,N45/B45*100,0)</f>
        <v>36.672420325014322</v>
      </c>
      <c r="Q45" s="150">
        <v>8.1520224465656502E-2</v>
      </c>
      <c r="R45" s="140">
        <f>IF(B45&gt;0,Q45/B45*100,0)</f>
        <v>0.10148085962890896</v>
      </c>
      <c r="T45" s="150"/>
    </row>
    <row r="46" spans="1:20" x14ac:dyDescent="0.2">
      <c r="A46" s="134" t="str">
        <f t="shared" si="14"/>
        <v>21 Science, research, engineering and technology professionals</v>
      </c>
      <c r="B46" s="150">
        <v>146.15293795725444</v>
      </c>
      <c r="C46" s="140">
        <f t="shared" si="15"/>
        <v>6.0789712980726325</v>
      </c>
      <c r="E46" s="150">
        <v>171.82982594197708</v>
      </c>
      <c r="F46" s="140">
        <f t="shared" si="16"/>
        <v>6.8439174961993334</v>
      </c>
      <c r="H46" s="150">
        <f t="shared" si="17"/>
        <v>25.67688798472264</v>
      </c>
      <c r="I46" s="140">
        <f t="shared" si="18"/>
        <v>17.568506212466552</v>
      </c>
      <c r="K46" s="150">
        <f t="shared" si="19"/>
        <v>6.4714296851330309</v>
      </c>
      <c r="L46" s="140">
        <f t="shared" si="20"/>
        <v>4.4278478254236253</v>
      </c>
      <c r="N46" s="150">
        <f t="shared" si="21"/>
        <v>19.154763355083709</v>
      </c>
      <c r="O46" s="140">
        <f t="shared" si="22"/>
        <v>13.105972156841576</v>
      </c>
      <c r="Q46" s="150">
        <v>5.0694944505899633E-2</v>
      </c>
      <c r="R46" s="140">
        <f t="shared" ref="R46:R68" si="23">IF(B46&gt;0,Q46/B46*100,0)</f>
        <v>3.4686230201356923E-2</v>
      </c>
      <c r="T46" s="150"/>
    </row>
    <row r="47" spans="1:20" x14ac:dyDescent="0.2">
      <c r="A47" s="134" t="str">
        <f t="shared" si="14"/>
        <v>22 Health professionals</v>
      </c>
      <c r="B47" s="150">
        <v>97.677408108303439</v>
      </c>
      <c r="C47" s="140">
        <f t="shared" si="15"/>
        <v>4.0627179217852385</v>
      </c>
      <c r="E47" s="150">
        <v>114.65304052783871</v>
      </c>
      <c r="F47" s="140">
        <f t="shared" si="16"/>
        <v>4.5665875860567615</v>
      </c>
      <c r="H47" s="150">
        <f t="shared" si="17"/>
        <v>16.975632419535273</v>
      </c>
      <c r="I47" s="140">
        <f t="shared" si="18"/>
        <v>17.379282219193314</v>
      </c>
      <c r="K47" s="150">
        <f t="shared" si="19"/>
        <v>4.3250069908536739</v>
      </c>
      <c r="L47" s="140">
        <f t="shared" si="20"/>
        <v>4.4278478254236253</v>
      </c>
      <c r="N47" s="150">
        <f t="shared" si="21"/>
        <v>6.6882514771151129</v>
      </c>
      <c r="O47" s="140">
        <f t="shared" si="22"/>
        <v>6.8472859862326265</v>
      </c>
      <c r="Q47" s="150">
        <v>5.9623739515664864</v>
      </c>
      <c r="R47" s="140">
        <f t="shared" si="23"/>
        <v>6.1041484075370667</v>
      </c>
      <c r="T47" s="150"/>
    </row>
    <row r="48" spans="1:20" x14ac:dyDescent="0.2">
      <c r="A48" s="134" t="str">
        <f t="shared" si="14"/>
        <v>23 Teaching and other educational professionals</v>
      </c>
      <c r="B48" s="150">
        <v>93.288876949246799</v>
      </c>
      <c r="C48" s="140">
        <f t="shared" si="15"/>
        <v>3.8801847799307438</v>
      </c>
      <c r="E48" s="150">
        <v>96.576406752618979</v>
      </c>
      <c r="F48" s="140">
        <f t="shared" si="16"/>
        <v>3.8466020451973435</v>
      </c>
      <c r="H48" s="150">
        <f t="shared" si="17"/>
        <v>3.2875298033721805</v>
      </c>
      <c r="I48" s="140">
        <f t="shared" si="18"/>
        <v>3.5240319220058103</v>
      </c>
      <c r="K48" s="150">
        <f t="shared" si="19"/>
        <v>4.1306895093593461</v>
      </c>
      <c r="L48" s="140">
        <f t="shared" si="20"/>
        <v>4.4278478254236253</v>
      </c>
      <c r="N48" s="150">
        <f t="shared" si="21"/>
        <v>3.4539600989313293</v>
      </c>
      <c r="O48" s="140">
        <f t="shared" si="22"/>
        <v>3.7024350725225621</v>
      </c>
      <c r="Q48" s="150">
        <v>-4.2971198049184949</v>
      </c>
      <c r="R48" s="140">
        <f t="shared" si="23"/>
        <v>-4.6062509759403731</v>
      </c>
      <c r="T48" s="150"/>
    </row>
    <row r="49" spans="1:20" x14ac:dyDescent="0.2">
      <c r="A49" s="134" t="str">
        <f t="shared" si="14"/>
        <v>24 Business, media and public service professionals</v>
      </c>
      <c r="B49" s="150">
        <v>158.37692219613299</v>
      </c>
      <c r="C49" s="140">
        <f t="shared" si="15"/>
        <v>6.5874061634597956</v>
      </c>
      <c r="E49" s="150">
        <v>198.82297783878221</v>
      </c>
      <c r="F49" s="140">
        <f t="shared" si="16"/>
        <v>7.9190446083369723</v>
      </c>
      <c r="H49" s="150">
        <f t="shared" si="17"/>
        <v>40.446055642649213</v>
      </c>
      <c r="I49" s="140">
        <f t="shared" si="18"/>
        <v>25.537846727796023</v>
      </c>
      <c r="K49" s="150">
        <f t="shared" si="19"/>
        <v>7.0126891054343421</v>
      </c>
      <c r="L49" s="140">
        <f t="shared" si="20"/>
        <v>4.4278478254236253</v>
      </c>
      <c r="N49" s="150">
        <f t="shared" si="21"/>
        <v>32.555674669329257</v>
      </c>
      <c r="O49" s="140">
        <f t="shared" si="22"/>
        <v>20.555819760793504</v>
      </c>
      <c r="Q49" s="150">
        <v>0.87769186788561415</v>
      </c>
      <c r="R49" s="140">
        <f t="shared" si="23"/>
        <v>0.55417914157890125</v>
      </c>
      <c r="T49" s="150"/>
    </row>
    <row r="50" spans="1:20" x14ac:dyDescent="0.2">
      <c r="A50" s="134" t="str">
        <f t="shared" si="14"/>
        <v>31 Science, engineering and technology associate professionals</v>
      </c>
      <c r="B50" s="150">
        <v>48.896441347773603</v>
      </c>
      <c r="C50" s="140">
        <f t="shared" si="15"/>
        <v>2.033760440846847</v>
      </c>
      <c r="E50" s="150">
        <v>45.136963956910328</v>
      </c>
      <c r="F50" s="140">
        <f t="shared" si="16"/>
        <v>1.7977883388785496</v>
      </c>
      <c r="H50" s="150">
        <f t="shared" si="17"/>
        <v>-3.7594773908632746</v>
      </c>
      <c r="I50" s="140">
        <f t="shared" si="18"/>
        <v>-7.6886523584081985</v>
      </c>
      <c r="K50" s="150">
        <f t="shared" si="19"/>
        <v>2.1650600149269317</v>
      </c>
      <c r="L50" s="140">
        <f t="shared" si="20"/>
        <v>4.4278478254236244</v>
      </c>
      <c r="N50" s="150">
        <f t="shared" si="21"/>
        <v>-5.8012403515331545</v>
      </c>
      <c r="O50" s="140">
        <f t="shared" si="22"/>
        <v>-11.864340617903274</v>
      </c>
      <c r="Q50" s="150">
        <v>-0.12329705425705177</v>
      </c>
      <c r="R50" s="140">
        <f t="shared" si="23"/>
        <v>-0.25215956592854555</v>
      </c>
      <c r="T50" s="150"/>
    </row>
    <row r="51" spans="1:20" x14ac:dyDescent="0.2">
      <c r="A51" s="134" t="str">
        <f t="shared" si="14"/>
        <v>32 Health and social care associate professionals</v>
      </c>
      <c r="B51" s="150">
        <v>43.808538911689013</v>
      </c>
      <c r="C51" s="140">
        <f t="shared" si="15"/>
        <v>1.8221381956245311</v>
      </c>
      <c r="E51" s="150">
        <v>48.614831201773598</v>
      </c>
      <c r="F51" s="140">
        <f t="shared" si="16"/>
        <v>1.9363104863351603</v>
      </c>
      <c r="H51" s="150">
        <f t="shared" si="17"/>
        <v>4.8062922900845848</v>
      </c>
      <c r="I51" s="140">
        <f t="shared" si="18"/>
        <v>10.971131221183384</v>
      </c>
      <c r="K51" s="150">
        <f t="shared" si="19"/>
        <v>1.9397754375510847</v>
      </c>
      <c r="L51" s="140">
        <f t="shared" si="20"/>
        <v>4.4278478254236253</v>
      </c>
      <c r="N51" s="150">
        <f t="shared" si="21"/>
        <v>0.55328246666425152</v>
      </c>
      <c r="O51" s="140">
        <f t="shared" si="22"/>
        <v>1.2629557625274384</v>
      </c>
      <c r="Q51" s="150">
        <v>2.313234385869249</v>
      </c>
      <c r="R51" s="140">
        <f t="shared" si="23"/>
        <v>5.2803276332323215</v>
      </c>
      <c r="T51" s="150"/>
    </row>
    <row r="52" spans="1:20" x14ac:dyDescent="0.2">
      <c r="A52" s="134" t="str">
        <f t="shared" si="14"/>
        <v>33 Protective service occupations</v>
      </c>
      <c r="B52" s="150">
        <v>26.423145140330963</v>
      </c>
      <c r="C52" s="140">
        <f t="shared" si="15"/>
        <v>1.0990236881851645</v>
      </c>
      <c r="E52" s="150">
        <v>36.657574622558613</v>
      </c>
      <c r="F52" s="140">
        <f t="shared" si="16"/>
        <v>1.4600574431838067</v>
      </c>
      <c r="H52" s="150">
        <f t="shared" si="17"/>
        <v>10.23442948222765</v>
      </c>
      <c r="I52" s="140">
        <f t="shared" si="18"/>
        <v>38.732820895746926</v>
      </c>
      <c r="K52" s="150">
        <f t="shared" si="19"/>
        <v>1.1699766575046728</v>
      </c>
      <c r="L52" s="140">
        <f t="shared" si="20"/>
        <v>4.4278478254236253</v>
      </c>
      <c r="N52" s="150">
        <f t="shared" si="21"/>
        <v>7.2230667525371945</v>
      </c>
      <c r="O52" s="140">
        <f t="shared" si="22"/>
        <v>27.336135475834283</v>
      </c>
      <c r="Q52" s="150">
        <v>1.8413860721857829</v>
      </c>
      <c r="R52" s="140">
        <f t="shared" si="23"/>
        <v>6.9688375944890204</v>
      </c>
      <c r="T52" s="150"/>
    </row>
    <row r="53" spans="1:20" x14ac:dyDescent="0.2">
      <c r="A53" s="134" t="str">
        <f t="shared" si="14"/>
        <v>34 Culture, media and sports occupations</v>
      </c>
      <c r="B53" s="150">
        <v>32.531561760617201</v>
      </c>
      <c r="C53" s="140">
        <f t="shared" si="15"/>
        <v>1.3530924043559622</v>
      </c>
      <c r="E53" s="150">
        <v>32.44160234152902</v>
      </c>
      <c r="F53" s="140">
        <f t="shared" si="16"/>
        <v>1.29213684907593</v>
      </c>
      <c r="H53" s="150">
        <f t="shared" si="17"/>
        <v>-8.9959419088181392E-2</v>
      </c>
      <c r="I53" s="140">
        <f t="shared" si="18"/>
        <v>-0.27652966602140783</v>
      </c>
      <c r="K53" s="150">
        <f t="shared" si="19"/>
        <v>1.4404480499938324</v>
      </c>
      <c r="L53" s="140">
        <f t="shared" si="20"/>
        <v>4.4278478254236253</v>
      </c>
      <c r="N53" s="150">
        <f t="shared" si="21"/>
        <v>-0.41147459568270017</v>
      </c>
      <c r="O53" s="140">
        <f t="shared" si="22"/>
        <v>-1.2648473464339864</v>
      </c>
      <c r="Q53" s="150">
        <v>-1.1189328733993136</v>
      </c>
      <c r="R53" s="140">
        <f t="shared" si="23"/>
        <v>-3.4395301450110423</v>
      </c>
      <c r="T53" s="150"/>
    </row>
    <row r="54" spans="1:20" x14ac:dyDescent="0.2">
      <c r="A54" s="134" t="str">
        <f t="shared" si="14"/>
        <v>35 Business and public service associate professionals</v>
      </c>
      <c r="B54" s="150">
        <v>141.70159177372162</v>
      </c>
      <c r="C54" s="140">
        <f t="shared" si="15"/>
        <v>5.8938254770875265</v>
      </c>
      <c r="E54" s="150">
        <v>140.96475258733693</v>
      </c>
      <c r="F54" s="140">
        <f t="shared" si="16"/>
        <v>5.6145732051527508</v>
      </c>
      <c r="H54" s="150">
        <f t="shared" si="17"/>
        <v>-0.73683918638468526</v>
      </c>
      <c r="I54" s="140">
        <f t="shared" si="18"/>
        <v>-0.51999358451901845</v>
      </c>
      <c r="K54" s="150">
        <f t="shared" si="19"/>
        <v>6.2743308499433956</v>
      </c>
      <c r="L54" s="140">
        <f t="shared" si="20"/>
        <v>4.4278478254236253</v>
      </c>
      <c r="N54" s="150">
        <f t="shared" si="21"/>
        <v>-7.0532156912908892</v>
      </c>
      <c r="O54" s="140">
        <f t="shared" si="22"/>
        <v>-4.9775133807628116</v>
      </c>
      <c r="Q54" s="150">
        <v>4.2045654962808141E-2</v>
      </c>
      <c r="R54" s="140">
        <f t="shared" si="23"/>
        <v>2.9671970820165094E-2</v>
      </c>
      <c r="T54" s="150"/>
    </row>
    <row r="55" spans="1:20" x14ac:dyDescent="0.2">
      <c r="A55" s="134" t="str">
        <f t="shared" si="14"/>
        <v>41 Administrative occupations</v>
      </c>
      <c r="B55" s="150">
        <v>206.87406474545989</v>
      </c>
      <c r="C55" s="140">
        <f t="shared" si="15"/>
        <v>8.6045584815481231</v>
      </c>
      <c r="E55" s="150">
        <v>179.25383588684116</v>
      </c>
      <c r="F55" s="140">
        <f t="shared" si="16"/>
        <v>7.1396130267923184</v>
      </c>
      <c r="H55" s="150">
        <f t="shared" si="17"/>
        <v>-27.620228858618731</v>
      </c>
      <c r="I55" s="140">
        <f t="shared" si="18"/>
        <v>-13.351228387474745</v>
      </c>
      <c r="K55" s="150">
        <f t="shared" si="19"/>
        <v>9.1600687771973082</v>
      </c>
      <c r="L55" s="140">
        <f t="shared" si="20"/>
        <v>4.4278478254236253</v>
      </c>
      <c r="N55" s="150">
        <f t="shared" si="21"/>
        <v>-37.413759509720016</v>
      </c>
      <c r="O55" s="140">
        <f t="shared" si="22"/>
        <v>-18.085282732639453</v>
      </c>
      <c r="Q55" s="150">
        <v>0.63346187390397624</v>
      </c>
      <c r="R55" s="140">
        <f t="shared" si="23"/>
        <v>0.3062065197410776</v>
      </c>
      <c r="T55" s="150"/>
    </row>
    <row r="56" spans="1:20" x14ac:dyDescent="0.2">
      <c r="A56" s="134" t="str">
        <f t="shared" si="14"/>
        <v>42 Secretarial and related occupations</v>
      </c>
      <c r="B56" s="150">
        <v>45.079696181020772</v>
      </c>
      <c r="C56" s="140">
        <f t="shared" si="15"/>
        <v>1.8750097195473971</v>
      </c>
      <c r="E56" s="150">
        <v>37.500601408491903</v>
      </c>
      <c r="F56" s="140">
        <f t="shared" si="16"/>
        <v>1.4936348837613336</v>
      </c>
      <c r="H56" s="150">
        <f t="shared" si="17"/>
        <v>-7.5790947725288689</v>
      </c>
      <c r="I56" s="140">
        <f t="shared" si="18"/>
        <v>-16.812657170745936</v>
      </c>
      <c r="K56" s="150">
        <f t="shared" si="19"/>
        <v>1.9960603470589053</v>
      </c>
      <c r="L56" s="140">
        <f t="shared" si="20"/>
        <v>4.4278478254236253</v>
      </c>
      <c r="N56" s="150">
        <f t="shared" si="21"/>
        <v>-10.042515944645142</v>
      </c>
      <c r="O56" s="140">
        <f t="shared" si="22"/>
        <v>-22.277248507440454</v>
      </c>
      <c r="Q56" s="150">
        <v>0.46736082505736853</v>
      </c>
      <c r="R56" s="140">
        <f t="shared" si="23"/>
        <v>1.0367435112709</v>
      </c>
      <c r="T56" s="150"/>
    </row>
    <row r="57" spans="1:20" x14ac:dyDescent="0.2">
      <c r="A57" s="134" t="str">
        <f t="shared" si="14"/>
        <v>51 Skilled agricultural and related trades</v>
      </c>
      <c r="B57" s="150">
        <v>34.109425717301711</v>
      </c>
      <c r="C57" s="140">
        <f t="shared" si="15"/>
        <v>1.4187208469929058</v>
      </c>
      <c r="E57" s="150">
        <v>33.27556971091218</v>
      </c>
      <c r="F57" s="140">
        <f t="shared" si="16"/>
        <v>1.3253534564913856</v>
      </c>
      <c r="H57" s="150">
        <f t="shared" si="17"/>
        <v>-0.8338560063895315</v>
      </c>
      <c r="I57" s="140">
        <f t="shared" si="18"/>
        <v>-2.4446497965122993</v>
      </c>
      <c r="K57" s="150">
        <f t="shared" si="19"/>
        <v>1.5103134648880305</v>
      </c>
      <c r="L57" s="140">
        <f t="shared" si="20"/>
        <v>4.4278478254236253</v>
      </c>
      <c r="N57" s="150">
        <f t="shared" si="21"/>
        <v>6.6552973136672078E-2</v>
      </c>
      <c r="O57" s="140">
        <f t="shared" si="22"/>
        <v>0.19511607638387668</v>
      </c>
      <c r="Q57" s="150">
        <v>-2.4107224444142341</v>
      </c>
      <c r="R57" s="140">
        <f t="shared" si="23"/>
        <v>-7.0676136983198052</v>
      </c>
      <c r="T57" s="150"/>
    </row>
    <row r="58" spans="1:20" x14ac:dyDescent="0.2">
      <c r="A58" s="134" t="str">
        <f t="shared" si="14"/>
        <v>52 Skilled metal, electrical and electronic trades</v>
      </c>
      <c r="B58" s="150">
        <v>86.576735172954471</v>
      </c>
      <c r="C58" s="140">
        <f t="shared" si="15"/>
        <v>3.6010051905432965</v>
      </c>
      <c r="E58" s="150">
        <v>78.437017532423042</v>
      </c>
      <c r="F58" s="140">
        <f t="shared" si="16"/>
        <v>3.1241169785105551</v>
      </c>
      <c r="H58" s="150">
        <f t="shared" si="17"/>
        <v>-8.1397176405314298</v>
      </c>
      <c r="I58" s="140">
        <f t="shared" si="18"/>
        <v>-9.4017378043543705</v>
      </c>
      <c r="K58" s="150">
        <f t="shared" si="19"/>
        <v>3.8334860856784356</v>
      </c>
      <c r="L58" s="140">
        <f t="shared" si="20"/>
        <v>4.4278478254236253</v>
      </c>
      <c r="N58" s="150">
        <f t="shared" si="21"/>
        <v>-9.029250521244073</v>
      </c>
      <c r="O58" s="140">
        <f t="shared" si="22"/>
        <v>-10.429188052894725</v>
      </c>
      <c r="Q58" s="150">
        <v>-2.9439532049657933</v>
      </c>
      <c r="R58" s="140">
        <f t="shared" si="23"/>
        <v>-3.4003975768832739</v>
      </c>
      <c r="T58" s="150"/>
    </row>
    <row r="59" spans="1:20" x14ac:dyDescent="0.2">
      <c r="A59" s="134" t="str">
        <f t="shared" si="14"/>
        <v>53 Skilled construction and building trades</v>
      </c>
      <c r="B59" s="150">
        <v>49.830413162678838</v>
      </c>
      <c r="C59" s="140">
        <f t="shared" si="15"/>
        <v>2.0726073359922479</v>
      </c>
      <c r="E59" s="150">
        <v>44.458264470819856</v>
      </c>
      <c r="F59" s="140">
        <f t="shared" si="16"/>
        <v>1.7707559929976631</v>
      </c>
      <c r="H59" s="150">
        <f t="shared" si="17"/>
        <v>-5.3721486918589818</v>
      </c>
      <c r="I59" s="140">
        <f t="shared" si="18"/>
        <v>-10.780863233705883</v>
      </c>
      <c r="K59" s="150">
        <f t="shared" si="19"/>
        <v>2.2064148656232829</v>
      </c>
      <c r="L59" s="140">
        <f t="shared" si="20"/>
        <v>4.4278478254236253</v>
      </c>
      <c r="N59" s="150">
        <f t="shared" si="21"/>
        <v>-7.3094127492176799</v>
      </c>
      <c r="O59" s="140">
        <f t="shared" si="22"/>
        <v>-14.668577451595693</v>
      </c>
      <c r="Q59" s="150">
        <v>-0.2691508082645846</v>
      </c>
      <c r="R59" s="140">
        <f t="shared" si="23"/>
        <v>-0.54013360753381978</v>
      </c>
      <c r="T59" s="150"/>
    </row>
    <row r="60" spans="1:20" x14ac:dyDescent="0.2">
      <c r="A60" s="134" t="str">
        <f t="shared" si="14"/>
        <v>54 Textiles, printing and other skilled trades</v>
      </c>
      <c r="B60" s="150">
        <v>38.288580975784285</v>
      </c>
      <c r="C60" s="140">
        <f t="shared" si="15"/>
        <v>1.5925453709578989</v>
      </c>
      <c r="E60" s="150">
        <v>33.55391346668987</v>
      </c>
      <c r="F60" s="140">
        <f t="shared" si="16"/>
        <v>1.3364397838485933</v>
      </c>
      <c r="H60" s="150">
        <f t="shared" si="17"/>
        <v>-4.7346675090944146</v>
      </c>
      <c r="I60" s="140">
        <f t="shared" si="18"/>
        <v>-12.365742966783932</v>
      </c>
      <c r="K60" s="150">
        <f t="shared" si="19"/>
        <v>1.6953601001218284</v>
      </c>
      <c r="L60" s="140">
        <f t="shared" si="20"/>
        <v>4.4278478254236253</v>
      </c>
      <c r="N60" s="150">
        <f t="shared" si="21"/>
        <v>-5.6654515629669016</v>
      </c>
      <c r="O60" s="140">
        <f t="shared" si="22"/>
        <v>-14.796713324398288</v>
      </c>
      <c r="Q60" s="150">
        <v>-0.76457604624934139</v>
      </c>
      <c r="R60" s="140">
        <f t="shared" si="23"/>
        <v>-1.9968774678092656</v>
      </c>
      <c r="T60" s="150"/>
    </row>
    <row r="61" spans="1:20" x14ac:dyDescent="0.2">
      <c r="A61" s="134" t="str">
        <f t="shared" si="14"/>
        <v>61 Caring personal service occupations</v>
      </c>
      <c r="B61" s="150">
        <v>195.15909339215122</v>
      </c>
      <c r="C61" s="140">
        <f t="shared" si="15"/>
        <v>8.1172951010792698</v>
      </c>
      <c r="E61" s="150">
        <v>229.27082671852793</v>
      </c>
      <c r="F61" s="140">
        <f t="shared" si="16"/>
        <v>9.1317710050923928</v>
      </c>
      <c r="H61" s="150">
        <f t="shared" si="17"/>
        <v>34.111733326376708</v>
      </c>
      <c r="I61" s="140">
        <f t="shared" si="18"/>
        <v>17.478936150739766</v>
      </c>
      <c r="K61" s="150">
        <f t="shared" si="19"/>
        <v>8.6413476728808298</v>
      </c>
      <c r="L61" s="140">
        <f t="shared" si="20"/>
        <v>4.4278478254236253</v>
      </c>
      <c r="N61" s="150">
        <f t="shared" si="21"/>
        <v>18.417716765084119</v>
      </c>
      <c r="O61" s="140">
        <f t="shared" si="22"/>
        <v>9.4372834209040395</v>
      </c>
      <c r="Q61" s="150">
        <v>7.0526688884117581</v>
      </c>
      <c r="R61" s="140">
        <f t="shared" si="23"/>
        <v>3.613804904412103</v>
      </c>
      <c r="T61" s="150"/>
    </row>
    <row r="62" spans="1:20" x14ac:dyDescent="0.2">
      <c r="A62" s="134" t="str">
        <f t="shared" si="14"/>
        <v>62 Leisure, travel and related personal service occupations</v>
      </c>
      <c r="B62" s="150">
        <v>58.98916926833904</v>
      </c>
      <c r="C62" s="140">
        <f t="shared" si="15"/>
        <v>2.453549493368786</v>
      </c>
      <c r="E62" s="150">
        <v>60.404116039923224</v>
      </c>
      <c r="F62" s="140">
        <f t="shared" si="16"/>
        <v>2.4058732780633854</v>
      </c>
      <c r="H62" s="150">
        <f t="shared" si="17"/>
        <v>1.4149467715841837</v>
      </c>
      <c r="I62" s="140">
        <f t="shared" si="18"/>
        <v>2.3986551923585342</v>
      </c>
      <c r="K62" s="150">
        <f t="shared" si="19"/>
        <v>2.6119506486836115</v>
      </c>
      <c r="L62" s="140">
        <f t="shared" si="20"/>
        <v>4.4278478254236253</v>
      </c>
      <c r="N62" s="150">
        <f t="shared" si="21"/>
        <v>1.1988441174230546</v>
      </c>
      <c r="O62" s="140">
        <f t="shared" si="22"/>
        <v>2.032312257135827</v>
      </c>
      <c r="Q62" s="150">
        <v>-2.3958479945224824</v>
      </c>
      <c r="R62" s="140">
        <f t="shared" si="23"/>
        <v>-4.0615048902009097</v>
      </c>
      <c r="T62" s="150"/>
    </row>
    <row r="63" spans="1:20" x14ac:dyDescent="0.2">
      <c r="A63" s="134" t="str">
        <f t="shared" si="14"/>
        <v>63 Community and civil enforcement occupations</v>
      </c>
      <c r="B63" s="150">
        <v>2.5528718101472609</v>
      </c>
      <c r="C63" s="140">
        <f t="shared" si="15"/>
        <v>0.10618215876086422</v>
      </c>
      <c r="E63" s="150">
        <v>2.3328235735043159</v>
      </c>
      <c r="F63" s="140">
        <f t="shared" si="16"/>
        <v>9.2915487650227085E-2</v>
      </c>
      <c r="H63" s="150">
        <f t="shared" si="17"/>
        <v>-0.22004823664294504</v>
      </c>
      <c r="I63" s="140">
        <f t="shared" si="18"/>
        <v>-8.6196351798115458</v>
      </c>
      <c r="K63" s="150">
        <f t="shared" si="19"/>
        <v>0.11303727893145823</v>
      </c>
      <c r="L63" s="140">
        <f t="shared" si="20"/>
        <v>4.4278478254236253</v>
      </c>
      <c r="N63" s="150">
        <f t="shared" si="21"/>
        <v>-0.45303624163015049</v>
      </c>
      <c r="O63" s="140">
        <f t="shared" si="22"/>
        <v>-17.746141417262052</v>
      </c>
      <c r="Q63" s="150">
        <v>0.11995072605574721</v>
      </c>
      <c r="R63" s="140">
        <f t="shared" si="23"/>
        <v>4.6986584120268819</v>
      </c>
      <c r="T63" s="150"/>
    </row>
    <row r="64" spans="1:20" x14ac:dyDescent="0.2">
      <c r="A64" s="134" t="str">
        <f t="shared" si="14"/>
        <v>71 Sales occupations</v>
      </c>
      <c r="B64" s="150">
        <v>158.17137533328778</v>
      </c>
      <c r="C64" s="140">
        <f t="shared" si="15"/>
        <v>6.5788568075788323</v>
      </c>
      <c r="E64" s="150">
        <v>139.15870740517505</v>
      </c>
      <c r="F64" s="140">
        <f t="shared" si="16"/>
        <v>5.54263910318085</v>
      </c>
      <c r="H64" s="150">
        <f t="shared" si="17"/>
        <v>-19.012667928112734</v>
      </c>
      <c r="I64" s="140">
        <f t="shared" si="18"/>
        <v>-12.020296269189391</v>
      </c>
      <c r="K64" s="150">
        <f t="shared" si="19"/>
        <v>7.0035878031376235</v>
      </c>
      <c r="L64" s="140">
        <f t="shared" si="20"/>
        <v>4.4278478254236253</v>
      </c>
      <c r="N64" s="150">
        <f t="shared" si="21"/>
        <v>-24.798851269269818</v>
      </c>
      <c r="O64" s="140">
        <f t="shared" si="22"/>
        <v>-15.678469771799982</v>
      </c>
      <c r="Q64" s="150">
        <v>-1.2174044619805389</v>
      </c>
      <c r="R64" s="140">
        <f t="shared" si="23"/>
        <v>-0.76967432281303005</v>
      </c>
      <c r="T64" s="150"/>
    </row>
    <row r="65" spans="1:20" x14ac:dyDescent="0.2">
      <c r="A65" s="134" t="str">
        <f t="shared" si="14"/>
        <v>72 Customer service occupations</v>
      </c>
      <c r="B65" s="150">
        <v>40.010730312229803</v>
      </c>
      <c r="C65" s="140">
        <f t="shared" si="15"/>
        <v>1.6641751071340471</v>
      </c>
      <c r="E65" s="150">
        <v>57.872333438169207</v>
      </c>
      <c r="F65" s="140">
        <f t="shared" si="16"/>
        <v>2.3050333269680015</v>
      </c>
      <c r="H65" s="150">
        <f t="shared" si="17"/>
        <v>17.861603125939403</v>
      </c>
      <c r="I65" s="140">
        <f t="shared" si="18"/>
        <v>44.642032241235462</v>
      </c>
      <c r="K65" s="150">
        <f t="shared" si="19"/>
        <v>1.7716142520661786</v>
      </c>
      <c r="L65" s="140">
        <f t="shared" si="20"/>
        <v>4.4278478254236253</v>
      </c>
      <c r="N65" s="150">
        <f t="shared" si="21"/>
        <v>15.828830212359236</v>
      </c>
      <c r="O65" s="140">
        <f t="shared" si="22"/>
        <v>39.561462859679288</v>
      </c>
      <c r="Q65" s="150">
        <v>0.26115866151398781</v>
      </c>
      <c r="R65" s="140">
        <f t="shared" si="23"/>
        <v>0.65272155613255889</v>
      </c>
      <c r="T65" s="150"/>
    </row>
    <row r="66" spans="1:20" x14ac:dyDescent="0.2">
      <c r="A66" s="134" t="str">
        <f t="shared" si="14"/>
        <v>81 Process, plant and machine operatives</v>
      </c>
      <c r="B66" s="150">
        <v>82.980962009601029</v>
      </c>
      <c r="C66" s="140">
        <f t="shared" si="15"/>
        <v>3.4514454063889852</v>
      </c>
      <c r="E66" s="150">
        <v>98.631893755663725</v>
      </c>
      <c r="F66" s="140">
        <f t="shared" si="16"/>
        <v>3.9284713213036846</v>
      </c>
      <c r="H66" s="150">
        <f t="shared" si="17"/>
        <v>15.650931746062696</v>
      </c>
      <c r="I66" s="140">
        <f t="shared" si="18"/>
        <v>18.860870453938404</v>
      </c>
      <c r="K66" s="150">
        <f t="shared" si="19"/>
        <v>3.6742707218577237</v>
      </c>
      <c r="L66" s="140">
        <f t="shared" si="20"/>
        <v>4.4278478254236253</v>
      </c>
      <c r="N66" s="150">
        <f t="shared" si="21"/>
        <v>16.724238550095642</v>
      </c>
      <c r="O66" s="140">
        <f t="shared" si="22"/>
        <v>20.154307861796809</v>
      </c>
      <c r="Q66" s="150">
        <v>-4.7475775258906685</v>
      </c>
      <c r="R66" s="140">
        <f t="shared" si="23"/>
        <v>-5.7212852332820221</v>
      </c>
      <c r="T66" s="150"/>
    </row>
    <row r="67" spans="1:20" x14ac:dyDescent="0.2">
      <c r="A67" s="134" t="str">
        <f t="shared" si="14"/>
        <v>82 Transport and mobile machine drivers and operatives</v>
      </c>
      <c r="B67" s="150">
        <v>105.1667392966642</v>
      </c>
      <c r="C67" s="140">
        <f t="shared" si="15"/>
        <v>4.3742233213490893</v>
      </c>
      <c r="E67" s="150">
        <v>107.55840657020045</v>
      </c>
      <c r="F67" s="140">
        <f t="shared" si="16"/>
        <v>4.284010977452116</v>
      </c>
      <c r="H67" s="150">
        <f t="shared" si="17"/>
        <v>2.3916672735362425</v>
      </c>
      <c r="I67" s="140">
        <f t="shared" si="18"/>
        <v>2.2741669937960118</v>
      </c>
      <c r="K67" s="150">
        <f t="shared" si="19"/>
        <v>4.6566231790162789</v>
      </c>
      <c r="L67" s="140">
        <f t="shared" si="20"/>
        <v>4.4278478254236253</v>
      </c>
      <c r="N67" s="150">
        <f t="shared" si="21"/>
        <v>0.34249222649094646</v>
      </c>
      <c r="O67" s="140">
        <f t="shared" si="22"/>
        <v>0.32566591755289881</v>
      </c>
      <c r="Q67" s="150">
        <v>-2.6074481319709828</v>
      </c>
      <c r="R67" s="140">
        <f t="shared" si="23"/>
        <v>-2.479346749180507</v>
      </c>
      <c r="T67" s="150"/>
    </row>
    <row r="68" spans="1:20" x14ac:dyDescent="0.2">
      <c r="A68" s="134" t="str">
        <f t="shared" si="14"/>
        <v>91 Elementary trades and related occupations</v>
      </c>
      <c r="B68" s="150">
        <v>44.433630888629324</v>
      </c>
      <c r="C68" s="140">
        <f t="shared" si="15"/>
        <v>1.8481377837244091</v>
      </c>
      <c r="E68" s="150">
        <v>34.841715927373706</v>
      </c>
      <c r="F68" s="140">
        <f t="shared" si="16"/>
        <v>1.3877324726702582</v>
      </c>
      <c r="H68" s="150">
        <f t="shared" si="17"/>
        <v>-9.5919149612556183</v>
      </c>
      <c r="I68" s="140">
        <f t="shared" si="18"/>
        <v>-21.587060902804168</v>
      </c>
      <c r="K68" s="150">
        <f t="shared" si="19"/>
        <v>1.9674535590589337</v>
      </c>
      <c r="L68" s="140">
        <f t="shared" si="20"/>
        <v>4.4278478254236253</v>
      </c>
      <c r="N68" s="150">
        <f t="shared" si="21"/>
        <v>-10.744188336625438</v>
      </c>
      <c r="O68" s="140">
        <f t="shared" si="22"/>
        <v>-24.180306947130227</v>
      </c>
      <c r="Q68" s="150">
        <v>-0.81518018368911316</v>
      </c>
      <c r="R68" s="140">
        <f t="shared" si="23"/>
        <v>-1.8346017810975688</v>
      </c>
      <c r="T68" s="150"/>
    </row>
    <row r="69" spans="1:20" x14ac:dyDescent="0.2">
      <c r="A69" s="134" t="str">
        <f t="shared" si="14"/>
        <v>92 Elementary administration and service occupations</v>
      </c>
      <c r="B69" s="150">
        <v>205.55814968015667</v>
      </c>
      <c r="C69" s="140">
        <f t="shared" si="15"/>
        <v>8.549825336771935</v>
      </c>
      <c r="E69" s="150">
        <v>192.09940795604413</v>
      </c>
      <c r="F69" s="140">
        <f t="shared" si="16"/>
        <v>7.6512473426112395</v>
      </c>
      <c r="H69" s="150">
        <f t="shared" ref="H69" si="24">E69-B69</f>
        <v>-13.458741724112542</v>
      </c>
      <c r="I69" s="140">
        <f t="shared" ref="I69" si="25">IF(B69&gt;0,((E69/B69)-1)*100,0)</f>
        <v>-6.5474133451064898</v>
      </c>
      <c r="K69" s="150">
        <f t="shared" ref="K69" si="26">(($E$71/$B$71)-1)*B69</f>
        <v>9.1018020605938581</v>
      </c>
      <c r="L69" s="140">
        <f t="shared" ref="L69" si="27">IF(B69&gt;0,K69/B69*100,0)</f>
        <v>4.4278478254236253</v>
      </c>
      <c r="N69" s="150">
        <f t="shared" ref="N69" si="28">H69-(K69+Q69)</f>
        <v>-27.320491430396466</v>
      </c>
      <c r="O69" s="140">
        <f t="shared" ref="O69" si="29">IF(B69&gt;0,N69/B69*100,0)</f>
        <v>-13.290882153252726</v>
      </c>
      <c r="Q69" s="150">
        <v>4.7599476456900653</v>
      </c>
      <c r="R69" s="140">
        <f t="shared" ref="R69" si="30">IF(B69&gt;0,Q69/B69*100,0)</f>
        <v>2.315620982722614</v>
      </c>
      <c r="T69" s="150"/>
    </row>
    <row r="70" spans="1:20" x14ac:dyDescent="0.2">
      <c r="A70" s="134"/>
      <c r="B70" s="150"/>
      <c r="C70" s="140"/>
      <c r="E70" s="150"/>
      <c r="F70" s="140"/>
      <c r="H70" s="150"/>
      <c r="I70" s="140"/>
      <c r="K70" s="150"/>
      <c r="L70" s="140"/>
      <c r="N70" s="150"/>
      <c r="O70" s="140"/>
      <c r="Q70" s="150"/>
      <c r="R70" s="140"/>
      <c r="T70" s="150"/>
    </row>
    <row r="71" spans="1:20" x14ac:dyDescent="0.2">
      <c r="A71" s="148" t="str">
        <f>name!$D$3</f>
        <v>All occupations</v>
      </c>
      <c r="B71" s="151">
        <f>SUM(B44:B69)</f>
        <v>2404.2379999983373</v>
      </c>
      <c r="C71" s="146">
        <f>B71/B$71*100</f>
        <v>100</v>
      </c>
      <c r="D71" s="144"/>
      <c r="E71" s="151">
        <f>SUM(E44:E69)</f>
        <v>2510.6939999992719</v>
      </c>
      <c r="F71" s="146">
        <f>E71/E$71*100</f>
        <v>100</v>
      </c>
      <c r="G71" s="144"/>
      <c r="H71" s="151">
        <f t="shared" si="17"/>
        <v>106.45600000093464</v>
      </c>
      <c r="I71" s="146">
        <f t="shared" si="18"/>
        <v>4.4278478254236253</v>
      </c>
      <c r="J71" s="144"/>
      <c r="K71" s="144"/>
      <c r="L71" s="144"/>
      <c r="M71" s="144"/>
      <c r="N71" s="144"/>
      <c r="O71" s="144"/>
      <c r="P71" s="144"/>
      <c r="Q71" s="144"/>
      <c r="R71" s="144"/>
    </row>
    <row r="78" spans="1:20" x14ac:dyDescent="0.2">
      <c r="T78" s="150"/>
    </row>
    <row r="79" spans="1:20" x14ac:dyDescent="0.2">
      <c r="T79" s="150"/>
    </row>
    <row r="80" spans="1:20" x14ac:dyDescent="0.2">
      <c r="T80" s="150"/>
    </row>
    <row r="81" spans="20:20" x14ac:dyDescent="0.2">
      <c r="T81" s="150"/>
    </row>
    <row r="82" spans="20:20" x14ac:dyDescent="0.2">
      <c r="T82" s="150"/>
    </row>
    <row r="83" spans="20:20" x14ac:dyDescent="0.2">
      <c r="T83" s="150"/>
    </row>
    <row r="84" spans="20:20" x14ac:dyDescent="0.2">
      <c r="T84" s="150"/>
    </row>
    <row r="85" spans="20:20" x14ac:dyDescent="0.2">
      <c r="T85" s="150"/>
    </row>
    <row r="86" spans="20:20" x14ac:dyDescent="0.2">
      <c r="T86" s="150"/>
    </row>
    <row r="87" spans="20:20" x14ac:dyDescent="0.2">
      <c r="T87" s="150"/>
    </row>
    <row r="88" spans="20:20" x14ac:dyDescent="0.2">
      <c r="T88" s="150"/>
    </row>
    <row r="89" spans="20:20" x14ac:dyDescent="0.2">
      <c r="T89" s="150"/>
    </row>
    <row r="90" spans="20:20" x14ac:dyDescent="0.2">
      <c r="T90" s="150"/>
    </row>
    <row r="91" spans="20:20" x14ac:dyDescent="0.2">
      <c r="T91" s="150"/>
    </row>
    <row r="92" spans="20:20" x14ac:dyDescent="0.2">
      <c r="T92" s="150"/>
    </row>
    <row r="93" spans="20:20" x14ac:dyDescent="0.2">
      <c r="T93" s="150"/>
    </row>
    <row r="94" spans="20:20" x14ac:dyDescent="0.2">
      <c r="T94" s="150"/>
    </row>
    <row r="95" spans="20:20" x14ac:dyDescent="0.2">
      <c r="T95" s="150"/>
    </row>
    <row r="96" spans="20:20" x14ac:dyDescent="0.2">
      <c r="T96" s="150"/>
    </row>
    <row r="97" spans="20:20" x14ac:dyDescent="0.2">
      <c r="T97" s="150"/>
    </row>
    <row r="98" spans="20:20" x14ac:dyDescent="0.2">
      <c r="T98" s="150"/>
    </row>
    <row r="99" spans="20:20" x14ac:dyDescent="0.2">
      <c r="T99" s="150"/>
    </row>
    <row r="100" spans="20:20" x14ac:dyDescent="0.2">
      <c r="T100" s="150"/>
    </row>
    <row r="101" spans="20:20" x14ac:dyDescent="0.2">
      <c r="T101" s="150"/>
    </row>
    <row r="102" spans="20:20" x14ac:dyDescent="0.2">
      <c r="T102" s="150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2" manualBreakCount="2">
    <brk id="71" max="16383" man="1"/>
    <brk id="144" max="16383" man="1"/>
  </rowBreaks>
  <colBreaks count="1" manualBreakCount="1">
    <brk id="1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7109375" customWidth="1"/>
    <col min="9" max="9" width="47" customWidth="1"/>
    <col min="10" max="14" width="11.7109375" customWidth="1"/>
    <col min="15" max="15" width="7.7109375" customWidth="1"/>
    <col min="16" max="16" width="53.5703125" customWidth="1"/>
    <col min="17" max="21" width="11.7109375" customWidth="1"/>
    <col min="22" max="22" width="11.85546875" customWidth="1"/>
    <col min="23" max="23" width="5.42578125" customWidth="1"/>
    <col min="24" max="24" width="32.28515625" customWidth="1"/>
    <col min="25" max="29" width="11.7109375" customWidth="1"/>
    <col min="30" max="30" width="11.85546875" customWidth="1"/>
  </cols>
  <sheetData>
    <row r="1" spans="1:30" ht="21" customHeight="1" x14ac:dyDescent="0.2">
      <c r="A1" s="378" t="str">
        <f>CONCATENATE("Replacement Demand Table 1  Replacement Demand by Occupation and Qualification, ",$B$6,"-",$C$6,", ",Info!B5)</f>
        <v>Replacement Demand Table 1  Replacement Demand by Occupation and Qualification, 2020-2035, East Midlands</v>
      </c>
      <c r="B1" s="378"/>
      <c r="C1" s="378"/>
      <c r="D1" s="378"/>
      <c r="E1" s="378"/>
      <c r="F1" s="378"/>
      <c r="G1" s="378"/>
      <c r="I1" s="378" t="str">
        <f>CONCATENATE("Replacement Demand Table 1.1  Replacement Demand by Occupation Group and Qualification, ",$B$6,"-",$C$6,", ",Info!B5)</f>
        <v>Replacement Demand Table 1.1  Replacement Demand by Occupation Group and Qualification, 2020-2035, East Midlands</v>
      </c>
      <c r="J1" s="378"/>
      <c r="K1" s="378"/>
      <c r="L1" s="378"/>
      <c r="M1" s="378"/>
      <c r="N1" s="378"/>
      <c r="P1" s="378" t="str">
        <f>CONCATENATE("Replacement Demand Table 1.2  Replacement Demand by Occupation and Gender, ",$B$6,"-",$C$6,", ",Info!B5)</f>
        <v>Replacement Demand Table 1.2  Replacement Demand by Occupation and Gender, 2020-2035, East Midlands</v>
      </c>
      <c r="Q1" s="378"/>
      <c r="R1" s="378"/>
      <c r="S1" s="378"/>
      <c r="T1" s="378"/>
      <c r="U1" s="378"/>
      <c r="V1" s="378"/>
      <c r="W1" s="89"/>
      <c r="X1" s="378" t="str">
        <f>CONCATENATE("Replacement Demand Table 1.3  Replacement Demand by Industry, ",$B$6,"-",$C$6,", ",Info!B5)</f>
        <v>Replacement Demand Table 1.3  Replacement Demand by Industry, 2020-2035, East Midlands</v>
      </c>
      <c r="Y1" s="378"/>
      <c r="Z1" s="378"/>
      <c r="AA1" s="378"/>
      <c r="AB1" s="378"/>
      <c r="AC1" s="378"/>
      <c r="AD1" s="378"/>
    </row>
    <row r="2" spans="1:30" ht="14.25" customHeight="1" x14ac:dyDescent="0.2">
      <c r="A2" s="378"/>
      <c r="B2" s="378"/>
      <c r="C2" s="378"/>
      <c r="D2" s="378"/>
      <c r="E2" s="378"/>
      <c r="F2" s="378"/>
      <c r="G2" s="378"/>
      <c r="I2" s="378"/>
      <c r="J2" s="378"/>
      <c r="K2" s="378"/>
      <c r="L2" s="378"/>
      <c r="M2" s="378"/>
      <c r="N2" s="378"/>
      <c r="P2" s="378"/>
      <c r="Q2" s="378"/>
      <c r="R2" s="378"/>
      <c r="S2" s="378"/>
      <c r="T2" s="378"/>
      <c r="U2" s="378"/>
      <c r="V2" s="378"/>
      <c r="X2" s="378"/>
      <c r="Y2" s="378"/>
      <c r="Z2" s="378"/>
      <c r="AA2" s="378"/>
      <c r="AB2" s="378"/>
      <c r="AC2" s="378"/>
      <c r="AD2" s="378"/>
    </row>
    <row r="3" spans="1:30" ht="15.75" x14ac:dyDescent="0.25">
      <c r="A3" s="1" t="s">
        <v>540</v>
      </c>
      <c r="B3" s="18"/>
      <c r="C3" s="18"/>
      <c r="D3" s="18"/>
      <c r="E3" s="18"/>
      <c r="F3" s="18"/>
      <c r="G3" s="18"/>
      <c r="I3" s="1" t="s">
        <v>541</v>
      </c>
      <c r="P3" s="181" t="s">
        <v>537</v>
      </c>
      <c r="S3" s="89"/>
      <c r="T3" s="89"/>
      <c r="U3" s="89"/>
      <c r="V3" s="89"/>
      <c r="W3" s="89"/>
      <c r="X3" s="1" t="s">
        <v>533</v>
      </c>
    </row>
    <row r="4" spans="1:30" ht="12.75" customHeight="1" x14ac:dyDescent="0.25">
      <c r="A4" s="18"/>
      <c r="B4" s="18"/>
      <c r="C4" s="18"/>
      <c r="D4" s="18"/>
      <c r="E4" s="18"/>
      <c r="F4" s="18"/>
      <c r="G4" s="18"/>
      <c r="I4" s="1"/>
      <c r="P4" s="1"/>
      <c r="S4" s="89"/>
      <c r="T4" s="89"/>
      <c r="U4" s="89"/>
      <c r="V4" s="89"/>
      <c r="W4" s="89"/>
    </row>
    <row r="5" spans="1:30" s="70" customFormat="1" x14ac:dyDescent="0.2">
      <c r="B5" s="15"/>
      <c r="F5" s="15" t="s">
        <v>35</v>
      </c>
      <c r="N5" s="15" t="s">
        <v>35</v>
      </c>
      <c r="Q5" s="15"/>
      <c r="S5" s="340"/>
      <c r="T5" s="340"/>
      <c r="U5" s="83" t="s">
        <v>35</v>
      </c>
      <c r="V5" s="340"/>
      <c r="W5" s="340"/>
      <c r="Y5" s="15"/>
      <c r="AA5" s="340"/>
      <c r="AB5" s="340"/>
      <c r="AC5" s="83" t="s">
        <v>35</v>
      </c>
      <c r="AD5" s="340"/>
    </row>
    <row r="6" spans="1:30" ht="24.95" customHeight="1" x14ac:dyDescent="0.2">
      <c r="A6" s="201" t="str">
        <f>CONCATENATE(name!F3," (Constrained)")</f>
        <v>All qualifications (Constrained)</v>
      </c>
      <c r="B6" s="74">
        <v>2020</v>
      </c>
      <c r="C6" s="74">
        <v>2035</v>
      </c>
      <c r="D6" s="87" t="s">
        <v>40</v>
      </c>
      <c r="E6" s="87" t="s">
        <v>139</v>
      </c>
      <c r="F6" s="87" t="s">
        <v>39</v>
      </c>
      <c r="G6" s="87" t="s">
        <v>138</v>
      </c>
      <c r="I6" s="202"/>
      <c r="J6" s="74">
        <f>B6</f>
        <v>2020</v>
      </c>
      <c r="K6" s="74">
        <f>C6</f>
        <v>2035</v>
      </c>
      <c r="L6" s="87" t="str">
        <f>D6</f>
        <v>Net Change</v>
      </c>
      <c r="M6" s="87" t="str">
        <f>E6</f>
        <v>Replacement Demand level</v>
      </c>
      <c r="N6" s="87" t="str">
        <f>F6</f>
        <v>Total Requirement</v>
      </c>
      <c r="P6" s="201" t="s">
        <v>98</v>
      </c>
      <c r="Q6" s="74">
        <f>B6</f>
        <v>2020</v>
      </c>
      <c r="R6" s="74">
        <f>C6</f>
        <v>2035</v>
      </c>
      <c r="S6" s="341" t="str">
        <f t="shared" ref="S6:V6" si="0">D6</f>
        <v>Net Change</v>
      </c>
      <c r="T6" s="341" t="str">
        <f t="shared" si="0"/>
        <v>Replacement Demand level</v>
      </c>
      <c r="U6" s="341" t="str">
        <f t="shared" si="0"/>
        <v>Total Requirement</v>
      </c>
      <c r="V6" s="341" t="str">
        <f t="shared" si="0"/>
        <v>Replacement Demand rate</v>
      </c>
      <c r="W6" s="345"/>
      <c r="X6" s="201"/>
      <c r="Y6" s="74">
        <f>J6</f>
        <v>2020</v>
      </c>
      <c r="Z6" s="74">
        <f>K6</f>
        <v>2035</v>
      </c>
      <c r="AA6" s="341" t="str">
        <f t="shared" ref="AA6" si="1">L6</f>
        <v>Net Change</v>
      </c>
      <c r="AB6" s="341" t="str">
        <f t="shared" ref="AB6" si="2">M6</f>
        <v>Replacement Demand level</v>
      </c>
      <c r="AC6" s="341" t="str">
        <f t="shared" ref="AC6" si="3">N6</f>
        <v>Total Requirement</v>
      </c>
      <c r="AD6" s="341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4">SUM(B36,B65,B94,B123,B152,B181,B210,B239,B268)</f>
        <v>181.26829746514963</v>
      </c>
      <c r="C7" s="11">
        <f t="shared" si="4"/>
        <v>182.91832107250184</v>
      </c>
      <c r="D7" s="11">
        <f t="shared" si="4"/>
        <v>1.6500236073522183</v>
      </c>
      <c r="E7" s="11">
        <f t="shared" si="4"/>
        <v>87.810821458584726</v>
      </c>
      <c r="F7" s="11">
        <f t="shared" si="4"/>
        <v>89.460845065936923</v>
      </c>
      <c r="G7" s="200">
        <f>IF(B7&gt;0,(1+(E7/B7))^(1/($C$6-$B$6))-1,0)</f>
        <v>2.668498214020576E-2</v>
      </c>
      <c r="H7" s="11"/>
      <c r="I7" s="233" t="str">
        <f>name!F3</f>
        <v>All qualifications</v>
      </c>
      <c r="J7" s="35"/>
      <c r="K7" s="35"/>
      <c r="L7" s="35"/>
      <c r="M7" s="35"/>
      <c r="N7" s="35"/>
      <c r="O7" s="11"/>
      <c r="P7" s="10" t="str">
        <f>name!D4</f>
        <v>11 Corporate managers and directors</v>
      </c>
      <c r="Q7" s="11">
        <v>125.63193477059873</v>
      </c>
      <c r="R7" s="11">
        <v>118.40158884880256</v>
      </c>
      <c r="S7" s="342">
        <f>R7-Q7</f>
        <v>-7.2303459217961716</v>
      </c>
      <c r="T7" s="342">
        <v>53.883965470887276</v>
      </c>
      <c r="U7" s="342">
        <f>SUM(S7:T7)</f>
        <v>46.653619549091104</v>
      </c>
      <c r="V7" s="343">
        <f>IF(Q7&gt;0,(1+(T7/Q7))^(1/($C$6-$B$6))-1,0)</f>
        <v>2.4079151844205393E-2</v>
      </c>
      <c r="W7" s="343"/>
      <c r="X7" s="10" t="str">
        <f>name!A4</f>
        <v>Agriculture, etc</v>
      </c>
      <c r="Y7" s="10">
        <v>40.702999999819355</v>
      </c>
      <c r="Z7" s="10">
        <v>38.939999999747165</v>
      </c>
      <c r="AA7" s="342">
        <f>Z7-Y7</f>
        <v>-1.7630000000721893</v>
      </c>
      <c r="AB7" s="10">
        <v>19.591182061228977</v>
      </c>
      <c r="AC7" s="342">
        <f>SUM(AA7:AB7)</f>
        <v>17.828182061156788</v>
      </c>
      <c r="AD7" s="343">
        <f>IF(Y7&gt;0,(1+(AB7/Y7))^(1/($C$6-$B$6))-1,0)</f>
        <v>2.6541707808579451E-2</v>
      </c>
    </row>
    <row r="8" spans="1:30" x14ac:dyDescent="0.2">
      <c r="A8" s="10" t="str">
        <f>name!D5</f>
        <v>12 Other managers and proprietors</v>
      </c>
      <c r="B8" s="11">
        <f t="shared" si="4"/>
        <v>80.330640441711509</v>
      </c>
      <c r="C8" s="11">
        <f t="shared" si="4"/>
        <v>113.42826929468441</v>
      </c>
      <c r="D8" s="11">
        <f t="shared" si="4"/>
        <v>33.09762885297291</v>
      </c>
      <c r="E8" s="11">
        <f t="shared" si="4"/>
        <v>54.511261691768063</v>
      </c>
      <c r="F8" s="11">
        <f t="shared" si="4"/>
        <v>87.608890544740987</v>
      </c>
      <c r="G8" s="200">
        <f>IF(B8&gt;0,(1+(E8/B8))^(1/($C$6-$B$6))-1,0)</f>
        <v>3.5133211230555794E-2</v>
      </c>
      <c r="H8" s="11"/>
      <c r="I8" s="10" t="str">
        <f>name!E4</f>
        <v>Managers, directors and senior officials</v>
      </c>
      <c r="J8" s="11">
        <f t="array" ref="J8:J16">MMULT(aggregation!$B$38:$AA$46,B7:B32)</f>
        <v>261.59893790686112</v>
      </c>
      <c r="K8" s="11">
        <f t="array" ref="K8:K16">MMULT(aggregation!$B$38:$AA$46,C7:C32)</f>
        <v>296.34659036718625</v>
      </c>
      <c r="L8" s="11">
        <f t="array" ref="L8:L16">MMULT(aggregation!$B$38:$AA$46,D7:D32)</f>
        <v>34.747652460325128</v>
      </c>
      <c r="M8" s="11">
        <f t="array" ref="M8:M16">MMULT(aggregation!$B$38:$AA$46,E7:E32)</f>
        <v>142.3220831503528</v>
      </c>
      <c r="N8" s="11">
        <f t="array" ref="N8:N16">MMULT(aggregation!$B$38:$AA$46,F7:F32)</f>
        <v>177.06973561067792</v>
      </c>
      <c r="O8" s="11"/>
      <c r="P8" s="10" t="str">
        <f>name!D5</f>
        <v>12 Other managers and proprietors</v>
      </c>
      <c r="Q8" s="11">
        <v>51.332169945687767</v>
      </c>
      <c r="R8" s="11">
        <v>74.83280829095817</v>
      </c>
      <c r="S8" s="342">
        <f t="shared" ref="S8:S31" si="5">R8-Q8</f>
        <v>23.500638345270403</v>
      </c>
      <c r="T8" s="342">
        <v>32.698219348124397</v>
      </c>
      <c r="U8" s="342">
        <f t="shared" ref="U8:U31" si="6">SUM(S8:T8)</f>
        <v>56.1988576933948</v>
      </c>
      <c r="V8" s="343">
        <f t="shared" ref="V8:V33" si="7">IF(Q8&gt;0,(1+(T8/Q8))^(1/($C$6-$B$6))-1,0)</f>
        <v>3.3403155840853183E-2</v>
      </c>
      <c r="W8" s="343"/>
      <c r="X8" s="10" t="str">
        <f>name!A5</f>
        <v>Coal, oil &amp; gas; Mining &amp; related</v>
      </c>
      <c r="Y8" s="10">
        <v>4.0610000000043804</v>
      </c>
      <c r="Z8" s="10">
        <v>2.5030000000094232</v>
      </c>
      <c r="AA8" s="342">
        <f t="shared" ref="AA8:AA71" si="8">Z8-Y8</f>
        <v>-1.5579999999949572</v>
      </c>
      <c r="AB8" s="10">
        <v>1.2699208626434471</v>
      </c>
      <c r="AC8" s="342">
        <f t="shared" ref="AC8:AC71" si="9">SUM(AA8:AB8)</f>
        <v>-0.28807913735151014</v>
      </c>
      <c r="AD8" s="343">
        <f t="shared" ref="AD8:AD71" si="10">IF(Y8&gt;0,(1+(AB8/Y8))^(1/($C$6-$B$6))-1,0)</f>
        <v>1.8305172389567081E-2</v>
      </c>
    </row>
    <row r="9" spans="1:30" x14ac:dyDescent="0.2">
      <c r="A9" s="10" t="str">
        <f>name!D6</f>
        <v>21 Science, research, engineering and technology professionals</v>
      </c>
      <c r="B9" s="11">
        <f t="shared" si="4"/>
        <v>146.1529379572541</v>
      </c>
      <c r="C9" s="11">
        <f t="shared" si="4"/>
        <v>171.82982594197671</v>
      </c>
      <c r="D9" s="11">
        <f t="shared" si="4"/>
        <v>25.676887984722576</v>
      </c>
      <c r="E9" s="11">
        <f t="shared" si="4"/>
        <v>58.029669472534799</v>
      </c>
      <c r="F9" s="11">
        <f t="shared" si="4"/>
        <v>83.706557457257375</v>
      </c>
      <c r="G9" s="200">
        <f t="shared" ref="G9:G33" si="11">IF(B9&gt;0,(1+(E9/B9))^(1/($C$6-$B$6))-1,0)</f>
        <v>2.2541037169808931E-2</v>
      </c>
      <c r="H9" s="11"/>
      <c r="I9" s="10" t="str">
        <f>name!E5</f>
        <v>Professional occupations</v>
      </c>
      <c r="J9" s="11">
        <v>495.49614521093798</v>
      </c>
      <c r="K9" s="11">
        <v>581.88225106121615</v>
      </c>
      <c r="L9" s="11">
        <v>86.386105850278071</v>
      </c>
      <c r="M9" s="11">
        <v>246.87357604808398</v>
      </c>
      <c r="N9" s="11">
        <v>333.25968189836203</v>
      </c>
      <c r="O9" s="11"/>
      <c r="P9" s="10" t="str">
        <f>name!D6</f>
        <v>21 Science, research, engineering and technology professionals</v>
      </c>
      <c r="Q9" s="11">
        <v>118.2391616661123</v>
      </c>
      <c r="R9" s="11">
        <v>132.13511177317218</v>
      </c>
      <c r="S9" s="342">
        <f t="shared" si="5"/>
        <v>13.895950107059889</v>
      </c>
      <c r="T9" s="342">
        <v>40.55587119545028</v>
      </c>
      <c r="U9" s="342">
        <f t="shared" si="6"/>
        <v>54.451821302510169</v>
      </c>
      <c r="V9" s="343">
        <f t="shared" si="7"/>
        <v>1.9854863823587365E-2</v>
      </c>
      <c r="W9" s="343"/>
      <c r="X9" s="10" t="str">
        <f>name!A6</f>
        <v>Food products</v>
      </c>
      <c r="Y9" s="10">
        <v>55.955000000341492</v>
      </c>
      <c r="Z9" s="10">
        <v>67.003000000166082</v>
      </c>
      <c r="AA9" s="342">
        <f t="shared" si="8"/>
        <v>11.04799999982459</v>
      </c>
      <c r="AB9" s="10">
        <v>27.034186128426303</v>
      </c>
      <c r="AC9" s="342">
        <f t="shared" si="9"/>
        <v>38.082186128250896</v>
      </c>
      <c r="AD9" s="343">
        <f t="shared" si="10"/>
        <v>2.6625798663492128E-2</v>
      </c>
    </row>
    <row r="10" spans="1:30" x14ac:dyDescent="0.2">
      <c r="A10" s="10" t="str">
        <f>name!D7</f>
        <v>22 Health professionals</v>
      </c>
      <c r="B10" s="11">
        <f t="shared" si="4"/>
        <v>97.677408108303709</v>
      </c>
      <c r="C10" s="11">
        <f t="shared" si="4"/>
        <v>114.65304052783873</v>
      </c>
      <c r="D10" s="11">
        <f t="shared" si="4"/>
        <v>16.97563241953501</v>
      </c>
      <c r="E10" s="11">
        <f t="shared" si="4"/>
        <v>56.267092288706181</v>
      </c>
      <c r="F10" s="11">
        <f t="shared" si="4"/>
        <v>73.242724708241198</v>
      </c>
      <c r="G10" s="200">
        <f t="shared" si="11"/>
        <v>3.0792705985533741E-2</v>
      </c>
      <c r="H10" s="11"/>
      <c r="I10" s="10" t="str">
        <f>name!E6</f>
        <v>Associate professional occupations</v>
      </c>
      <c r="J10" s="11">
        <v>293.36127893413232</v>
      </c>
      <c r="K10" s="11">
        <v>303.81572471010793</v>
      </c>
      <c r="L10" s="11">
        <v>10.454445775975618</v>
      </c>
      <c r="M10" s="11">
        <v>131.19771055036176</v>
      </c>
      <c r="N10" s="11">
        <v>141.65215632633738</v>
      </c>
      <c r="O10" s="11"/>
      <c r="P10" s="10" t="str">
        <f>name!D7</f>
        <v>22 Health professionals</v>
      </c>
      <c r="Q10" s="11">
        <v>26.544929563504692</v>
      </c>
      <c r="R10" s="11">
        <v>29.857195218193809</v>
      </c>
      <c r="S10" s="342">
        <f t="shared" si="5"/>
        <v>3.3122656546891172</v>
      </c>
      <c r="T10" s="342">
        <v>10.755600166579821</v>
      </c>
      <c r="U10" s="342">
        <f t="shared" si="6"/>
        <v>14.067865821268938</v>
      </c>
      <c r="V10" s="343">
        <f t="shared" si="7"/>
        <v>2.2937017283499284E-2</v>
      </c>
      <c r="W10" s="343"/>
      <c r="X10" s="10" t="str">
        <f>name!A7</f>
        <v>Beverages and tobacco</v>
      </c>
      <c r="Y10" s="10">
        <v>1.2009999999990386</v>
      </c>
      <c r="Z10" s="10">
        <v>1.4029999999982055</v>
      </c>
      <c r="AA10" s="342">
        <f t="shared" si="8"/>
        <v>0.20199999999916685</v>
      </c>
      <c r="AB10" s="10">
        <v>0.53766740155095816</v>
      </c>
      <c r="AC10" s="342">
        <f t="shared" si="9"/>
        <v>0.739667401550125</v>
      </c>
      <c r="AD10" s="343">
        <f t="shared" si="10"/>
        <v>2.4970974233715415E-2</v>
      </c>
    </row>
    <row r="11" spans="1:30" x14ac:dyDescent="0.2">
      <c r="A11" s="10" t="str">
        <f>name!D8</f>
        <v>23 Teaching and other educational professionals</v>
      </c>
      <c r="B11" s="11">
        <f t="shared" si="4"/>
        <v>93.288876949246756</v>
      </c>
      <c r="C11" s="11">
        <f t="shared" si="4"/>
        <v>96.576406752618809</v>
      </c>
      <c r="D11" s="11">
        <f t="shared" si="4"/>
        <v>3.2875298033720535</v>
      </c>
      <c r="E11" s="11">
        <f t="shared" si="4"/>
        <v>45.527798059967203</v>
      </c>
      <c r="F11" s="11">
        <f t="shared" si="4"/>
        <v>48.81532786333927</v>
      </c>
      <c r="G11" s="200">
        <f t="shared" si="11"/>
        <v>2.6851049997569376E-2</v>
      </c>
      <c r="H11" s="11"/>
      <c r="I11" s="10" t="str">
        <f>name!E7</f>
        <v>Administrative and secretarial occupations</v>
      </c>
      <c r="J11" s="11">
        <v>251.95376092648075</v>
      </c>
      <c r="K11" s="11">
        <v>216.75443729533276</v>
      </c>
      <c r="L11" s="11">
        <v>-35.19932363114799</v>
      </c>
      <c r="M11" s="11">
        <v>117.84888330361139</v>
      </c>
      <c r="N11" s="11">
        <v>82.649559672463397</v>
      </c>
      <c r="O11" s="11"/>
      <c r="P11" s="10" t="str">
        <f>name!D8</f>
        <v>23 Teaching and other educational professionals</v>
      </c>
      <c r="Q11" s="11">
        <v>34.980558639345006</v>
      </c>
      <c r="R11" s="11">
        <v>37.205673679189239</v>
      </c>
      <c r="S11" s="342">
        <f t="shared" si="5"/>
        <v>2.2251150398442334</v>
      </c>
      <c r="T11" s="342">
        <v>15.190182461858164</v>
      </c>
      <c r="U11" s="342">
        <f t="shared" si="6"/>
        <v>17.415297501702398</v>
      </c>
      <c r="V11" s="343">
        <f t="shared" si="7"/>
        <v>2.4333992544662175E-2</v>
      </c>
      <c r="W11" s="343"/>
      <c r="X11" s="10" t="str">
        <f>name!A8</f>
        <v>Textiles</v>
      </c>
      <c r="Y11" s="10">
        <v>11.633000000033537</v>
      </c>
      <c r="Z11" s="10">
        <v>8.7440000000142906</v>
      </c>
      <c r="AA11" s="342">
        <f t="shared" si="8"/>
        <v>-2.8890000000192462</v>
      </c>
      <c r="AB11" s="10">
        <v>4.3116009284603116</v>
      </c>
      <c r="AC11" s="342">
        <f t="shared" si="9"/>
        <v>1.4226009284410654</v>
      </c>
      <c r="AD11" s="343">
        <f t="shared" si="10"/>
        <v>2.1240732363558168E-2</v>
      </c>
    </row>
    <row r="12" spans="1:30" x14ac:dyDescent="0.2">
      <c r="A12" s="10" t="str">
        <f>name!D9</f>
        <v>24 Business, media and public service professionals</v>
      </c>
      <c r="B12" s="11">
        <f t="shared" si="4"/>
        <v>158.37692219613342</v>
      </c>
      <c r="C12" s="11">
        <f t="shared" si="4"/>
        <v>198.8229778387819</v>
      </c>
      <c r="D12" s="11">
        <f t="shared" si="4"/>
        <v>40.446055642648432</v>
      </c>
      <c r="E12" s="11">
        <f t="shared" si="4"/>
        <v>87.049016226875779</v>
      </c>
      <c r="F12" s="11">
        <f t="shared" si="4"/>
        <v>127.49507186952421</v>
      </c>
      <c r="G12" s="200">
        <f t="shared" si="11"/>
        <v>2.9631697765867937E-2</v>
      </c>
      <c r="H12" s="11"/>
      <c r="I12" s="10" t="str">
        <f>name!E8</f>
        <v>Skilled trades occupations</v>
      </c>
      <c r="J12" s="11">
        <v>208.8051550287191</v>
      </c>
      <c r="K12" s="11">
        <v>189.72476518084503</v>
      </c>
      <c r="L12" s="11">
        <v>-19.080389847874027</v>
      </c>
      <c r="M12" s="11">
        <v>84.471796903618184</v>
      </c>
      <c r="N12" s="11">
        <v>65.391407055744168</v>
      </c>
      <c r="O12" s="11"/>
      <c r="P12" s="10" t="str">
        <f>name!D9</f>
        <v>24 Business, media and public service professionals</v>
      </c>
      <c r="Q12" s="11">
        <v>84.60129460733441</v>
      </c>
      <c r="R12" s="11">
        <v>103.09883041813268</v>
      </c>
      <c r="S12" s="342">
        <f t="shared" si="5"/>
        <v>18.497535810798269</v>
      </c>
      <c r="T12" s="342">
        <v>40.350263275775077</v>
      </c>
      <c r="U12" s="342">
        <f t="shared" si="6"/>
        <v>58.847799086573346</v>
      </c>
      <c r="V12" s="343">
        <f t="shared" si="7"/>
        <v>2.6339344377215745E-2</v>
      </c>
      <c r="W12" s="343"/>
      <c r="X12" s="10" t="str">
        <f>name!A9</f>
        <v>Wearing apparel; Leather, etc</v>
      </c>
      <c r="Y12" s="10">
        <v>16.072000000114091</v>
      </c>
      <c r="Z12" s="10">
        <v>12.205000000008331</v>
      </c>
      <c r="AA12" s="342">
        <f t="shared" si="8"/>
        <v>-3.8670000001057598</v>
      </c>
      <c r="AB12" s="10">
        <v>6.4864793198229593</v>
      </c>
      <c r="AC12" s="342">
        <f t="shared" si="9"/>
        <v>2.6194793197171995</v>
      </c>
      <c r="AD12" s="343">
        <f t="shared" si="10"/>
        <v>2.2859523529122905E-2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4"/>
        <v>48.89644134777344</v>
      </c>
      <c r="C13" s="11">
        <f t="shared" si="4"/>
        <v>45.13696395691035</v>
      </c>
      <c r="D13" s="11">
        <f t="shared" si="4"/>
        <v>-3.7594773908630921</v>
      </c>
      <c r="E13" s="11">
        <f t="shared" si="4"/>
        <v>17.667630787870941</v>
      </c>
      <c r="F13" s="11">
        <f t="shared" si="4"/>
        <v>13.908153397007847</v>
      </c>
      <c r="G13" s="200">
        <f t="shared" si="11"/>
        <v>2.0776920019178968E-2</v>
      </c>
      <c r="H13" s="11"/>
      <c r="I13" s="10" t="str">
        <f>name!E9</f>
        <v>Caring, leisure and other service occupations</v>
      </c>
      <c r="J13" s="11">
        <v>256.70113447063716</v>
      </c>
      <c r="K13" s="11">
        <v>292.00776633195517</v>
      </c>
      <c r="L13" s="11">
        <v>35.306631861318031</v>
      </c>
      <c r="M13" s="11">
        <v>150.75988517089675</v>
      </c>
      <c r="N13" s="11">
        <v>186.06651703221479</v>
      </c>
      <c r="O13" s="11"/>
      <c r="P13" s="10" t="str">
        <f>name!D10</f>
        <v>31 Science, engineering and technology associate professionals</v>
      </c>
      <c r="Q13" s="11">
        <v>36.295559497899667</v>
      </c>
      <c r="R13" s="11">
        <v>29.935624044277777</v>
      </c>
      <c r="S13" s="342">
        <f t="shared" si="5"/>
        <v>-6.3599354536218904</v>
      </c>
      <c r="T13" s="342">
        <v>10.877562288707981</v>
      </c>
      <c r="U13" s="342">
        <f t="shared" si="6"/>
        <v>4.5176268350860909</v>
      </c>
      <c r="V13" s="343">
        <f t="shared" si="7"/>
        <v>1.7628843721452014E-2</v>
      </c>
      <c r="W13" s="343"/>
      <c r="X13" s="10" t="str">
        <f>name!A10</f>
        <v xml:space="preserve">Wood and cork </v>
      </c>
      <c r="Y13" s="10">
        <v>12.011000000005378</v>
      </c>
      <c r="Z13" s="10">
        <v>10.210999999997195</v>
      </c>
      <c r="AA13" s="342">
        <f t="shared" si="8"/>
        <v>-1.8000000000081826</v>
      </c>
      <c r="AB13" s="10">
        <v>4.65993029668451</v>
      </c>
      <c r="AC13" s="342">
        <f t="shared" si="9"/>
        <v>2.8599302966763274</v>
      </c>
      <c r="AD13" s="343">
        <f t="shared" si="10"/>
        <v>2.2096837626090604E-2</v>
      </c>
    </row>
    <row r="14" spans="1:30" x14ac:dyDescent="0.2">
      <c r="A14" s="10" t="str">
        <f>name!D11</f>
        <v>32 Health and social care associate professionals</v>
      </c>
      <c r="B14" s="11">
        <f t="shared" si="4"/>
        <v>43.808538911689041</v>
      </c>
      <c r="C14" s="11">
        <f t="shared" si="4"/>
        <v>48.614831201773598</v>
      </c>
      <c r="D14" s="11">
        <f t="shared" si="4"/>
        <v>4.8062922900845528</v>
      </c>
      <c r="E14" s="11">
        <f t="shared" si="4"/>
        <v>26.020619670849925</v>
      </c>
      <c r="F14" s="11">
        <f t="shared" si="4"/>
        <v>30.826911960934474</v>
      </c>
      <c r="G14" s="200">
        <f t="shared" si="11"/>
        <v>3.1569602028901134E-2</v>
      </c>
      <c r="H14" s="11"/>
      <c r="I14" s="10" t="str">
        <f>name!E10</f>
        <v>Sales and customer service occupations</v>
      </c>
      <c r="J14" s="11">
        <v>198.18210564551723</v>
      </c>
      <c r="K14" s="11">
        <v>197.03104084334419</v>
      </c>
      <c r="L14" s="11">
        <v>-1.1510648021730603</v>
      </c>
      <c r="M14" s="11">
        <v>92.836044567260217</v>
      </c>
      <c r="N14" s="11">
        <v>91.684979765087149</v>
      </c>
      <c r="O14" s="11"/>
      <c r="P14" s="10" t="str">
        <f>name!D11</f>
        <v>32 Health and social care associate professionals</v>
      </c>
      <c r="Q14" s="11">
        <v>9.1755710419557968</v>
      </c>
      <c r="R14" s="11">
        <v>8.7810621457504023</v>
      </c>
      <c r="S14" s="342">
        <f t="shared" si="5"/>
        <v>-0.39450889620539442</v>
      </c>
      <c r="T14" s="342">
        <v>3.9905924937348956</v>
      </c>
      <c r="U14" s="342">
        <f t="shared" si="6"/>
        <v>3.5960835975295011</v>
      </c>
      <c r="V14" s="343">
        <f t="shared" si="7"/>
        <v>2.4365813540514036E-2</v>
      </c>
      <c r="W14" s="343"/>
      <c r="X14" s="10" t="str">
        <f>name!A11</f>
        <v>Paper, etc</v>
      </c>
      <c r="Y14" s="10">
        <v>8.800000000041079</v>
      </c>
      <c r="Z14" s="10">
        <v>7.6040000000445405</v>
      </c>
      <c r="AA14" s="342">
        <f t="shared" si="8"/>
        <v>-1.1959999999965385</v>
      </c>
      <c r="AB14" s="10">
        <v>3.3192585262876735</v>
      </c>
      <c r="AC14" s="342">
        <f t="shared" si="9"/>
        <v>2.123258526291135</v>
      </c>
      <c r="AD14" s="343">
        <f t="shared" si="10"/>
        <v>2.1565517736815698E-2</v>
      </c>
    </row>
    <row r="15" spans="1:30" x14ac:dyDescent="0.2">
      <c r="A15" s="10" t="str">
        <f>name!D12</f>
        <v>33 Protective service occupations</v>
      </c>
      <c r="B15" s="11">
        <f t="shared" si="4"/>
        <v>26.423145140330902</v>
      </c>
      <c r="C15" s="11">
        <f t="shared" si="4"/>
        <v>36.657574622558542</v>
      </c>
      <c r="D15" s="11">
        <f t="shared" si="4"/>
        <v>10.234429482227632</v>
      </c>
      <c r="E15" s="11">
        <f t="shared" si="4"/>
        <v>10.757800423523411</v>
      </c>
      <c r="F15" s="11">
        <f t="shared" si="4"/>
        <v>20.992229905751042</v>
      </c>
      <c r="G15" s="200">
        <f t="shared" si="11"/>
        <v>2.3031629845501556E-2</v>
      </c>
      <c r="H15" s="11"/>
      <c r="I15" s="10" t="str">
        <f>name!E11</f>
        <v>Process, plant and machine operatives</v>
      </c>
      <c r="J15" s="11">
        <v>188.1477013062655</v>
      </c>
      <c r="K15" s="11">
        <v>206.19030032586406</v>
      </c>
      <c r="L15" s="11">
        <v>18.042599019598555</v>
      </c>
      <c r="M15" s="11">
        <v>96.092076438957406</v>
      </c>
      <c r="N15" s="11">
        <v>114.13467545855596</v>
      </c>
      <c r="O15" s="11"/>
      <c r="P15" s="10" t="str">
        <f>name!D12</f>
        <v>33 Protective service occupations</v>
      </c>
      <c r="Q15" s="11">
        <v>21.126362730140482</v>
      </c>
      <c r="R15" s="11">
        <v>26.961241231375908</v>
      </c>
      <c r="S15" s="342">
        <f t="shared" si="5"/>
        <v>5.8348785012354263</v>
      </c>
      <c r="T15" s="342">
        <v>6.9931905330560635</v>
      </c>
      <c r="U15" s="342">
        <f t="shared" si="6"/>
        <v>12.82806903429149</v>
      </c>
      <c r="V15" s="343">
        <f t="shared" si="7"/>
        <v>1.9245757221702187E-2</v>
      </c>
      <c r="W15" s="343"/>
      <c r="X15" s="10" t="str">
        <f>name!A12</f>
        <v>Printing and recording</v>
      </c>
      <c r="Y15" s="10">
        <v>7.7610000000053425</v>
      </c>
      <c r="Z15" s="10">
        <v>6.1350000000008409</v>
      </c>
      <c r="AA15" s="342">
        <f t="shared" si="8"/>
        <v>-1.6260000000045016</v>
      </c>
      <c r="AB15" s="10">
        <v>3.0408375699137622</v>
      </c>
      <c r="AC15" s="342">
        <f t="shared" si="9"/>
        <v>1.4148375699092606</v>
      </c>
      <c r="AD15" s="343">
        <f t="shared" si="10"/>
        <v>2.228502078639627E-2</v>
      </c>
    </row>
    <row r="16" spans="1:30" x14ac:dyDescent="0.2">
      <c r="A16" s="10" t="str">
        <f>name!D13</f>
        <v>34 Culture, media and sports occupations</v>
      </c>
      <c r="B16" s="11">
        <f t="shared" si="4"/>
        <v>32.531561760617208</v>
      </c>
      <c r="C16" s="11">
        <f t="shared" si="4"/>
        <v>32.441602341529041</v>
      </c>
      <c r="D16" s="11">
        <f t="shared" si="4"/>
        <v>-8.9959419088171733E-2</v>
      </c>
      <c r="E16" s="11">
        <f t="shared" si="4"/>
        <v>14.044958436257886</v>
      </c>
      <c r="F16" s="11">
        <f t="shared" si="4"/>
        <v>13.954999017169714</v>
      </c>
      <c r="G16" s="200">
        <f t="shared" si="11"/>
        <v>2.421423687719626E-2</v>
      </c>
      <c r="H16" s="11"/>
      <c r="I16" s="10" t="str">
        <f>name!E12</f>
        <v>Elementary occupations</v>
      </c>
      <c r="J16" s="11">
        <v>249.99178056878645</v>
      </c>
      <c r="K16" s="11">
        <v>226.9411238834177</v>
      </c>
      <c r="L16" s="11">
        <v>-23.050656685368793</v>
      </c>
      <c r="M16" s="11">
        <v>109.42671001028992</v>
      </c>
      <c r="N16" s="11">
        <v>86.376053324921145</v>
      </c>
      <c r="O16" s="11"/>
      <c r="P16" s="10" t="str">
        <f>name!D13</f>
        <v>34 Culture, media and sports occupations</v>
      </c>
      <c r="Q16" s="11">
        <v>16.435728972029647</v>
      </c>
      <c r="R16" s="11">
        <v>16.262260401930249</v>
      </c>
      <c r="S16" s="342">
        <f t="shared" si="5"/>
        <v>-0.17346857009939853</v>
      </c>
      <c r="T16" s="342">
        <v>6.1424054654681566</v>
      </c>
      <c r="U16" s="342">
        <f t="shared" si="6"/>
        <v>5.968936895368758</v>
      </c>
      <c r="V16" s="343">
        <f t="shared" si="7"/>
        <v>2.1393929206062534E-2</v>
      </c>
      <c r="W16" s="343"/>
      <c r="X16" s="10" t="str">
        <f>name!A13</f>
        <v>Coke and petroleum; Chemicals, etc</v>
      </c>
      <c r="Y16" s="10">
        <v>6.5379999999803227</v>
      </c>
      <c r="Z16" s="10">
        <v>6.9730000000054346</v>
      </c>
      <c r="AA16" s="342">
        <f t="shared" si="8"/>
        <v>0.43500000002511197</v>
      </c>
      <c r="AB16" s="10">
        <v>2.9830671543331717</v>
      </c>
      <c r="AC16" s="342">
        <f t="shared" si="9"/>
        <v>3.4180671543582837</v>
      </c>
      <c r="AD16" s="343">
        <f t="shared" si="10"/>
        <v>2.5374975401367017E-2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2">SUM(B46,B75,B104,B133,B162,B191,B220,B249,B278)</f>
        <v>141.70159177372176</v>
      </c>
      <c r="C17" s="11">
        <f t="shared" si="12"/>
        <v>140.96475258733642</v>
      </c>
      <c r="D17" s="11">
        <f t="shared" si="12"/>
        <v>-0.7368391863853041</v>
      </c>
      <c r="E17" s="11">
        <f t="shared" si="12"/>
        <v>62.706701231859604</v>
      </c>
      <c r="F17" s="11">
        <f t="shared" si="12"/>
        <v>61.969862045474287</v>
      </c>
      <c r="G17" s="200">
        <f t="shared" si="11"/>
        <v>2.4727171821054217E-2</v>
      </c>
      <c r="H17" s="11"/>
      <c r="O17" s="11"/>
      <c r="P17" s="10" t="str">
        <f>name!D14</f>
        <v>35 Business and public service associate professionals</v>
      </c>
      <c r="Q17" s="11">
        <v>77.624576067753011</v>
      </c>
      <c r="R17" s="11">
        <v>70.693486556350322</v>
      </c>
      <c r="S17" s="342">
        <f t="shared" si="5"/>
        <v>-6.9310895114026891</v>
      </c>
      <c r="T17" s="342">
        <v>27.365428233266812</v>
      </c>
      <c r="U17" s="342">
        <f t="shared" si="6"/>
        <v>20.434338721864123</v>
      </c>
      <c r="V17" s="343">
        <f t="shared" si="7"/>
        <v>2.0336088244644612E-2</v>
      </c>
      <c r="W17" s="343"/>
      <c r="X17" s="10" t="str">
        <f>name!A14</f>
        <v>Pharmaceuticals</v>
      </c>
      <c r="Y17" s="10">
        <v>2.8139999999869394</v>
      </c>
      <c r="Z17" s="10">
        <v>2.3570000000118352</v>
      </c>
      <c r="AA17" s="342">
        <f t="shared" si="8"/>
        <v>-0.45699999997510421</v>
      </c>
      <c r="AB17" s="10">
        <v>1.1727627759847168</v>
      </c>
      <c r="AC17" s="342">
        <f t="shared" si="9"/>
        <v>0.71576277600961258</v>
      </c>
      <c r="AD17" s="343">
        <f t="shared" si="10"/>
        <v>2.349663724669071E-2</v>
      </c>
    </row>
    <row r="18" spans="1:30" x14ac:dyDescent="0.2">
      <c r="A18" s="10" t="str">
        <f>name!D15</f>
        <v>41 Administrative occupations</v>
      </c>
      <c r="B18" s="11">
        <f t="shared" si="12"/>
        <v>206.87406474545995</v>
      </c>
      <c r="C18" s="11">
        <f t="shared" si="12"/>
        <v>179.2538358868409</v>
      </c>
      <c r="D18" s="11">
        <f t="shared" si="12"/>
        <v>-27.620228858619058</v>
      </c>
      <c r="E18" s="11">
        <f t="shared" si="12"/>
        <v>94.84869629859179</v>
      </c>
      <c r="F18" s="11">
        <f t="shared" si="12"/>
        <v>67.228467439972732</v>
      </c>
      <c r="G18" s="200">
        <f t="shared" si="11"/>
        <v>2.5479071997570379E-2</v>
      </c>
      <c r="H18" s="11"/>
      <c r="I18" s="86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53.745299190281344</v>
      </c>
      <c r="R18" s="11">
        <v>53.329325320412913</v>
      </c>
      <c r="S18" s="342">
        <f t="shared" si="5"/>
        <v>-0.41597386986843077</v>
      </c>
      <c r="T18" s="342">
        <v>18.771129522961214</v>
      </c>
      <c r="U18" s="342">
        <f t="shared" si="6"/>
        <v>18.355155653092783</v>
      </c>
      <c r="V18" s="343">
        <f t="shared" si="7"/>
        <v>2.0171205960035632E-2</v>
      </c>
      <c r="W18" s="343"/>
      <c r="X18" s="10" t="str">
        <f>name!A15</f>
        <v>Rubber and plastic</v>
      </c>
      <c r="Y18" s="10">
        <v>20.843000000052729</v>
      </c>
      <c r="Z18" s="10">
        <v>16.313000000070783</v>
      </c>
      <c r="AA18" s="342">
        <f t="shared" si="8"/>
        <v>-4.5299999999819462</v>
      </c>
      <c r="AB18" s="10">
        <v>7.5618470653611647</v>
      </c>
      <c r="AC18" s="342">
        <f t="shared" si="9"/>
        <v>3.0318470653792184</v>
      </c>
      <c r="AD18" s="343">
        <f t="shared" si="10"/>
        <v>2.0850506168774485E-2</v>
      </c>
    </row>
    <row r="19" spans="1:30" x14ac:dyDescent="0.2">
      <c r="A19" s="10" t="str">
        <f>name!D16</f>
        <v>42 Secretarial and related occupations</v>
      </c>
      <c r="B19" s="11">
        <f t="shared" si="12"/>
        <v>45.0796961810208</v>
      </c>
      <c r="C19" s="11">
        <f t="shared" si="12"/>
        <v>37.500601408491875</v>
      </c>
      <c r="D19" s="11">
        <f t="shared" si="12"/>
        <v>-7.5790947725289293</v>
      </c>
      <c r="E19" s="11">
        <f t="shared" si="12"/>
        <v>23.000187005019598</v>
      </c>
      <c r="F19" s="11">
        <f t="shared" si="12"/>
        <v>15.421092232490667</v>
      </c>
      <c r="G19" s="200">
        <f t="shared" si="11"/>
        <v>2.7864471475386177E-2</v>
      </c>
      <c r="H19" s="11"/>
      <c r="I19" s="11" t="str">
        <f t="shared" ref="I19:I27" si="13">I8</f>
        <v>Managers, directors and senior officials</v>
      </c>
      <c r="J19" s="11">
        <f t="array" ref="J19:J27">MMULT(aggregation!$B$38:$AA$46,B36:B61)</f>
        <v>3.0398786286027764</v>
      </c>
      <c r="K19" s="11">
        <f t="array" ref="K19:K27">MMULT(aggregation!$B$38:$AA$46,C36:C61)</f>
        <v>5.1055835914796894</v>
      </c>
      <c r="L19" s="11">
        <f t="array" ref="L19:L27">MMULT(aggregation!$B$38:$AA$46,D36:D61)</f>
        <v>2.0657049628769126</v>
      </c>
      <c r="M19" s="11">
        <f t="array" ref="M19:M27">MMULT(aggregation!$B$38:$AA$46,E36:E61)</f>
        <v>2.1568592357904732</v>
      </c>
      <c r="N19" s="11">
        <f t="array" ref="N19:N27">MMULT(aggregation!$B$38:$AA$46,F36:F61)</f>
        <v>4.2225641986673859</v>
      </c>
      <c r="O19" s="11"/>
      <c r="P19" s="10" t="str">
        <f>name!D16</f>
        <v>42 Secretarial and related occupations</v>
      </c>
      <c r="Q19" s="11">
        <v>3.0453622577042538</v>
      </c>
      <c r="R19" s="11">
        <v>4.5367883644284062</v>
      </c>
      <c r="S19" s="342">
        <f t="shared" si="5"/>
        <v>1.4914261067241523</v>
      </c>
      <c r="T19" s="342">
        <v>1.2735757691778893</v>
      </c>
      <c r="U19" s="342">
        <f t="shared" si="6"/>
        <v>2.7650018759020414</v>
      </c>
      <c r="V19" s="343">
        <f t="shared" si="7"/>
        <v>2.3566037736491463E-2</v>
      </c>
      <c r="W19" s="343"/>
      <c r="X19" s="10" t="str">
        <f>name!A16</f>
        <v>Other non-metallic</v>
      </c>
      <c r="Y19" s="10">
        <v>15.198000000055742</v>
      </c>
      <c r="Z19" s="10">
        <v>11.86400000008126</v>
      </c>
      <c r="AA19" s="342">
        <f t="shared" si="8"/>
        <v>-3.3339999999744823</v>
      </c>
      <c r="AB19" s="10">
        <v>5.7361449197856258</v>
      </c>
      <c r="AC19" s="342">
        <f t="shared" si="9"/>
        <v>2.4021449198111435</v>
      </c>
      <c r="AD19" s="343">
        <f t="shared" si="10"/>
        <v>2.1577343057732623E-2</v>
      </c>
    </row>
    <row r="20" spans="1:30" x14ac:dyDescent="0.2">
      <c r="A20" s="10" t="str">
        <f>name!D17</f>
        <v>51 Skilled agricultural and related trades</v>
      </c>
      <c r="B20" s="11">
        <f t="shared" si="12"/>
        <v>34.109425717301704</v>
      </c>
      <c r="C20" s="11">
        <f t="shared" si="12"/>
        <v>33.275569710912215</v>
      </c>
      <c r="D20" s="11">
        <f t="shared" si="12"/>
        <v>-0.83385600638949198</v>
      </c>
      <c r="E20" s="11">
        <f t="shared" si="12"/>
        <v>18.180032725110316</v>
      </c>
      <c r="F20" s="11">
        <f t="shared" si="12"/>
        <v>17.346176718720823</v>
      </c>
      <c r="G20" s="200">
        <f t="shared" si="11"/>
        <v>2.8890875429499863E-2</v>
      </c>
      <c r="H20" s="11"/>
      <c r="I20" s="11" t="str">
        <f t="shared" si="13"/>
        <v>Professional occupations</v>
      </c>
      <c r="J20" s="11">
        <v>22.475807812956088</v>
      </c>
      <c r="K20" s="11">
        <v>34.067969320436234</v>
      </c>
      <c r="L20" s="11">
        <v>11.592161507480142</v>
      </c>
      <c r="M20" s="11">
        <v>12.600274780313093</v>
      </c>
      <c r="N20" s="11">
        <v>24.192436287793235</v>
      </c>
      <c r="O20" s="11"/>
      <c r="P20" s="10" t="str">
        <f>name!D17</f>
        <v>51 Skilled agricultural and related trades</v>
      </c>
      <c r="Q20" s="11">
        <v>26.314048065727686</v>
      </c>
      <c r="R20" s="11">
        <v>24.068183302777985</v>
      </c>
      <c r="S20" s="342">
        <f t="shared" si="5"/>
        <v>-2.2458647629497008</v>
      </c>
      <c r="T20" s="342">
        <v>12.20902685560573</v>
      </c>
      <c r="U20" s="342">
        <f t="shared" si="6"/>
        <v>9.9631620926560291</v>
      </c>
      <c r="V20" s="343">
        <f t="shared" si="7"/>
        <v>2.5735891363670049E-2</v>
      </c>
      <c r="W20" s="343"/>
      <c r="X20" s="10" t="str">
        <f>name!A17</f>
        <v>Basic metals</v>
      </c>
      <c r="Y20" s="10">
        <v>4.2290000000123538</v>
      </c>
      <c r="Z20" s="10">
        <v>3.6340000000294173</v>
      </c>
      <c r="AA20" s="342">
        <f t="shared" si="8"/>
        <v>-0.59499999998293651</v>
      </c>
      <c r="AB20" s="10">
        <v>1.5999983477280058</v>
      </c>
      <c r="AC20" s="342">
        <f t="shared" si="9"/>
        <v>1.0049983477450692</v>
      </c>
      <c r="AD20" s="343">
        <f t="shared" si="10"/>
        <v>2.1622423076964603E-2</v>
      </c>
    </row>
    <row r="21" spans="1:30" x14ac:dyDescent="0.2">
      <c r="A21" s="10" t="str">
        <f>name!D18</f>
        <v>52 Skilled metal, electrical and electronic trades</v>
      </c>
      <c r="B21" s="11">
        <f t="shared" si="12"/>
        <v>86.576735172954358</v>
      </c>
      <c r="C21" s="11">
        <f t="shared" si="12"/>
        <v>78.437017532423198</v>
      </c>
      <c r="D21" s="11">
        <f t="shared" si="12"/>
        <v>-8.1397176405311491</v>
      </c>
      <c r="E21" s="11">
        <f t="shared" si="12"/>
        <v>31.246997252450168</v>
      </c>
      <c r="F21" s="11">
        <f t="shared" si="12"/>
        <v>23.107279611919022</v>
      </c>
      <c r="G21" s="200">
        <f t="shared" si="11"/>
        <v>2.0756384053377097E-2</v>
      </c>
      <c r="H21" s="11"/>
      <c r="I21" s="11" t="str">
        <f t="shared" si="13"/>
        <v>Associate professional occupations</v>
      </c>
      <c r="J21" s="11">
        <v>3.017315805753666</v>
      </c>
      <c r="K21" s="11">
        <v>4.9855947696663714</v>
      </c>
      <c r="L21" s="11">
        <v>1.9682789639127054</v>
      </c>
      <c r="M21" s="11">
        <v>1.7941914599980111</v>
      </c>
      <c r="N21" s="11">
        <v>3.7624704239107167</v>
      </c>
      <c r="O21" s="11"/>
      <c r="P21" s="10" t="str">
        <f>name!D18</f>
        <v>52 Skilled metal, electrical and electronic trades</v>
      </c>
      <c r="Q21" s="11">
        <v>84.798483412384755</v>
      </c>
      <c r="R21" s="11">
        <v>73.345550104969078</v>
      </c>
      <c r="S21" s="342">
        <f t="shared" si="5"/>
        <v>-11.452933307415677</v>
      </c>
      <c r="T21" s="342">
        <v>28.967894132034807</v>
      </c>
      <c r="U21" s="342">
        <f t="shared" si="6"/>
        <v>17.514960824619131</v>
      </c>
      <c r="V21" s="343">
        <f t="shared" si="7"/>
        <v>1.9784459926415865E-2</v>
      </c>
      <c r="W21" s="343"/>
      <c r="X21" s="10" t="str">
        <f>name!A18</f>
        <v>Metal products</v>
      </c>
      <c r="Y21" s="10">
        <v>28.706000000021962</v>
      </c>
      <c r="Z21" s="10">
        <v>24.529000000071957</v>
      </c>
      <c r="AA21" s="342">
        <f t="shared" si="8"/>
        <v>-4.1769999999500058</v>
      </c>
      <c r="AB21" s="10">
        <v>10.840694927570627</v>
      </c>
      <c r="AC21" s="342">
        <f t="shared" si="9"/>
        <v>6.6636949276206217</v>
      </c>
      <c r="AD21" s="343">
        <f t="shared" si="10"/>
        <v>2.1588120740175798E-2</v>
      </c>
    </row>
    <row r="22" spans="1:30" x14ac:dyDescent="0.2">
      <c r="A22" s="10" t="str">
        <f>name!D19</f>
        <v>53 Skilled construction and building trades</v>
      </c>
      <c r="B22" s="11">
        <f t="shared" si="12"/>
        <v>49.830413162678781</v>
      </c>
      <c r="C22" s="11">
        <f t="shared" si="12"/>
        <v>44.458264470819756</v>
      </c>
      <c r="D22" s="11">
        <f t="shared" si="12"/>
        <v>-5.3721486918590182</v>
      </c>
      <c r="E22" s="11">
        <f t="shared" si="12"/>
        <v>19.905132700143348</v>
      </c>
      <c r="F22" s="11">
        <f t="shared" si="12"/>
        <v>14.532984008284327</v>
      </c>
      <c r="G22" s="200">
        <f t="shared" si="11"/>
        <v>2.2658536171511479E-2</v>
      </c>
      <c r="H22" s="11"/>
      <c r="I22" s="11" t="str">
        <f t="shared" si="13"/>
        <v>Administrative and secretarial occupations</v>
      </c>
      <c r="J22" s="11">
        <v>1.0339214629615547</v>
      </c>
      <c r="K22" s="11">
        <v>1.8103849619349373</v>
      </c>
      <c r="L22" s="11">
        <v>0.77646349897338252</v>
      </c>
      <c r="M22" s="11">
        <v>0.69345503171498091</v>
      </c>
      <c r="N22" s="11">
        <v>1.4699185306883633</v>
      </c>
      <c r="O22" s="11"/>
      <c r="P22" s="10" t="str">
        <f>name!D19</f>
        <v>53 Skilled construction and building trades</v>
      </c>
      <c r="Q22" s="11">
        <v>49.141726168841778</v>
      </c>
      <c r="R22" s="11">
        <v>43.681252199402415</v>
      </c>
      <c r="S22" s="342">
        <f t="shared" si="5"/>
        <v>-5.4604739694393629</v>
      </c>
      <c r="T22" s="342">
        <v>19.529727499607208</v>
      </c>
      <c r="U22" s="342">
        <f t="shared" si="6"/>
        <v>14.069253530167845</v>
      </c>
      <c r="V22" s="343">
        <f t="shared" si="7"/>
        <v>2.2559031531505402E-2</v>
      </c>
      <c r="W22" s="343"/>
      <c r="X22" s="10" t="str">
        <f>name!A19</f>
        <v>Computer, etc</v>
      </c>
      <c r="Y22" s="10">
        <v>6.7219999999784932</v>
      </c>
      <c r="Z22" s="10">
        <v>4.4880000000014642</v>
      </c>
      <c r="AA22" s="342">
        <f t="shared" si="8"/>
        <v>-2.233999999977029</v>
      </c>
      <c r="AB22" s="10">
        <v>2.3358625719889883</v>
      </c>
      <c r="AC22" s="342">
        <f t="shared" si="9"/>
        <v>0.10186257201195925</v>
      </c>
      <c r="AD22" s="343">
        <f t="shared" si="10"/>
        <v>2.0082149638320335E-2</v>
      </c>
    </row>
    <row r="23" spans="1:30" x14ac:dyDescent="0.2">
      <c r="A23" s="10" t="str">
        <f>name!D20</f>
        <v>54 Textiles, printing and other skilled trades</v>
      </c>
      <c r="B23" s="11">
        <f t="shared" si="12"/>
        <v>38.288580975784235</v>
      </c>
      <c r="C23" s="11">
        <f t="shared" si="12"/>
        <v>33.55391346668987</v>
      </c>
      <c r="D23" s="11">
        <f t="shared" si="12"/>
        <v>-4.7346675090943684</v>
      </c>
      <c r="E23" s="11">
        <f t="shared" si="12"/>
        <v>15.139634225914367</v>
      </c>
      <c r="F23" s="11">
        <f t="shared" si="12"/>
        <v>10.404966716819999</v>
      </c>
      <c r="G23" s="200">
        <f t="shared" si="11"/>
        <v>2.246101909492304E-2</v>
      </c>
      <c r="H23" s="11"/>
      <c r="I23" s="11" t="str">
        <f t="shared" si="13"/>
        <v>Skilled trades occupations</v>
      </c>
      <c r="J23" s="11">
        <v>0.30955046312413803</v>
      </c>
      <c r="K23" s="11">
        <v>0.54703964029617325</v>
      </c>
      <c r="L23" s="11">
        <v>0.23748917717203527</v>
      </c>
      <c r="M23" s="11">
        <v>0.21281689830234091</v>
      </c>
      <c r="N23" s="11">
        <v>0.45030607547437618</v>
      </c>
      <c r="O23" s="11"/>
      <c r="P23" s="10" t="str">
        <f>name!D20</f>
        <v>54 Textiles, printing and other skilled trades</v>
      </c>
      <c r="Q23" s="11">
        <v>20.673349325667296</v>
      </c>
      <c r="R23" s="11">
        <v>17.762813545552557</v>
      </c>
      <c r="S23" s="342">
        <f t="shared" si="5"/>
        <v>-2.9105357801147385</v>
      </c>
      <c r="T23" s="342">
        <v>5.9735588439446889</v>
      </c>
      <c r="U23" s="342">
        <f t="shared" si="6"/>
        <v>3.0630230638299505</v>
      </c>
      <c r="V23" s="343">
        <f t="shared" si="7"/>
        <v>1.7065834110895572E-2</v>
      </c>
      <c r="W23" s="343"/>
      <c r="X23" s="10" t="str">
        <f>name!A20</f>
        <v>Electrical equipment</v>
      </c>
      <c r="Y23" s="10">
        <v>4.3179999999976992</v>
      </c>
      <c r="Z23" s="10">
        <v>3.5050000000015364</v>
      </c>
      <c r="AA23" s="342">
        <f t="shared" si="8"/>
        <v>-0.81299999999616279</v>
      </c>
      <c r="AB23" s="10">
        <v>1.6464794479207008</v>
      </c>
      <c r="AC23" s="342">
        <f t="shared" si="9"/>
        <v>0.83347944792453799</v>
      </c>
      <c r="AD23" s="343">
        <f t="shared" si="10"/>
        <v>2.1768854865522824E-2</v>
      </c>
    </row>
    <row r="24" spans="1:30" x14ac:dyDescent="0.2">
      <c r="A24" s="10" t="str">
        <f>name!D21</f>
        <v>61 Caring personal service occupations</v>
      </c>
      <c r="B24" s="11">
        <f t="shared" si="12"/>
        <v>195.15909339215079</v>
      </c>
      <c r="C24" s="11">
        <f t="shared" si="12"/>
        <v>229.27082671852767</v>
      </c>
      <c r="D24" s="11">
        <f t="shared" si="12"/>
        <v>34.111733326376836</v>
      </c>
      <c r="E24" s="11">
        <f t="shared" si="12"/>
        <v>119.79652790533851</v>
      </c>
      <c r="F24" s="11">
        <f t="shared" si="12"/>
        <v>153.90826123171536</v>
      </c>
      <c r="G24" s="200">
        <f t="shared" si="11"/>
        <v>3.2422287810036865E-2</v>
      </c>
      <c r="H24" s="11"/>
      <c r="I24" s="11" t="str">
        <f t="shared" si="13"/>
        <v>Caring, leisure and other service occupations</v>
      </c>
      <c r="J24" s="11">
        <v>0.18196121721749453</v>
      </c>
      <c r="K24" s="11">
        <v>0.39627228779958235</v>
      </c>
      <c r="L24" s="11">
        <v>0.21431107058208784</v>
      </c>
      <c r="M24" s="11">
        <v>0.14860533568267661</v>
      </c>
      <c r="N24" s="11">
        <v>0.36291640626476446</v>
      </c>
      <c r="O24" s="11"/>
      <c r="P24" s="10" t="str">
        <f>name!D21</f>
        <v>61 Caring personal service occupations</v>
      </c>
      <c r="Q24" s="11">
        <v>29.926350343421149</v>
      </c>
      <c r="R24" s="11">
        <v>42.993213296587832</v>
      </c>
      <c r="S24" s="342">
        <f t="shared" si="5"/>
        <v>13.066862953166684</v>
      </c>
      <c r="T24" s="342">
        <v>16.619531604579457</v>
      </c>
      <c r="U24" s="342">
        <f t="shared" si="6"/>
        <v>29.686394557746141</v>
      </c>
      <c r="V24" s="343">
        <f t="shared" si="7"/>
        <v>2.9884449159333748E-2</v>
      </c>
      <c r="W24" s="343"/>
      <c r="X24" s="10" t="str">
        <f>name!A21</f>
        <v>Machinery n.e.c.</v>
      </c>
      <c r="Y24" s="10">
        <v>17.765999999969278</v>
      </c>
      <c r="Z24" s="10">
        <v>15.590000000037799</v>
      </c>
      <c r="AA24" s="342">
        <f t="shared" si="8"/>
        <v>-2.175999999931479</v>
      </c>
      <c r="AB24" s="10">
        <v>6.9853109506862667</v>
      </c>
      <c r="AC24" s="342">
        <f t="shared" si="9"/>
        <v>4.8093109507547878</v>
      </c>
      <c r="AD24" s="343">
        <f t="shared" si="10"/>
        <v>2.2352280072426511E-2</v>
      </c>
    </row>
    <row r="25" spans="1:30" x14ac:dyDescent="0.2">
      <c r="A25" s="10" t="str">
        <f>name!D22</f>
        <v>62 Leisure, travel and related personal service occupations</v>
      </c>
      <c r="B25" s="11">
        <f t="shared" si="12"/>
        <v>58.989169268339069</v>
      </c>
      <c r="C25" s="11">
        <f t="shared" si="12"/>
        <v>60.40411603992321</v>
      </c>
      <c r="D25" s="11">
        <f t="shared" si="12"/>
        <v>1.4149467715841406</v>
      </c>
      <c r="E25" s="11">
        <f t="shared" si="12"/>
        <v>29.965956927459271</v>
      </c>
      <c r="F25" s="11">
        <f t="shared" si="12"/>
        <v>31.380903699043408</v>
      </c>
      <c r="G25" s="200">
        <f t="shared" si="11"/>
        <v>2.776363389745562E-2</v>
      </c>
      <c r="H25" s="11"/>
      <c r="I25" s="11" t="str">
        <f t="shared" si="13"/>
        <v>Sales and customer service occupations</v>
      </c>
      <c r="J25" s="11">
        <v>0.41780358442236504</v>
      </c>
      <c r="K25" s="11">
        <v>0.74852134586684771</v>
      </c>
      <c r="L25" s="11">
        <v>0.33071776144448267</v>
      </c>
      <c r="M25" s="11">
        <v>0.25475536958148931</v>
      </c>
      <c r="N25" s="11">
        <v>0.58547313102597198</v>
      </c>
      <c r="O25" s="11"/>
      <c r="P25" s="10" t="str">
        <f>name!D22</f>
        <v>62 Leisure, travel and related personal service occupations</v>
      </c>
      <c r="Q25" s="11">
        <v>17.06761776133704</v>
      </c>
      <c r="R25" s="11">
        <v>18.663295831357736</v>
      </c>
      <c r="S25" s="342">
        <f t="shared" si="5"/>
        <v>1.5956780700206963</v>
      </c>
      <c r="T25" s="342">
        <v>7.5365378771216349</v>
      </c>
      <c r="U25" s="342">
        <f t="shared" si="6"/>
        <v>9.1322159471423312</v>
      </c>
      <c r="V25" s="343">
        <f t="shared" si="7"/>
        <v>2.4681834599340036E-2</v>
      </c>
      <c r="W25" s="343"/>
      <c r="X25" s="10" t="str">
        <f>name!A22</f>
        <v>Motor vehicles, etc</v>
      </c>
      <c r="Y25" s="10">
        <v>7.7250000000032166</v>
      </c>
      <c r="Z25" s="10">
        <v>8.2580000000274314</v>
      </c>
      <c r="AA25" s="342">
        <f t="shared" si="8"/>
        <v>0.53300000002421477</v>
      </c>
      <c r="AB25" s="10">
        <v>3.2192567980661142</v>
      </c>
      <c r="AC25" s="342">
        <f t="shared" si="9"/>
        <v>3.752256798090329</v>
      </c>
      <c r="AD25" s="343">
        <f t="shared" si="10"/>
        <v>2.3495299468893505E-2</v>
      </c>
    </row>
    <row r="26" spans="1:30" x14ac:dyDescent="0.2">
      <c r="A26" s="10" t="str">
        <f>name!D23</f>
        <v>63 Community and civil enforcement occupations</v>
      </c>
      <c r="B26" s="11">
        <f t="shared" si="12"/>
        <v>2.5528718101472578</v>
      </c>
      <c r="C26" s="11">
        <f t="shared" si="12"/>
        <v>2.3328235735043141</v>
      </c>
      <c r="D26" s="11">
        <f t="shared" si="12"/>
        <v>-0.22004823664294321</v>
      </c>
      <c r="E26" s="11">
        <f t="shared" si="12"/>
        <v>0.997400338098971</v>
      </c>
      <c r="F26" s="11">
        <f t="shared" si="12"/>
        <v>0.77735210145602773</v>
      </c>
      <c r="G26" s="200">
        <f t="shared" si="11"/>
        <v>2.2230518318721249E-2</v>
      </c>
      <c r="H26" s="11"/>
      <c r="I26" s="11" t="str">
        <f t="shared" si="13"/>
        <v>Process, plant and machine operatives</v>
      </c>
      <c r="J26" s="11">
        <v>0.32972023285584118</v>
      </c>
      <c r="K26" s="11">
        <v>0.89363101787988208</v>
      </c>
      <c r="L26" s="11">
        <v>0.56391078502404079</v>
      </c>
      <c r="M26" s="11">
        <v>0.34831983952744522</v>
      </c>
      <c r="N26" s="11">
        <v>0.91223062455148596</v>
      </c>
      <c r="O26" s="11"/>
      <c r="P26" s="10" t="str">
        <f>name!D23</f>
        <v>63 Community and civil enforcement occupations</v>
      </c>
      <c r="Q26" s="11">
        <v>2.074908611724871</v>
      </c>
      <c r="R26" s="11">
        <v>1.7087817014103241</v>
      </c>
      <c r="S26" s="342">
        <f t="shared" si="5"/>
        <v>-0.36612691031454681</v>
      </c>
      <c r="T26" s="342">
        <v>0.6350231952491987</v>
      </c>
      <c r="U26" s="342">
        <f t="shared" si="6"/>
        <v>0.2688962849346519</v>
      </c>
      <c r="V26" s="343">
        <f t="shared" si="7"/>
        <v>1.7959795834140202E-2</v>
      </c>
      <c r="W26" s="343"/>
      <c r="X26" s="10" t="str">
        <f>name!A23</f>
        <v>Other transport equipment</v>
      </c>
      <c r="Y26" s="10">
        <v>23.294999999894461</v>
      </c>
      <c r="Z26" s="10">
        <v>21.787999999978513</v>
      </c>
      <c r="AA26" s="342">
        <f t="shared" si="8"/>
        <v>-1.5069999999159478</v>
      </c>
      <c r="AB26" s="10">
        <v>8.7082069810248761</v>
      </c>
      <c r="AC26" s="342">
        <f t="shared" si="9"/>
        <v>7.2012069811089283</v>
      </c>
      <c r="AD26" s="343">
        <f t="shared" si="10"/>
        <v>2.1398899761901458E-2</v>
      </c>
    </row>
    <row r="27" spans="1:30" x14ac:dyDescent="0.2">
      <c r="A27" s="10" t="str">
        <f>name!D24</f>
        <v>71 Sales occupations</v>
      </c>
      <c r="B27" s="11">
        <f t="shared" ref="B27:F33" si="14">SUM(B56,B85,B114,B143,B172,B201,B230,B259,B288)</f>
        <v>158.17137533328744</v>
      </c>
      <c r="C27" s="11">
        <f t="shared" si="14"/>
        <v>139.15870740517499</v>
      </c>
      <c r="D27" s="11">
        <f t="shared" si="14"/>
        <v>-19.012667928112464</v>
      </c>
      <c r="E27" s="11">
        <f t="shared" si="14"/>
        <v>68.259968488386491</v>
      </c>
      <c r="F27" s="11">
        <f t="shared" si="14"/>
        <v>49.247300560274027</v>
      </c>
      <c r="G27" s="200">
        <f t="shared" si="11"/>
        <v>2.4205829849765159E-2</v>
      </c>
      <c r="H27" s="11"/>
      <c r="I27" s="11" t="str">
        <f t="shared" si="13"/>
        <v>Elementary occupations</v>
      </c>
      <c r="J27" s="11">
        <v>0.14809874594203018</v>
      </c>
      <c r="K27" s="11">
        <v>0.30534318639911789</v>
      </c>
      <c r="L27" s="11">
        <v>0.15724444045708769</v>
      </c>
      <c r="M27" s="11">
        <v>0.11821162813123359</v>
      </c>
      <c r="N27" s="11">
        <v>0.27545606858832128</v>
      </c>
      <c r="O27" s="11"/>
      <c r="P27" s="10" t="str">
        <f>name!D24</f>
        <v>71 Sales occupations</v>
      </c>
      <c r="Q27" s="11">
        <v>60.66728495009724</v>
      </c>
      <c r="R27" s="11">
        <v>54.753923860133646</v>
      </c>
      <c r="S27" s="342">
        <f t="shared" si="5"/>
        <v>-5.913361089963594</v>
      </c>
      <c r="T27" s="342">
        <v>18.586880248438348</v>
      </c>
      <c r="U27" s="342">
        <f t="shared" si="6"/>
        <v>12.673519158474754</v>
      </c>
      <c r="V27" s="343">
        <f t="shared" si="7"/>
        <v>1.7976695350184313E-2</v>
      </c>
      <c r="W27" s="343"/>
      <c r="X27" s="10" t="str">
        <f>name!A24</f>
        <v>Furniture</v>
      </c>
      <c r="Y27" s="10">
        <v>8.7720000000243594</v>
      </c>
      <c r="Z27" s="10">
        <v>8.0980000000457739</v>
      </c>
      <c r="AA27" s="342">
        <f t="shared" si="8"/>
        <v>-0.67399999997858551</v>
      </c>
      <c r="AB27" s="10">
        <v>3.3462540056233494</v>
      </c>
      <c r="AC27" s="342">
        <f t="shared" si="9"/>
        <v>2.6722540056447639</v>
      </c>
      <c r="AD27" s="343">
        <f t="shared" si="10"/>
        <v>2.1776935648946116E-2</v>
      </c>
    </row>
    <row r="28" spans="1:30" x14ac:dyDescent="0.2">
      <c r="A28" s="10" t="str">
        <f>name!D25</f>
        <v>72 Customer service occupations</v>
      </c>
      <c r="B28" s="11">
        <f t="shared" si="14"/>
        <v>40.010730312229789</v>
      </c>
      <c r="C28" s="11">
        <f t="shared" si="14"/>
        <v>57.872333438169193</v>
      </c>
      <c r="D28" s="11">
        <f t="shared" si="14"/>
        <v>17.861603125939403</v>
      </c>
      <c r="E28" s="11">
        <f t="shared" si="14"/>
        <v>24.576076078873729</v>
      </c>
      <c r="F28" s="11">
        <f t="shared" si="14"/>
        <v>42.437679204813129</v>
      </c>
      <c r="G28" s="200">
        <f t="shared" si="11"/>
        <v>3.243920755354468E-2</v>
      </c>
      <c r="H28" s="11"/>
      <c r="O28" s="11"/>
      <c r="P28" s="10" t="str">
        <f>name!D25</f>
        <v>72 Customer service occupations</v>
      </c>
      <c r="Q28" s="11">
        <v>13.208840958383709</v>
      </c>
      <c r="R28" s="11">
        <v>20.668052153204229</v>
      </c>
      <c r="S28" s="342">
        <f t="shared" si="5"/>
        <v>7.4592111948205204</v>
      </c>
      <c r="T28" s="342">
        <v>6.160911915572747</v>
      </c>
      <c r="U28" s="342">
        <f t="shared" si="6"/>
        <v>13.620123110393267</v>
      </c>
      <c r="V28" s="343">
        <f t="shared" si="7"/>
        <v>2.5850224711102099E-2</v>
      </c>
      <c r="W28" s="343"/>
      <c r="X28" s="10" t="str">
        <f>name!A25</f>
        <v>Other manufacturing</v>
      </c>
      <c r="Y28" s="10">
        <v>5.9169999999984206</v>
      </c>
      <c r="Z28" s="10">
        <v>5.3910000000042144</v>
      </c>
      <c r="AA28" s="342">
        <f t="shared" si="8"/>
        <v>-0.52599999999420621</v>
      </c>
      <c r="AB28" s="10">
        <v>2.3811702532408447</v>
      </c>
      <c r="AC28" s="342">
        <f t="shared" si="9"/>
        <v>1.8551702532466385</v>
      </c>
      <c r="AD28" s="343">
        <f t="shared" si="10"/>
        <v>2.2803137195946066E-2</v>
      </c>
    </row>
    <row r="29" spans="1:30" x14ac:dyDescent="0.2">
      <c r="A29" s="10" t="str">
        <f>name!D26</f>
        <v>81 Process, plant and machine operatives</v>
      </c>
      <c r="B29" s="11">
        <f t="shared" si="14"/>
        <v>82.980962009601228</v>
      </c>
      <c r="C29" s="11">
        <f t="shared" si="14"/>
        <v>98.631893755663455</v>
      </c>
      <c r="D29" s="11">
        <f t="shared" si="14"/>
        <v>15.650931746062227</v>
      </c>
      <c r="E29" s="11">
        <f t="shared" si="14"/>
        <v>38.791753283273465</v>
      </c>
      <c r="F29" s="11">
        <f t="shared" si="14"/>
        <v>54.442685029335685</v>
      </c>
      <c r="G29" s="200">
        <f t="shared" si="11"/>
        <v>2.5899382273401717E-2</v>
      </c>
      <c r="H29" s="11"/>
      <c r="I29" s="86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62.455900666135868</v>
      </c>
      <c r="R29" s="11">
        <v>70.60322088739909</v>
      </c>
      <c r="S29" s="342">
        <f t="shared" si="5"/>
        <v>8.1473202212632216</v>
      </c>
      <c r="T29" s="342">
        <v>26.249039531737338</v>
      </c>
      <c r="U29" s="342">
        <f t="shared" si="6"/>
        <v>34.39635975300056</v>
      </c>
      <c r="V29" s="343">
        <f t="shared" si="7"/>
        <v>2.3666023335357611E-2</v>
      </c>
      <c r="W29" s="343"/>
      <c r="X29" s="10" t="str">
        <f>name!A26</f>
        <v>Repair and installation</v>
      </c>
      <c r="Y29" s="10">
        <v>12.112999999964478</v>
      </c>
      <c r="Z29" s="10">
        <v>11.566999999983135</v>
      </c>
      <c r="AA29" s="342">
        <f t="shared" si="8"/>
        <v>-0.5459999999813423</v>
      </c>
      <c r="AB29" s="10">
        <v>4.5584352269069592</v>
      </c>
      <c r="AC29" s="342">
        <f t="shared" si="9"/>
        <v>4.0124352269256169</v>
      </c>
      <c r="AD29" s="343">
        <f t="shared" si="10"/>
        <v>2.1522848097315084E-2</v>
      </c>
    </row>
    <row r="30" spans="1:30" x14ac:dyDescent="0.2">
      <c r="A30" s="10" t="str">
        <f>name!D27</f>
        <v>82 Transport and mobile machine drivers and operatives</v>
      </c>
      <c r="B30" s="11">
        <f t="shared" si="14"/>
        <v>105.16673929666426</v>
      </c>
      <c r="C30" s="11">
        <f t="shared" si="14"/>
        <v>107.5584065702006</v>
      </c>
      <c r="D30" s="11">
        <f t="shared" si="14"/>
        <v>2.3916672735363296</v>
      </c>
      <c r="E30" s="11">
        <f t="shared" si="14"/>
        <v>57.300323155683941</v>
      </c>
      <c r="F30" s="11">
        <f t="shared" si="14"/>
        <v>59.691990429220276</v>
      </c>
      <c r="G30" s="200">
        <f t="shared" si="11"/>
        <v>2.9419667296600949E-2</v>
      </c>
      <c r="H30" s="11"/>
      <c r="I30" s="11" t="str">
        <f>I19</f>
        <v>Managers, directors and senior officials</v>
      </c>
      <c r="J30" s="11">
        <f t="array" ref="J30:J38">MMULT(aggregation!$B$38:$AA$46,B65:B90)</f>
        <v>25.81929544864127</v>
      </c>
      <c r="K30" s="11">
        <f t="array" ref="K30:K38">MMULT(aggregation!$B$38:$AA$46,C65:C90)</f>
        <v>42.483688323690927</v>
      </c>
      <c r="L30" s="11">
        <f t="array" ref="L30:L38">MMULT(aggregation!$B$38:$AA$46,D65:D90)</f>
        <v>16.664392875049657</v>
      </c>
      <c r="M30" s="11">
        <f t="array" ref="M30:M38">MMULT(aggregation!$B$38:$AA$46,E65:E90)</f>
        <v>17.740671927495132</v>
      </c>
      <c r="N30" s="11">
        <f t="array" ref="N30:N38">MMULT(aggregation!$B$38:$AA$46,F65:F90)</f>
        <v>34.405064802544786</v>
      </c>
      <c r="O30" s="11"/>
      <c r="P30" s="10" t="str">
        <f>name!D27</f>
        <v>82 Transport and mobile machine drivers and operatives</v>
      </c>
      <c r="Q30" s="11">
        <v>99.866578096541502</v>
      </c>
      <c r="R30" s="11">
        <v>99.233680551748591</v>
      </c>
      <c r="S30" s="342">
        <f t="shared" si="5"/>
        <v>-0.63289754479291105</v>
      </c>
      <c r="T30" s="342">
        <v>52.655739246539611</v>
      </c>
      <c r="U30" s="342">
        <f t="shared" si="6"/>
        <v>52.0228417017467</v>
      </c>
      <c r="V30" s="343">
        <f t="shared" si="7"/>
        <v>2.8634015480015984E-2</v>
      </c>
      <c r="W30" s="343"/>
      <c r="X30" s="10" t="str">
        <f>name!A27</f>
        <v>Electricity, gas, etc</v>
      </c>
      <c r="Y30" s="10">
        <v>14.054999999894086</v>
      </c>
      <c r="Z30" s="10">
        <v>14.084999999828621</v>
      </c>
      <c r="AA30" s="342">
        <f t="shared" si="8"/>
        <v>2.9999999934535282E-2</v>
      </c>
      <c r="AB30" s="10">
        <v>5.9738838796392209</v>
      </c>
      <c r="AC30" s="342">
        <f t="shared" si="9"/>
        <v>6.0038838795737561</v>
      </c>
      <c r="AD30" s="343">
        <f t="shared" si="10"/>
        <v>2.3894145858589955E-2</v>
      </c>
    </row>
    <row r="31" spans="1:30" x14ac:dyDescent="0.2">
      <c r="A31" s="10" t="str">
        <f>name!D28</f>
        <v>91 Elementary trades and related occupations</v>
      </c>
      <c r="B31" s="11">
        <f t="shared" si="14"/>
        <v>44.433630888629352</v>
      </c>
      <c r="C31" s="11">
        <f t="shared" si="14"/>
        <v>34.841715927373819</v>
      </c>
      <c r="D31" s="11">
        <f t="shared" si="14"/>
        <v>-9.5919149612555348</v>
      </c>
      <c r="E31" s="11">
        <f t="shared" si="14"/>
        <v>15.137592653025754</v>
      </c>
      <c r="F31" s="11">
        <f t="shared" si="14"/>
        <v>5.5456776917702211</v>
      </c>
      <c r="G31" s="200">
        <f t="shared" si="11"/>
        <v>1.9737321703504174E-2</v>
      </c>
      <c r="H31" s="11"/>
      <c r="I31" s="11" t="str">
        <f>I20</f>
        <v>Professional occupations</v>
      </c>
      <c r="J31" s="11">
        <v>117.1735026785275</v>
      </c>
      <c r="K31" s="11">
        <v>174.75343680925275</v>
      </c>
      <c r="L31" s="11">
        <v>57.579934130725249</v>
      </c>
      <c r="M31" s="11">
        <v>67.18941776996742</v>
      </c>
      <c r="N31" s="11">
        <v>124.76935190069268</v>
      </c>
      <c r="O31" s="11"/>
      <c r="P31" s="10" t="str">
        <f>name!D28</f>
        <v>91 Elementary trades and related occupations</v>
      </c>
      <c r="Q31" s="11">
        <v>33.996751263540361</v>
      </c>
      <c r="R31" s="11">
        <v>26.060432656740023</v>
      </c>
      <c r="S31" s="342">
        <f t="shared" si="5"/>
        <v>-7.936318606800338</v>
      </c>
      <c r="T31" s="342">
        <v>9.3539142369588504</v>
      </c>
      <c r="U31" s="342">
        <f t="shared" si="6"/>
        <v>1.4175956301585124</v>
      </c>
      <c r="V31" s="343">
        <f t="shared" si="7"/>
        <v>1.6335799357995784E-2</v>
      </c>
      <c r="W31" s="343"/>
      <c r="X31" s="10" t="str">
        <f>name!A28</f>
        <v>Water</v>
      </c>
      <c r="Y31" s="10">
        <v>2.5859999999826053</v>
      </c>
      <c r="Z31" s="10">
        <v>2.8059999999803451</v>
      </c>
      <c r="AA31" s="342">
        <f t="shared" si="8"/>
        <v>0.21999999999773978</v>
      </c>
      <c r="AB31" s="10">
        <v>1.1561767133553567</v>
      </c>
      <c r="AC31" s="342">
        <f t="shared" si="9"/>
        <v>1.3761767133530964</v>
      </c>
      <c r="AD31" s="343">
        <f t="shared" si="10"/>
        <v>2.4943010343450256E-2</v>
      </c>
    </row>
    <row r="32" spans="1:30" x14ac:dyDescent="0.2">
      <c r="A32" s="10" t="str">
        <f>name!D29</f>
        <v>92 Elementary administration and service occupations</v>
      </c>
      <c r="B32" s="11">
        <f t="shared" si="14"/>
        <v>205.5581496801571</v>
      </c>
      <c r="C32" s="11">
        <f t="shared" si="14"/>
        <v>192.09940795604388</v>
      </c>
      <c r="D32" s="11">
        <f t="shared" si="14"/>
        <v>-13.458741724113258</v>
      </c>
      <c r="E32" s="11">
        <f t="shared" si="14"/>
        <v>94.289117357264175</v>
      </c>
      <c r="F32" s="11">
        <f t="shared" si="14"/>
        <v>80.830375633150922</v>
      </c>
      <c r="G32" s="200">
        <f t="shared" ref="G32" si="15">IF(B32&gt;0,(1+(E32/B32))^(1/($C$6-$B$6))-1,0)</f>
        <v>2.5489047476735305E-2</v>
      </c>
      <c r="H32" s="11"/>
      <c r="I32" s="11" t="str">
        <f>I21</f>
        <v>Associate professional occupations</v>
      </c>
      <c r="J32" s="11">
        <v>32.070069942125457</v>
      </c>
      <c r="K32" s="11">
        <v>49.9080293976902</v>
      </c>
      <c r="L32" s="11">
        <v>17.837959455564743</v>
      </c>
      <c r="M32" s="11">
        <v>18.396277114639442</v>
      </c>
      <c r="N32" s="11">
        <v>36.234236570204189</v>
      </c>
      <c r="O32" s="11"/>
      <c r="P32" s="10" t="str">
        <f>name!D29</f>
        <v>92 Elementary administration and service occupations</v>
      </c>
      <c r="Q32" s="11">
        <v>103.62165142496671</v>
      </c>
      <c r="R32" s="11">
        <v>100.82760361559873</v>
      </c>
      <c r="S32" s="342">
        <f t="shared" ref="S32" si="16">R32-Q32</f>
        <v>-2.7940478093679815</v>
      </c>
      <c r="T32" s="342">
        <v>41.497831838909384</v>
      </c>
      <c r="U32" s="342">
        <f>SUM(S32:T32)</f>
        <v>38.703784029541403</v>
      </c>
      <c r="V32" s="343">
        <f>IF(Q32&gt;0,(1+(T32/Q32))^(1/($C$6-$B$6))-1,0)</f>
        <v>2.2708065356545681E-2</v>
      </c>
      <c r="W32" s="343"/>
      <c r="X32" s="10" t="str">
        <f>name!A29</f>
        <v>Sewerage</v>
      </c>
      <c r="Y32" s="10">
        <v>1.1440000000052326</v>
      </c>
      <c r="Z32" s="10">
        <v>1.233000000010041</v>
      </c>
      <c r="AA32" s="342">
        <f t="shared" si="8"/>
        <v>8.9000000004808344E-2</v>
      </c>
      <c r="AB32" s="10">
        <v>0.51759428846920941</v>
      </c>
      <c r="AC32" s="342">
        <f t="shared" si="9"/>
        <v>0.60659428847401775</v>
      </c>
      <c r="AD32" s="343">
        <f t="shared" si="10"/>
        <v>2.5195279349664812E-2</v>
      </c>
    </row>
    <row r="33" spans="1:30" x14ac:dyDescent="0.2">
      <c r="A33" t="str">
        <f>name!D3</f>
        <v>All occupations</v>
      </c>
      <c r="B33" s="11">
        <f t="shared" si="14"/>
        <v>2404.2379999983377</v>
      </c>
      <c r="C33" s="11">
        <f t="shared" si="14"/>
        <v>2510.6939999992692</v>
      </c>
      <c r="D33" s="11">
        <f t="shared" si="14"/>
        <v>106.45600000093162</v>
      </c>
      <c r="E33" s="11">
        <f t="shared" si="14"/>
        <v>1171.8287661434326</v>
      </c>
      <c r="F33" s="11">
        <f t="shared" si="14"/>
        <v>1278.2847661443639</v>
      </c>
      <c r="G33" s="200">
        <f t="shared" si="11"/>
        <v>2.6822108207177786E-2</v>
      </c>
      <c r="H33" s="11"/>
      <c r="I33" s="11" t="str">
        <f>I22</f>
        <v>Administrative and secretarial occupations</v>
      </c>
      <c r="J33" s="11">
        <v>13.702299951035467</v>
      </c>
      <c r="K33" s="11">
        <v>23.277573076410508</v>
      </c>
      <c r="L33" s="11">
        <v>9.5752731253750412</v>
      </c>
      <c r="M33" s="11">
        <v>9.2232419300889639</v>
      </c>
      <c r="N33" s="11">
        <v>18.798515055464005</v>
      </c>
      <c r="O33" s="11"/>
      <c r="P33" s="10" t="str">
        <f>name!D3</f>
        <v>All occupations</v>
      </c>
      <c r="Q33" s="11">
        <f>SUM(Q7:Q32)</f>
        <v>1262.591999999117</v>
      </c>
      <c r="R33" s="11">
        <f>SUM(R7:R32)</f>
        <v>1300.4009999998568</v>
      </c>
      <c r="S33" s="342">
        <f>R33-Q33</f>
        <v>37.809000000739843</v>
      </c>
      <c r="T33" s="11">
        <f>SUM(T7:T32)</f>
        <v>514.82360325134709</v>
      </c>
      <c r="U33" s="342">
        <f>SUM(S33:T33)</f>
        <v>552.63260325208694</v>
      </c>
      <c r="V33" s="343">
        <f t="shared" si="7"/>
        <v>2.3061473619349737E-2</v>
      </c>
      <c r="W33" s="11"/>
      <c r="X33" s="10" t="str">
        <f>name!A30</f>
        <v>Waste management</v>
      </c>
      <c r="Y33" s="10">
        <v>10.416000000026148</v>
      </c>
      <c r="Z33" s="10">
        <v>11.407000000069415</v>
      </c>
      <c r="AA33" s="342">
        <f t="shared" si="8"/>
        <v>0.99100000004326638</v>
      </c>
      <c r="AB33" s="10">
        <v>4.7921788925898285</v>
      </c>
      <c r="AC33" s="342">
        <f t="shared" si="9"/>
        <v>5.7831788926330949</v>
      </c>
      <c r="AD33" s="343">
        <f t="shared" si="10"/>
        <v>2.5553724258875921E-2</v>
      </c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3.542805208974686</v>
      </c>
      <c r="K34" s="11">
        <v>6.7872956877383155</v>
      </c>
      <c r="L34" s="11">
        <v>3.2444904787636295</v>
      </c>
      <c r="M34" s="11">
        <v>2.5562671492710831</v>
      </c>
      <c r="N34" s="11">
        <v>5.8007576280347131</v>
      </c>
      <c r="O34" s="11"/>
      <c r="P34" s="23"/>
      <c r="Q34" s="33"/>
      <c r="R34" s="33"/>
      <c r="S34" s="33"/>
      <c r="T34" s="33"/>
      <c r="U34" s="33"/>
      <c r="V34" s="33"/>
      <c r="W34" s="345"/>
      <c r="X34" s="10" t="str">
        <f>name!A31</f>
        <v>Construction</v>
      </c>
      <c r="Y34" s="10">
        <v>36.826999999783254</v>
      </c>
      <c r="Z34" s="10">
        <v>39.497999999473528</v>
      </c>
      <c r="AA34" s="342">
        <f t="shared" si="8"/>
        <v>2.6709999996902738</v>
      </c>
      <c r="AB34" s="10">
        <v>15.96283573453506</v>
      </c>
      <c r="AC34" s="342">
        <f t="shared" si="9"/>
        <v>18.633835734225336</v>
      </c>
      <c r="AD34" s="343">
        <f t="shared" si="10"/>
        <v>2.4296285788783623E-2</v>
      </c>
    </row>
    <row r="35" spans="1:30" ht="38.25" x14ac:dyDescent="0.2">
      <c r="A35" s="201" t="str">
        <f>CONCATENATE(name!F4," (Constrained)")</f>
        <v>RQF8 Doctorate (Constrained)</v>
      </c>
      <c r="B35" s="74">
        <f t="shared" ref="B35:G35" si="17">B6</f>
        <v>2020</v>
      </c>
      <c r="C35" s="74">
        <f t="shared" si="17"/>
        <v>2035</v>
      </c>
      <c r="D35" s="87" t="str">
        <f t="shared" si="17"/>
        <v>Net Change</v>
      </c>
      <c r="E35" s="87" t="str">
        <f t="shared" si="17"/>
        <v>Replacement Demand level</v>
      </c>
      <c r="F35" s="87" t="str">
        <f t="shared" si="17"/>
        <v>Total Requirement</v>
      </c>
      <c r="G35" s="87" t="str">
        <f t="shared" si="17"/>
        <v>Replacement Demand rate</v>
      </c>
      <c r="H35" s="11"/>
      <c r="I35" s="11" t="str">
        <f t="shared" ref="I35:I38" si="18">I24</f>
        <v>Caring, leisure and other service occupations</v>
      </c>
      <c r="J35" s="11">
        <v>8.63199388652591</v>
      </c>
      <c r="K35" s="11">
        <v>17.146798052426831</v>
      </c>
      <c r="L35" s="11">
        <v>8.514804165900923</v>
      </c>
      <c r="M35" s="11">
        <v>6.9010928179065729</v>
      </c>
      <c r="N35" s="11">
        <v>15.415896983807496</v>
      </c>
      <c r="O35" s="11"/>
      <c r="P35" s="201" t="s">
        <v>99</v>
      </c>
      <c r="Q35" s="74">
        <f t="shared" ref="Q35:V35" si="19">B35</f>
        <v>2020</v>
      </c>
      <c r="R35" s="74">
        <f t="shared" si="19"/>
        <v>2035</v>
      </c>
      <c r="S35" s="341" t="str">
        <f t="shared" si="19"/>
        <v>Net Change</v>
      </c>
      <c r="T35" s="341" t="str">
        <f t="shared" si="19"/>
        <v>Replacement Demand level</v>
      </c>
      <c r="U35" s="341" t="str">
        <f t="shared" si="19"/>
        <v>Total Requirement</v>
      </c>
      <c r="V35" s="341" t="str">
        <f t="shared" si="19"/>
        <v>Replacement Demand rate</v>
      </c>
      <c r="W35" s="343"/>
      <c r="X35" s="10" t="str">
        <f>name!A32</f>
        <v>Civil engineering</v>
      </c>
      <c r="Y35" s="10">
        <v>17.283999999892885</v>
      </c>
      <c r="Z35" s="10">
        <v>18.439999999721746</v>
      </c>
      <c r="AA35" s="342">
        <f t="shared" si="8"/>
        <v>1.155999999828861</v>
      </c>
      <c r="AB35" s="10">
        <v>7.0798326008133667</v>
      </c>
      <c r="AC35" s="342">
        <f t="shared" si="9"/>
        <v>8.2358326006422278</v>
      </c>
      <c r="AD35" s="343">
        <f t="shared" si="10"/>
        <v>2.3151840806933555E-2</v>
      </c>
    </row>
    <row r="36" spans="1:30" ht="12.75" customHeight="1" x14ac:dyDescent="0.2">
      <c r="A36" t="str">
        <f t="shared" ref="A36:A62" si="20">A7</f>
        <v>11 Corporate managers and directors</v>
      </c>
      <c r="B36" s="11">
        <v>2.2464468145713044</v>
      </c>
      <c r="C36" s="11">
        <v>3.3443419742741667</v>
      </c>
      <c r="D36" s="11">
        <f>C36-B36</f>
        <v>1.0978951597028623</v>
      </c>
      <c r="E36" s="11">
        <v>1.3926482329425576</v>
      </c>
      <c r="F36" s="11">
        <f>SUM(D36:E36)</f>
        <v>2.4905433926454199</v>
      </c>
      <c r="G36" s="200">
        <f>IF(B36&gt;0,(1+(E36/B36))^(1/($C$6-$B$6))-1,0)</f>
        <v>3.2681706744758676E-2</v>
      </c>
      <c r="I36" s="11" t="str">
        <f t="shared" si="18"/>
        <v>Sales and customer service occupations</v>
      </c>
      <c r="J36" s="11">
        <v>5.8303947298202932</v>
      </c>
      <c r="K36" s="11">
        <v>11.47401806556568</v>
      </c>
      <c r="L36" s="11">
        <v>5.6436233357453878</v>
      </c>
      <c r="M36" s="11">
        <v>3.8861560291515658</v>
      </c>
      <c r="N36" s="11">
        <v>9.5297793648969531</v>
      </c>
      <c r="P36" s="10" t="str">
        <f>name!D4</f>
        <v>11 Corporate managers and directors</v>
      </c>
      <c r="Q36" s="11">
        <v>55.636362694551103</v>
      </c>
      <c r="R36" s="11">
        <v>64.516732223699307</v>
      </c>
      <c r="S36" s="342">
        <f>R36-Q36</f>
        <v>8.8803695291482043</v>
      </c>
      <c r="T36" s="342">
        <v>33.926855987697451</v>
      </c>
      <c r="U36" s="342">
        <f>SUM(S36:T36)</f>
        <v>42.807225516845655</v>
      </c>
      <c r="V36" s="343">
        <f>IF(Q36&gt;0,(1+(T36/Q36))^(1/($C$6-$B$6))-1,0)</f>
        <v>3.2249618093373789E-2</v>
      </c>
      <c r="W36" s="343"/>
      <c r="X36" s="10" t="str">
        <f>name!A33</f>
        <v>Specialised construction</v>
      </c>
      <c r="Y36" s="10">
        <v>93.79599999945772</v>
      </c>
      <c r="Z36" s="10">
        <v>100.20699999849094</v>
      </c>
      <c r="AA36" s="342">
        <f t="shared" si="8"/>
        <v>6.4109999990332227</v>
      </c>
      <c r="AB36" s="10">
        <v>39.193477430155042</v>
      </c>
      <c r="AC36" s="342">
        <f t="shared" si="9"/>
        <v>45.604477429188265</v>
      </c>
      <c r="AD36" s="343">
        <f t="shared" si="10"/>
        <v>2.3549532120388239E-2</v>
      </c>
    </row>
    <row r="37" spans="1:30" x14ac:dyDescent="0.2">
      <c r="A37" t="str">
        <f t="shared" si="20"/>
        <v>12 Other managers and proprietors</v>
      </c>
      <c r="B37" s="11">
        <v>0.79343181403147189</v>
      </c>
      <c r="C37" s="11">
        <v>1.7612416172055223</v>
      </c>
      <c r="D37" s="11">
        <f t="shared" ref="D37:D60" si="21">C37-B37</f>
        <v>0.96780980317405041</v>
      </c>
      <c r="E37" s="11">
        <v>0.76421100284791543</v>
      </c>
      <c r="F37" s="11">
        <f t="shared" ref="F37:F57" si="22">SUM(D37:E37)</f>
        <v>1.732020806021966</v>
      </c>
      <c r="G37" s="200">
        <f t="shared" ref="G37:G62" si="23">IF(B37&gt;0,(1+(E37/B37))^(1/($C$6-$B$6))-1,0)</f>
        <v>4.5997270112351663E-2</v>
      </c>
      <c r="I37" s="11" t="str">
        <f t="shared" si="18"/>
        <v>Process, plant and machine operatives</v>
      </c>
      <c r="J37" s="11">
        <v>2.1815035867448276</v>
      </c>
      <c r="K37" s="11">
        <v>5.873178726200095</v>
      </c>
      <c r="L37" s="11">
        <v>3.6916751394552678</v>
      </c>
      <c r="M37" s="11">
        <v>2.181508454848613</v>
      </c>
      <c r="N37" s="11">
        <v>5.8731835943038817</v>
      </c>
      <c r="P37" s="10" t="str">
        <f>name!D5</f>
        <v>12 Other managers and proprietors</v>
      </c>
      <c r="Q37" s="11">
        <v>28.998470496023625</v>
      </c>
      <c r="R37" s="11">
        <v>38.595461003726243</v>
      </c>
      <c r="S37" s="342">
        <f t="shared" ref="S37:S60" si="24">R37-Q37</f>
        <v>9.5969905077026176</v>
      </c>
      <c r="T37" s="342">
        <v>21.813042343643676</v>
      </c>
      <c r="U37" s="342">
        <f t="shared" ref="U37:U60" si="25">SUM(S37:T37)</f>
        <v>31.410032851346294</v>
      </c>
      <c r="V37" s="343">
        <f t="shared" ref="V37:V60" si="26">IF(Q37&gt;0,(1+(T37/Q37))^(1/($C$6-$B$6))-1,0)</f>
        <v>3.8099867419038258E-2</v>
      </c>
      <c r="W37" s="343"/>
      <c r="X37" s="10" t="str">
        <f>name!A34</f>
        <v>Motor vehicle trade</v>
      </c>
      <c r="Y37" s="10">
        <v>40.817000000310443</v>
      </c>
      <c r="Z37" s="10">
        <v>45.238000000168739</v>
      </c>
      <c r="AA37" s="342">
        <f t="shared" si="8"/>
        <v>4.4209999998582958</v>
      </c>
      <c r="AB37" s="10">
        <v>17.743925745748381</v>
      </c>
      <c r="AC37" s="342">
        <f t="shared" si="9"/>
        <v>22.164925745606677</v>
      </c>
      <c r="AD37" s="343">
        <f t="shared" si="10"/>
        <v>2.4356490324984215E-2</v>
      </c>
    </row>
    <row r="38" spans="1:30" x14ac:dyDescent="0.2">
      <c r="A38" t="str">
        <f t="shared" si="20"/>
        <v>21 Science, research, engineering and technology professionals</v>
      </c>
      <c r="B38" s="11">
        <v>6.4494155078123478</v>
      </c>
      <c r="C38" s="11">
        <v>10.407628234411959</v>
      </c>
      <c r="D38" s="11">
        <f t="shared" si="21"/>
        <v>3.9582127265996112</v>
      </c>
      <c r="E38" s="11">
        <v>3.1858136717012697</v>
      </c>
      <c r="F38" s="11">
        <f t="shared" si="22"/>
        <v>7.1440263983008805</v>
      </c>
      <c r="G38" s="200">
        <f t="shared" si="23"/>
        <v>2.71237688841377E-2</v>
      </c>
      <c r="I38" s="11" t="str">
        <f t="shared" si="18"/>
        <v>Elementary occupations</v>
      </c>
      <c r="J38" s="11">
        <v>4.0430132695562353</v>
      </c>
      <c r="K38" s="11">
        <v>8.313832558629116</v>
      </c>
      <c r="L38" s="11">
        <v>4.2708192890728807</v>
      </c>
      <c r="M38" s="11">
        <v>3.1680125157869168</v>
      </c>
      <c r="N38" s="11">
        <v>7.4388318048597979</v>
      </c>
      <c r="P38" s="10" t="str">
        <f>name!D6</f>
        <v>21 Science, research, engineering and technology professionals</v>
      </c>
      <c r="Q38" s="11">
        <v>27.9137762911419</v>
      </c>
      <c r="R38" s="11">
        <v>39.694714168804857</v>
      </c>
      <c r="S38" s="342">
        <f t="shared" si="24"/>
        <v>11.780937877662957</v>
      </c>
      <c r="T38" s="342">
        <v>17.473798277084505</v>
      </c>
      <c r="U38" s="342">
        <f t="shared" si="25"/>
        <v>29.254736154747462</v>
      </c>
      <c r="V38" s="343">
        <f t="shared" si="26"/>
        <v>3.2938723345971255E-2</v>
      </c>
      <c r="W38" s="343"/>
      <c r="X38" s="10" t="str">
        <f>name!A35</f>
        <v>Wholesale trade</v>
      </c>
      <c r="Y38" s="10">
        <v>119.32400000101906</v>
      </c>
      <c r="Z38" s="10">
        <v>124.35799999993505</v>
      </c>
      <c r="AA38" s="342">
        <f t="shared" si="8"/>
        <v>5.0339999989159878</v>
      </c>
      <c r="AB38" s="10">
        <v>55.326232531157864</v>
      </c>
      <c r="AC38" s="342">
        <f t="shared" si="9"/>
        <v>60.360232530073851</v>
      </c>
      <c r="AD38" s="343">
        <f t="shared" si="10"/>
        <v>2.5721418570309629E-2</v>
      </c>
    </row>
    <row r="39" spans="1:30" x14ac:dyDescent="0.2">
      <c r="A39" t="str">
        <f t="shared" si="20"/>
        <v>22 Health professionals</v>
      </c>
      <c r="B39" s="11">
        <v>5.6264819920597624</v>
      </c>
      <c r="C39" s="11">
        <v>9.2775706412054841</v>
      </c>
      <c r="D39" s="11">
        <f t="shared" si="21"/>
        <v>3.6510886491457217</v>
      </c>
      <c r="E39" s="11">
        <v>3.5357717026637259</v>
      </c>
      <c r="F39" s="11">
        <f t="shared" si="22"/>
        <v>7.1868603518094476</v>
      </c>
      <c r="G39" s="200">
        <f t="shared" si="23"/>
        <v>3.3041317676232751E-2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71.132478544799042</v>
      </c>
      <c r="R39" s="11">
        <v>84.795845309644989</v>
      </c>
      <c r="S39" s="342">
        <f t="shared" si="24"/>
        <v>13.663366764845946</v>
      </c>
      <c r="T39" s="342">
        <v>45.511492122126356</v>
      </c>
      <c r="U39" s="342">
        <f t="shared" si="25"/>
        <v>59.174858886972302</v>
      </c>
      <c r="V39" s="343">
        <f t="shared" si="26"/>
        <v>3.3521757073857739E-2</v>
      </c>
      <c r="W39" s="343"/>
      <c r="X39" s="10" t="str">
        <f>name!A36</f>
        <v>Retail trade</v>
      </c>
      <c r="Y39" s="10">
        <v>205.57400000513462</v>
      </c>
      <c r="Z39" s="10">
        <v>211.65499999900811</v>
      </c>
      <c r="AA39" s="342">
        <f t="shared" si="8"/>
        <v>6.0809999938734904</v>
      </c>
      <c r="AB39" s="10">
        <v>99.942109188355488</v>
      </c>
      <c r="AC39" s="342">
        <f t="shared" si="9"/>
        <v>106.02310918222898</v>
      </c>
      <c r="AD39" s="343">
        <f t="shared" si="10"/>
        <v>2.6765013489369771E-2</v>
      </c>
    </row>
    <row r="40" spans="1:30" x14ac:dyDescent="0.2">
      <c r="A40" t="str">
        <f t="shared" si="20"/>
        <v>23 Teaching and other educational professionals</v>
      </c>
      <c r="B40" s="11">
        <v>8.0355786637262749</v>
      </c>
      <c r="C40" s="11">
        <v>10.082107836996261</v>
      </c>
      <c r="D40" s="11">
        <f>C40-B40</f>
        <v>2.0465291732699864</v>
      </c>
      <c r="E40" s="11">
        <v>4.2348794256267102</v>
      </c>
      <c r="F40" s="11">
        <f>SUM(D40:E40)</f>
        <v>6.2814085988966966</v>
      </c>
      <c r="G40" s="200">
        <f>IF(B40&gt;0,(1+(E40/B40))^(1/($C$6-$B$6))-1,0)</f>
        <v>2.8623024594896185E-2</v>
      </c>
      <c r="I40" s="86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58.308318309901694</v>
      </c>
      <c r="R40" s="11">
        <v>59.370733073429577</v>
      </c>
      <c r="S40" s="342">
        <f t="shared" si="24"/>
        <v>1.0624147635278831</v>
      </c>
      <c r="T40" s="342">
        <v>30.337615598109043</v>
      </c>
      <c r="U40" s="342">
        <f t="shared" si="25"/>
        <v>31.400030361636926</v>
      </c>
      <c r="V40" s="343">
        <f t="shared" si="26"/>
        <v>2.8320641722950457E-2</v>
      </c>
      <c r="W40" s="343"/>
      <c r="X40" s="10" t="str">
        <f>name!A37</f>
        <v>Land transport, etc</v>
      </c>
      <c r="Y40" s="10">
        <v>70.997000001075648</v>
      </c>
      <c r="Z40" s="10">
        <v>68.328000001448032</v>
      </c>
      <c r="AA40" s="342">
        <f t="shared" si="8"/>
        <v>-2.6689999996276157</v>
      </c>
      <c r="AB40" s="10">
        <v>34.538099932586078</v>
      </c>
      <c r="AC40" s="342">
        <f t="shared" si="9"/>
        <v>31.869099932958463</v>
      </c>
      <c r="AD40" s="343">
        <f t="shared" si="10"/>
        <v>2.6779356428508372E-2</v>
      </c>
    </row>
    <row r="41" spans="1:30" x14ac:dyDescent="0.2">
      <c r="A41" t="str">
        <f t="shared" si="20"/>
        <v>24 Business, media and public service professionals</v>
      </c>
      <c r="B41" s="11">
        <v>2.3643316493577045</v>
      </c>
      <c r="C41" s="11">
        <v>4.3006626078225256</v>
      </c>
      <c r="D41" s="11">
        <f t="shared" si="21"/>
        <v>1.9363309584648212</v>
      </c>
      <c r="E41" s="11">
        <v>1.6438099803213884</v>
      </c>
      <c r="F41" s="11">
        <f t="shared" si="22"/>
        <v>3.5801409387862098</v>
      </c>
      <c r="G41" s="200">
        <f t="shared" si="23"/>
        <v>3.5815274259677787E-2</v>
      </c>
      <c r="I41" s="11" t="str">
        <f>I30</f>
        <v>Managers, directors and senior officials</v>
      </c>
      <c r="J41" s="11">
        <f t="array" ref="J41:J49">MMULT(aggregation!$B$38:$AA$46,B94:B119)</f>
        <v>67.9952459805926</v>
      </c>
      <c r="K41" s="11">
        <f t="array" ref="K41:K49">MMULT(aggregation!$B$38:$AA$46,C94:C119)</f>
        <v>90.572213675601645</v>
      </c>
      <c r="L41" s="11">
        <f t="array" ref="L41:L49">MMULT(aggregation!$B$38:$AA$46,D94:D119)</f>
        <v>22.576967695009046</v>
      </c>
      <c r="M41" s="11">
        <f t="array" ref="M41:M49">MMULT(aggregation!$B$38:$AA$46,E94:E119)</f>
        <v>45.764643946314635</v>
      </c>
      <c r="N41" s="11">
        <f t="array" ref="N41:N49">MMULT(aggregation!$B$38:$AA$46,F94:F119)</f>
        <v>68.341611641323681</v>
      </c>
      <c r="P41" s="10" t="str">
        <f>name!D9</f>
        <v>24 Business, media and public service professionals</v>
      </c>
      <c r="Q41" s="11">
        <v>73.775627588798926</v>
      </c>
      <c r="R41" s="11">
        <v>95.724147420649373</v>
      </c>
      <c r="S41" s="342">
        <f t="shared" si="24"/>
        <v>21.948519831850447</v>
      </c>
      <c r="T41" s="342">
        <v>46.698752951100708</v>
      </c>
      <c r="U41" s="342">
        <f t="shared" si="25"/>
        <v>68.647272782951148</v>
      </c>
      <c r="V41" s="343">
        <f t="shared" si="26"/>
        <v>3.3234231138624004E-2</v>
      </c>
      <c r="W41" s="343"/>
      <c r="X41" s="10" t="str">
        <f>name!A38</f>
        <v>Water transport</v>
      </c>
      <c r="Y41" s="10">
        <v>1.8000000000116499E-2</v>
      </c>
      <c r="Z41" s="10">
        <v>1.2999999999953714E-2</v>
      </c>
      <c r="AA41" s="342">
        <f t="shared" si="8"/>
        <v>-5.0000000001627857E-3</v>
      </c>
      <c r="AB41" s="10">
        <v>6.1430076910938842E-3</v>
      </c>
      <c r="AC41" s="342">
        <f t="shared" si="9"/>
        <v>1.1430076909310985E-3</v>
      </c>
      <c r="AD41" s="343">
        <f t="shared" si="10"/>
        <v>1.9767713581400725E-2</v>
      </c>
    </row>
    <row r="42" spans="1:30" x14ac:dyDescent="0.2">
      <c r="A42" t="str">
        <f t="shared" si="20"/>
        <v>31 Science, engineering and technology associate professionals</v>
      </c>
      <c r="B42" s="11">
        <v>0.83669401683848921</v>
      </c>
      <c r="C42" s="11">
        <v>1.3627187541050965</v>
      </c>
      <c r="D42" s="11">
        <f t="shared" si="21"/>
        <v>0.52602473726660726</v>
      </c>
      <c r="E42" s="11">
        <v>0.46803591413593154</v>
      </c>
      <c r="F42" s="11">
        <f t="shared" si="22"/>
        <v>0.99406065140253874</v>
      </c>
      <c r="G42" s="200">
        <f t="shared" si="23"/>
        <v>3.0062549191608445E-2</v>
      </c>
      <c r="I42" s="11" t="str">
        <f>I31</f>
        <v>Professional occupations</v>
      </c>
      <c r="J42" s="11">
        <v>169.11624036943871</v>
      </c>
      <c r="K42" s="11">
        <v>199.30087747231826</v>
      </c>
      <c r="L42" s="11">
        <v>30.184637102879531</v>
      </c>
      <c r="M42" s="11">
        <v>94.522584351600216</v>
      </c>
      <c r="N42" s="11">
        <v>124.70722145447975</v>
      </c>
      <c r="P42" s="10" t="str">
        <f>name!D10</f>
        <v>31 Science, engineering and technology associate professionals</v>
      </c>
      <c r="Q42" s="11">
        <v>12.600881849873954</v>
      </c>
      <c r="R42" s="11">
        <v>15.201339912632536</v>
      </c>
      <c r="S42" s="342">
        <f t="shared" si="24"/>
        <v>2.600458062758582</v>
      </c>
      <c r="T42" s="342">
        <v>6.7900684991629578</v>
      </c>
      <c r="U42" s="342">
        <f t="shared" si="25"/>
        <v>9.3905265619215399</v>
      </c>
      <c r="V42" s="343">
        <f t="shared" si="26"/>
        <v>2.9152840351206244E-2</v>
      </c>
      <c r="W42" s="343"/>
      <c r="X42" s="10" t="str">
        <f>name!A39</f>
        <v>Air transport</v>
      </c>
      <c r="Y42" s="10">
        <v>1.0630000000037032</v>
      </c>
      <c r="Z42" s="10">
        <v>1.4569999999947347</v>
      </c>
      <c r="AA42" s="342">
        <f t="shared" si="8"/>
        <v>0.39399999999103152</v>
      </c>
      <c r="AB42" s="10">
        <v>0.63347077222613024</v>
      </c>
      <c r="AC42" s="342">
        <f t="shared" si="9"/>
        <v>1.0274707722171619</v>
      </c>
      <c r="AD42" s="343">
        <f t="shared" si="10"/>
        <v>3.165433594588718E-2</v>
      </c>
    </row>
    <row r="43" spans="1:30" x14ac:dyDescent="0.2">
      <c r="A43" t="str">
        <f t="shared" si="20"/>
        <v>32 Health and social care associate professionals</v>
      </c>
      <c r="B43" s="11">
        <v>0.17804935826636681</v>
      </c>
      <c r="C43" s="11">
        <v>0.34170263107473425</v>
      </c>
      <c r="D43" s="11">
        <f t="shared" si="21"/>
        <v>0.16365327280836744</v>
      </c>
      <c r="E43" s="11">
        <v>0.14392364675141864</v>
      </c>
      <c r="F43" s="11">
        <f t="shared" si="22"/>
        <v>0.30757691955978606</v>
      </c>
      <c r="G43" s="200">
        <f t="shared" si="23"/>
        <v>4.0284042251643504E-2</v>
      </c>
      <c r="I43" s="11" t="str">
        <f>I32</f>
        <v>Associate professional occupations</v>
      </c>
      <c r="J43" s="11">
        <v>78.803757024348897</v>
      </c>
      <c r="K43" s="11">
        <v>96.931022415883049</v>
      </c>
      <c r="L43" s="11">
        <v>18.127265391534156</v>
      </c>
      <c r="M43" s="11">
        <v>44.349092968746135</v>
      </c>
      <c r="N43" s="11">
        <v>62.476358360280287</v>
      </c>
      <c r="P43" s="10" t="str">
        <f>name!D11</f>
        <v>32 Health and social care associate professionals</v>
      </c>
      <c r="Q43" s="11">
        <v>34.632967869733193</v>
      </c>
      <c r="R43" s="11">
        <v>39.833769056023165</v>
      </c>
      <c r="S43" s="342">
        <f t="shared" si="24"/>
        <v>5.2008011862899721</v>
      </c>
      <c r="T43" s="342">
        <v>22.030027177115031</v>
      </c>
      <c r="U43" s="342">
        <f t="shared" si="25"/>
        <v>27.230828363405003</v>
      </c>
      <c r="V43" s="343">
        <f t="shared" si="26"/>
        <v>3.336557064191159E-2</v>
      </c>
      <c r="W43" s="343"/>
      <c r="X43" s="10" t="str">
        <f>name!A40</f>
        <v>Warehousing, etc</v>
      </c>
      <c r="Y43" s="10">
        <v>57.371000000414085</v>
      </c>
      <c r="Z43" s="10">
        <v>62.865000000378828</v>
      </c>
      <c r="AA43" s="342">
        <f t="shared" si="8"/>
        <v>5.4939999999647426</v>
      </c>
      <c r="AB43" s="10">
        <v>26.420074488740472</v>
      </c>
      <c r="AC43" s="342">
        <f t="shared" si="9"/>
        <v>31.914074488705214</v>
      </c>
      <c r="AD43" s="343">
        <f t="shared" si="10"/>
        <v>2.5574048217310352E-2</v>
      </c>
    </row>
    <row r="44" spans="1:30" x14ac:dyDescent="0.2">
      <c r="A44" t="str">
        <f t="shared" si="20"/>
        <v>33 Protective service occupations</v>
      </c>
      <c r="B44" s="11">
        <v>8.2425309127186083E-2</v>
      </c>
      <c r="C44" s="11">
        <v>0.21216762230073385</v>
      </c>
      <c r="D44" s="11">
        <f t="shared" si="21"/>
        <v>0.12974231317354779</v>
      </c>
      <c r="E44" s="11">
        <v>5.5738003197730923E-2</v>
      </c>
      <c r="F44" s="11">
        <f t="shared" si="22"/>
        <v>0.18548031637127871</v>
      </c>
      <c r="G44" s="200">
        <f t="shared" si="23"/>
        <v>3.5036050919328376E-2</v>
      </c>
      <c r="I44" s="11" t="str">
        <f>I33</f>
        <v>Administrative and secretarial occupations</v>
      </c>
      <c r="J44" s="11">
        <v>45.051403954247718</v>
      </c>
      <c r="K44" s="11">
        <v>61.466199221331351</v>
      </c>
      <c r="L44" s="11">
        <v>16.41479526708363</v>
      </c>
      <c r="M44" s="11">
        <v>31.375962894913915</v>
      </c>
      <c r="N44" s="11">
        <v>47.790758161997545</v>
      </c>
      <c r="P44" s="10" t="str">
        <f>name!D12</f>
        <v>33 Protective service occupations</v>
      </c>
      <c r="Q44" s="11">
        <v>5.2967824101904828</v>
      </c>
      <c r="R44" s="11">
        <v>9.6963333911826126</v>
      </c>
      <c r="S44" s="342">
        <f t="shared" si="24"/>
        <v>4.3995509809921298</v>
      </c>
      <c r="T44" s="342">
        <v>3.7646098904673453</v>
      </c>
      <c r="U44" s="342">
        <f t="shared" si="25"/>
        <v>8.164160871459476</v>
      </c>
      <c r="V44" s="343">
        <f t="shared" si="26"/>
        <v>3.6443232216454513E-2</v>
      </c>
      <c r="W44" s="343"/>
      <c r="X44" s="10" t="str">
        <f>name!A41</f>
        <v>Postal and courier</v>
      </c>
      <c r="Y44" s="10">
        <v>32.770000000343408</v>
      </c>
      <c r="Z44" s="10">
        <v>37.044000000025015</v>
      </c>
      <c r="AA44" s="342">
        <f t="shared" si="8"/>
        <v>4.2739999996816067</v>
      </c>
      <c r="AB44" s="10">
        <v>16.794869027372979</v>
      </c>
      <c r="AC44" s="342">
        <f t="shared" si="9"/>
        <v>21.068869027054586</v>
      </c>
      <c r="AD44" s="343">
        <f t="shared" si="10"/>
        <v>2.7968566216459489E-2</v>
      </c>
    </row>
    <row r="45" spans="1:30" x14ac:dyDescent="0.2">
      <c r="A45" t="str">
        <f t="shared" si="20"/>
        <v>34 Culture, media and sports occupations</v>
      </c>
      <c r="B45" s="11">
        <v>0.40610536445545642</v>
      </c>
      <c r="C45" s="11">
        <v>0.58636456413464499</v>
      </c>
      <c r="D45" s="11">
        <f t="shared" ref="D45:D46" si="27">C45-B45</f>
        <v>0.18025919967918858</v>
      </c>
      <c r="E45" s="11">
        <v>0.22567447906719501</v>
      </c>
      <c r="F45" s="11">
        <f t="shared" ref="F45:F46" si="28">SUM(D45:E45)</f>
        <v>0.40593367874638359</v>
      </c>
      <c r="G45" s="200">
        <f t="shared" si="23"/>
        <v>2.9900184562394072E-2</v>
      </c>
      <c r="I45" s="11" t="str">
        <f t="shared" ref="I45:I49" si="29">I34</f>
        <v>Skilled trades occupations</v>
      </c>
      <c r="J45" s="11">
        <v>14.987378551661942</v>
      </c>
      <c r="K45" s="11">
        <v>22.392286098975461</v>
      </c>
      <c r="L45" s="11">
        <v>7.4049075473135204</v>
      </c>
      <c r="M45" s="11">
        <v>10.545622191335234</v>
      </c>
      <c r="N45" s="11">
        <v>17.950529738648751</v>
      </c>
      <c r="P45" s="10" t="str">
        <f>name!D13</f>
        <v>34 Culture, media and sports occupations</v>
      </c>
      <c r="Q45" s="11">
        <v>16.095832788587543</v>
      </c>
      <c r="R45" s="11">
        <v>16.179341939598753</v>
      </c>
      <c r="S45" s="342">
        <f t="shared" si="24"/>
        <v>8.3509151011210037E-2</v>
      </c>
      <c r="T45" s="342">
        <v>7.9025529707897277</v>
      </c>
      <c r="U45" s="342">
        <f t="shared" si="25"/>
        <v>7.9860621218009378</v>
      </c>
      <c r="V45" s="343">
        <f t="shared" si="26"/>
        <v>2.6986114943169381E-2</v>
      </c>
      <c r="W45" s="343"/>
      <c r="X45" s="10" t="str">
        <f>name!A42</f>
        <v>Accommodation</v>
      </c>
      <c r="Y45" s="10">
        <v>28.609000000511976</v>
      </c>
      <c r="Z45" s="10">
        <v>36.432999999766743</v>
      </c>
      <c r="AA45" s="342">
        <f t="shared" si="8"/>
        <v>7.8239999992547666</v>
      </c>
      <c r="AB45" s="10">
        <v>17.220259181447719</v>
      </c>
      <c r="AC45" s="342">
        <f t="shared" si="9"/>
        <v>25.044259180702486</v>
      </c>
      <c r="AD45" s="343">
        <f t="shared" si="10"/>
        <v>3.1912034305619175E-2</v>
      </c>
    </row>
    <row r="46" spans="1:30" x14ac:dyDescent="0.2">
      <c r="A46" t="str">
        <f t="shared" si="20"/>
        <v>35 Business and public service associate professionals</v>
      </c>
      <c r="B46" s="11">
        <v>1.5140417570661675</v>
      </c>
      <c r="C46" s="11">
        <v>2.4826411980511618</v>
      </c>
      <c r="D46" s="11">
        <f t="shared" si="27"/>
        <v>0.96859944098499429</v>
      </c>
      <c r="E46" s="11">
        <v>0.90081941684573508</v>
      </c>
      <c r="F46" s="11">
        <f t="shared" si="28"/>
        <v>1.8694188578307294</v>
      </c>
      <c r="G46" s="200">
        <f t="shared" si="23"/>
        <v>3.1613351734043338E-2</v>
      </c>
      <c r="I46" s="11" t="str">
        <f t="shared" si="29"/>
        <v>Caring, leisure and other service occupations</v>
      </c>
      <c r="J46" s="11">
        <v>30.713066243755325</v>
      </c>
      <c r="K46" s="11">
        <v>51.840582461087749</v>
      </c>
      <c r="L46" s="11">
        <v>21.127516217332428</v>
      </c>
      <c r="M46" s="11">
        <v>27.413185207952242</v>
      </c>
      <c r="N46" s="11">
        <v>48.540701425284674</v>
      </c>
      <c r="P46" s="10" t="str">
        <f>name!D14</f>
        <v>35 Business and public service associate professionals</v>
      </c>
      <c r="Q46" s="11">
        <v>64.077015705968734</v>
      </c>
      <c r="R46" s="11">
        <v>70.271266030986169</v>
      </c>
      <c r="S46" s="342">
        <f t="shared" si="24"/>
        <v>6.1942503250174354</v>
      </c>
      <c r="T46" s="342">
        <v>35.341272998592764</v>
      </c>
      <c r="U46" s="342">
        <f t="shared" si="25"/>
        <v>41.535523323610199</v>
      </c>
      <c r="V46" s="343">
        <f t="shared" si="26"/>
        <v>2.9716330637817201E-2</v>
      </c>
      <c r="W46" s="343"/>
      <c r="X46" s="10" t="str">
        <f>name!A43</f>
        <v>Food and beverage services</v>
      </c>
      <c r="Y46" s="10">
        <v>115.03100000191375</v>
      </c>
      <c r="Z46" s="10">
        <v>116.24899999944327</v>
      </c>
      <c r="AA46" s="342">
        <f t="shared" si="8"/>
        <v>1.2179999975295175</v>
      </c>
      <c r="AB46" s="10">
        <v>55.398925060110166</v>
      </c>
      <c r="AC46" s="342">
        <f t="shared" si="9"/>
        <v>56.616925057639683</v>
      </c>
      <c r="AD46" s="343">
        <f t="shared" si="10"/>
        <v>2.6554624674077099E-2</v>
      </c>
    </row>
    <row r="47" spans="1:30" x14ac:dyDescent="0.2">
      <c r="A47" t="str">
        <f t="shared" si="20"/>
        <v>41 Administrative occupations</v>
      </c>
      <c r="B47" s="11">
        <v>0.94702694334003035</v>
      </c>
      <c r="C47" s="11">
        <v>1.5917428281850279</v>
      </c>
      <c r="D47" s="11">
        <f t="shared" si="21"/>
        <v>0.64471588484499753</v>
      </c>
      <c r="E47" s="11">
        <v>0.61041758117622635</v>
      </c>
      <c r="F47" s="11">
        <f t="shared" si="22"/>
        <v>1.2551334660212239</v>
      </c>
      <c r="G47" s="200">
        <f t="shared" si="23"/>
        <v>3.3721026279426303E-2</v>
      </c>
      <c r="I47" s="11" t="str">
        <f t="shared" si="29"/>
        <v>Sales and customer service occupations</v>
      </c>
      <c r="J47" s="11">
        <v>25.471752842896354</v>
      </c>
      <c r="K47" s="11">
        <v>41.214766890347008</v>
      </c>
      <c r="L47" s="11">
        <v>15.743014047450654</v>
      </c>
      <c r="M47" s="11">
        <v>18.246681099440504</v>
      </c>
      <c r="N47" s="11">
        <v>33.989695146891158</v>
      </c>
      <c r="P47" s="10" t="str">
        <f>name!D15</f>
        <v>41 Administrative occupations</v>
      </c>
      <c r="Q47" s="11">
        <v>153.12876555517886</v>
      </c>
      <c r="R47" s="11">
        <v>125.92451056642848</v>
      </c>
      <c r="S47" s="342">
        <f t="shared" si="24"/>
        <v>-27.204254988750378</v>
      </c>
      <c r="T47" s="342">
        <v>76.077566775630601</v>
      </c>
      <c r="U47" s="342">
        <f t="shared" si="25"/>
        <v>48.873311786880222</v>
      </c>
      <c r="V47" s="343">
        <f t="shared" si="26"/>
        <v>2.7254349271421674E-2</v>
      </c>
      <c r="W47" s="343"/>
      <c r="X47" s="10" t="str">
        <f>name!A44</f>
        <v>Publishing activities</v>
      </c>
      <c r="Y47" s="10">
        <v>5.0839999999473839</v>
      </c>
      <c r="Z47" s="10">
        <v>5.0529999999909236</v>
      </c>
      <c r="AA47" s="342">
        <f t="shared" si="8"/>
        <v>-3.09999999564603E-2</v>
      </c>
      <c r="AB47" s="10">
        <v>2.2770489960502762</v>
      </c>
      <c r="AC47" s="342">
        <f t="shared" si="9"/>
        <v>2.2460489960938159</v>
      </c>
      <c r="AD47" s="343">
        <f t="shared" si="10"/>
        <v>2.4980518833037202E-2</v>
      </c>
    </row>
    <row r="48" spans="1:30" x14ac:dyDescent="0.2">
      <c r="A48" t="str">
        <f t="shared" si="20"/>
        <v>42 Secretarial and related occupations</v>
      </c>
      <c r="B48" s="11">
        <v>8.6894519621524488E-2</v>
      </c>
      <c r="C48" s="11">
        <v>0.21864213374990946</v>
      </c>
      <c r="D48" s="11">
        <f t="shared" si="21"/>
        <v>0.13174761412838498</v>
      </c>
      <c r="E48" s="11">
        <v>8.3037450538754567E-2</v>
      </c>
      <c r="F48" s="11">
        <f t="shared" si="22"/>
        <v>0.21478506466713954</v>
      </c>
      <c r="G48" s="200">
        <f t="shared" si="23"/>
        <v>4.5728265803391732E-2</v>
      </c>
      <c r="I48" s="11" t="str">
        <f t="shared" si="29"/>
        <v>Process, plant and machine operatives</v>
      </c>
      <c r="J48" s="11">
        <v>7.8810806706487888</v>
      </c>
      <c r="K48" s="11">
        <v>16.185990841936906</v>
      </c>
      <c r="L48" s="11">
        <v>8.3049101712881175</v>
      </c>
      <c r="M48" s="11">
        <v>7.160914314151281</v>
      </c>
      <c r="N48" s="11">
        <v>15.465824485439398</v>
      </c>
      <c r="P48" s="10" t="str">
        <f>name!D16</f>
        <v>42 Secretarial and related occupations</v>
      </c>
      <c r="Q48" s="11">
        <v>42.034333923316517</v>
      </c>
      <c r="R48" s="11">
        <v>32.963813044063471</v>
      </c>
      <c r="S48" s="342">
        <f t="shared" si="24"/>
        <v>-9.0705208792530456</v>
      </c>
      <c r="T48" s="342">
        <v>21.726611235841709</v>
      </c>
      <c r="U48" s="342">
        <f t="shared" si="25"/>
        <v>12.656090356588663</v>
      </c>
      <c r="V48" s="343">
        <f t="shared" si="26"/>
        <v>2.8166316019618387E-2</v>
      </c>
      <c r="W48" s="343"/>
      <c r="X48" s="10" t="str">
        <f>name!A45</f>
        <v>Film and music</v>
      </c>
      <c r="Y48" s="10">
        <v>2.576000000010005</v>
      </c>
      <c r="Z48" s="10">
        <v>2.6190000000054114</v>
      </c>
      <c r="AA48" s="342">
        <f t="shared" si="8"/>
        <v>4.299999999540649E-2</v>
      </c>
      <c r="AB48" s="10">
        <v>1.3369322551335978</v>
      </c>
      <c r="AC48" s="342">
        <f t="shared" si="9"/>
        <v>1.3799322551290043</v>
      </c>
      <c r="AD48" s="343">
        <f t="shared" si="10"/>
        <v>2.8261948343995869E-2</v>
      </c>
    </row>
    <row r="49" spans="1:30" x14ac:dyDescent="0.2">
      <c r="A49" t="str">
        <f t="shared" si="20"/>
        <v>51 Skilled agricultural and related trades</v>
      </c>
      <c r="B49" s="11">
        <v>6.2815548716252098E-2</v>
      </c>
      <c r="C49" s="11">
        <v>9.9560764518279055E-2</v>
      </c>
      <c r="D49" s="11">
        <f t="shared" si="21"/>
        <v>3.6745215802026956E-2</v>
      </c>
      <c r="E49" s="11">
        <v>5.3950362382415504E-2</v>
      </c>
      <c r="F49" s="11">
        <f t="shared" si="22"/>
        <v>9.069557818444246E-2</v>
      </c>
      <c r="G49" s="200">
        <f t="shared" si="23"/>
        <v>4.2197261415859E-2</v>
      </c>
      <c r="I49" s="11" t="str">
        <f t="shared" si="29"/>
        <v>Elementary occupations</v>
      </c>
      <c r="J49" s="11">
        <v>17.151367382038401</v>
      </c>
      <c r="K49" s="11">
        <v>27.202053452975143</v>
      </c>
      <c r="L49" s="11">
        <v>10.050686070936742</v>
      </c>
      <c r="M49" s="11">
        <v>13.661528823985757</v>
      </c>
      <c r="N49" s="11">
        <v>23.7122148949225</v>
      </c>
      <c r="P49" s="10" t="str">
        <f>name!D17</f>
        <v>51 Skilled agricultural and related trades</v>
      </c>
      <c r="Q49" s="11">
        <v>7.7953776515740589</v>
      </c>
      <c r="R49" s="11">
        <v>9.2073864081341732</v>
      </c>
      <c r="S49" s="342">
        <f t="shared" si="24"/>
        <v>1.4120087565601143</v>
      </c>
      <c r="T49" s="342">
        <v>5.9710058695045856</v>
      </c>
      <c r="U49" s="342">
        <f t="shared" si="25"/>
        <v>7.3830146260646998</v>
      </c>
      <c r="V49" s="343">
        <f>IF(Q49&gt;0,(1+(T49/Q49))^(1/($C$6-$B$6))-1,0)</f>
        <v>3.8641122999108157E-2</v>
      </c>
      <c r="W49" s="343"/>
      <c r="X49" s="10" t="str">
        <f>name!A46</f>
        <v>Broadcasting</v>
      </c>
      <c r="Y49" s="10">
        <v>0.97999999998910126</v>
      </c>
      <c r="Z49" s="10">
        <v>0.95800000000690211</v>
      </c>
      <c r="AA49" s="342">
        <f t="shared" si="8"/>
        <v>-2.1999999982199148E-2</v>
      </c>
      <c r="AB49" s="10">
        <v>0.45059887343762456</v>
      </c>
      <c r="AC49" s="342">
        <f t="shared" si="9"/>
        <v>0.42859887345542541</v>
      </c>
      <c r="AD49" s="343">
        <f t="shared" si="10"/>
        <v>2.5540431379456718E-2</v>
      </c>
    </row>
    <row r="50" spans="1:30" x14ac:dyDescent="0.2">
      <c r="A50" t="str">
        <f t="shared" si="20"/>
        <v>52 Skilled metal, electrical and electronic trades</v>
      </c>
      <c r="B50" s="11">
        <v>8.0875344725168885E-2</v>
      </c>
      <c r="C50" s="11">
        <v>0.14729188710509866</v>
      </c>
      <c r="D50" s="11">
        <f t="shared" si="21"/>
        <v>6.6416542379929777E-2</v>
      </c>
      <c r="E50" s="11">
        <v>5.1228220561502363E-2</v>
      </c>
      <c r="F50" s="11">
        <f>SUM(D50:E50)</f>
        <v>0.11764476294143214</v>
      </c>
      <c r="G50" s="200">
        <f t="shared" si="23"/>
        <v>3.3252725652583415E-2</v>
      </c>
      <c r="O50" s="70"/>
      <c r="P50" s="10" t="str">
        <f>name!D18</f>
        <v>52 Skilled metal, electrical and electronic trades</v>
      </c>
      <c r="Q50" s="11">
        <v>1.7782517605696671</v>
      </c>
      <c r="R50" s="11">
        <v>5.0914674274539999</v>
      </c>
      <c r="S50" s="342">
        <f t="shared" si="24"/>
        <v>3.3132156668843331</v>
      </c>
      <c r="T50" s="342">
        <v>2.2791031204153538</v>
      </c>
      <c r="U50" s="342">
        <f t="shared" si="25"/>
        <v>5.5923187872996873</v>
      </c>
      <c r="V50" s="343">
        <f t="shared" si="26"/>
        <v>5.6533608387386192E-2</v>
      </c>
      <c r="W50" s="343"/>
      <c r="X50" s="10" t="str">
        <f>name!A47</f>
        <v>Telecommunications</v>
      </c>
      <c r="Y50" s="10">
        <v>7.8089999998727428</v>
      </c>
      <c r="Z50" s="10">
        <v>8.9599999998854578</v>
      </c>
      <c r="AA50" s="342">
        <f t="shared" si="8"/>
        <v>1.151000000012715</v>
      </c>
      <c r="AB50" s="10">
        <v>3.568504932638402</v>
      </c>
      <c r="AC50" s="342">
        <f t="shared" si="9"/>
        <v>4.7195049326511169</v>
      </c>
      <c r="AD50" s="343">
        <f t="shared" si="10"/>
        <v>2.5408171394876389E-2</v>
      </c>
    </row>
    <row r="51" spans="1:30" x14ac:dyDescent="0.2">
      <c r="A51" t="str">
        <f t="shared" si="20"/>
        <v>53 Skilled construction and building trades</v>
      </c>
      <c r="B51" s="11">
        <v>1.5524315377239738E-2</v>
      </c>
      <c r="C51" s="11">
        <v>2.8166141954992948E-2</v>
      </c>
      <c r="D51" s="11">
        <f t="shared" ref="D51" si="30">C51-B51</f>
        <v>1.264182657775321E-2</v>
      </c>
      <c r="E51" s="11">
        <v>1.2155655882044593E-2</v>
      </c>
      <c r="F51" s="11">
        <f>SUM(D51:E51)</f>
        <v>2.4797482459797803E-2</v>
      </c>
      <c r="G51" s="200">
        <f t="shared" si="23"/>
        <v>3.9306264883384623E-2</v>
      </c>
      <c r="I51" s="86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0.68868699383700882</v>
      </c>
      <c r="R51" s="11">
        <v>0.77701227141737772</v>
      </c>
      <c r="S51" s="342">
        <f t="shared" si="24"/>
        <v>8.8325277580368899E-2</v>
      </c>
      <c r="T51" s="342">
        <v>0.37540520053613308</v>
      </c>
      <c r="U51" s="342">
        <f t="shared" si="25"/>
        <v>0.46373047811650198</v>
      </c>
      <c r="V51" s="343">
        <f t="shared" si="26"/>
        <v>2.9430801081019364E-2</v>
      </c>
      <c r="W51" s="343"/>
      <c r="X51" s="10" t="str">
        <f>name!A48</f>
        <v>Computing services</v>
      </c>
      <c r="Y51" s="10">
        <v>33.081999999268184</v>
      </c>
      <c r="Z51" s="10">
        <v>38.193999999490423</v>
      </c>
      <c r="AA51" s="342">
        <f t="shared" si="8"/>
        <v>5.1120000002222383</v>
      </c>
      <c r="AB51" s="10">
        <v>15.49452665584676</v>
      </c>
      <c r="AC51" s="342">
        <f t="shared" si="9"/>
        <v>20.606526656069001</v>
      </c>
      <c r="AD51" s="343">
        <f t="shared" si="10"/>
        <v>2.5940828494707358E-2</v>
      </c>
    </row>
    <row r="52" spans="1:30" x14ac:dyDescent="0.2">
      <c r="A52" t="str">
        <f t="shared" si="20"/>
        <v>54 Textiles, printing and other skilled trades</v>
      </c>
      <c r="B52" s="11">
        <v>0.15033525430547726</v>
      </c>
      <c r="C52" s="11">
        <v>0.27202084671780258</v>
      </c>
      <c r="D52" s="11">
        <f t="shared" si="21"/>
        <v>0.12168559241232532</v>
      </c>
      <c r="E52" s="11">
        <v>9.5482659476378434E-2</v>
      </c>
      <c r="F52" s="11">
        <f t="shared" si="22"/>
        <v>0.21716825188870376</v>
      </c>
      <c r="G52" s="200">
        <f t="shared" si="23"/>
        <v>3.3324784450227574E-2</v>
      </c>
      <c r="I52" s="11" t="str">
        <f>I41</f>
        <v>Managers, directors and senior officials</v>
      </c>
      <c r="J52" s="11">
        <f t="array" ref="J52:J60">MMULT(aggregation!$B$38:$AA$46,B123:B148)</f>
        <v>13.886303650799057</v>
      </c>
      <c r="K52" s="11">
        <f t="array" ref="K52:K60">MMULT(aggregation!$B$38:$AA$46,C123:C148)</f>
        <v>16.957421160365005</v>
      </c>
      <c r="L52" s="11">
        <f t="array" ref="L52:L60">MMULT(aggregation!$B$38:$AA$46,D123:D148)</f>
        <v>3.0711175095659469</v>
      </c>
      <c r="M52" s="11">
        <f t="array" ref="M52:M60">MMULT(aggregation!$B$38:$AA$46,E123:E148)</f>
        <v>8.6205039143752096</v>
      </c>
      <c r="N52" s="11">
        <f t="array" ref="N52:N60">MMULT(aggregation!$B$38:$AA$46,F123:F148)</f>
        <v>11.691621423941157</v>
      </c>
      <c r="P52" s="10" t="str">
        <f>name!D20</f>
        <v>54 Textiles, printing and other skilled trades</v>
      </c>
      <c r="Q52" s="11">
        <v>17.615231650116986</v>
      </c>
      <c r="R52" s="11">
        <v>15.79109992113734</v>
      </c>
      <c r="S52" s="342">
        <f t="shared" si="24"/>
        <v>-1.8241317289796459</v>
      </c>
      <c r="T52" s="342">
        <v>9.1660753819696765</v>
      </c>
      <c r="U52" s="342">
        <f t="shared" si="25"/>
        <v>7.3419436529900306</v>
      </c>
      <c r="V52" s="343">
        <f t="shared" si="26"/>
        <v>2.8323026233590509E-2</v>
      </c>
      <c r="W52" s="343"/>
      <c r="X52" s="10" t="str">
        <f>name!A49</f>
        <v>Information services</v>
      </c>
      <c r="Y52" s="10">
        <v>5.8269999999122204</v>
      </c>
      <c r="Z52" s="10">
        <v>6.6879999999192385</v>
      </c>
      <c r="AA52" s="342">
        <f t="shared" si="8"/>
        <v>0.86100000000701815</v>
      </c>
      <c r="AB52" s="10">
        <v>2.6458326861236769</v>
      </c>
      <c r="AC52" s="342">
        <f t="shared" si="9"/>
        <v>3.5068326861306951</v>
      </c>
      <c r="AD52" s="343">
        <f t="shared" si="10"/>
        <v>2.5271552540210518E-2</v>
      </c>
    </row>
    <row r="53" spans="1:30" x14ac:dyDescent="0.2">
      <c r="A53" t="str">
        <f t="shared" si="20"/>
        <v>61 Caring personal service occupations</v>
      </c>
      <c r="B53" s="11">
        <v>0.12389962710039584</v>
      </c>
      <c r="C53" s="11">
        <v>0.26687849783996098</v>
      </c>
      <c r="D53" s="11">
        <f t="shared" si="21"/>
        <v>0.14297887073956514</v>
      </c>
      <c r="E53" s="11">
        <v>0.10271490926062729</v>
      </c>
      <c r="F53" s="11">
        <f t="shared" si="22"/>
        <v>0.24569378000019243</v>
      </c>
      <c r="G53" s="200">
        <f t="shared" si="23"/>
        <v>4.1073002543561721E-2</v>
      </c>
      <c r="I53" s="11" t="str">
        <f>I42</f>
        <v>Professional occupations</v>
      </c>
      <c r="J53" s="11">
        <v>24.0861049860899</v>
      </c>
      <c r="K53" s="11">
        <v>16.396189464740146</v>
      </c>
      <c r="L53" s="11">
        <v>-7.6899155213497536</v>
      </c>
      <c r="M53" s="11">
        <v>7.1923396708904814</v>
      </c>
      <c r="N53" s="11">
        <v>-0.49757585045927222</v>
      </c>
      <c r="P53" s="10" t="str">
        <f>name!D21</f>
        <v>61 Caring personal service occupations</v>
      </c>
      <c r="Q53" s="11">
        <v>165.23274304873001</v>
      </c>
      <c r="R53" s="11">
        <v>186.27761342193961</v>
      </c>
      <c r="S53" s="342">
        <f t="shared" si="24"/>
        <v>21.044870373209591</v>
      </c>
      <c r="T53" s="342">
        <v>103.17699630075907</v>
      </c>
      <c r="U53" s="342">
        <f t="shared" si="25"/>
        <v>124.22186667396866</v>
      </c>
      <c r="V53" s="343">
        <f t="shared" si="26"/>
        <v>3.2872728133791496E-2</v>
      </c>
      <c r="W53" s="343"/>
      <c r="X53" s="10" t="str">
        <f>name!A50</f>
        <v>Financial services</v>
      </c>
      <c r="Y53" s="10">
        <v>20.615999999723982</v>
      </c>
      <c r="Z53" s="10">
        <v>18.890999999954499</v>
      </c>
      <c r="AA53" s="342">
        <f t="shared" si="8"/>
        <v>-1.7249999997694836</v>
      </c>
      <c r="AB53" s="10">
        <v>9.8206916024589326</v>
      </c>
      <c r="AC53" s="342">
        <f t="shared" si="9"/>
        <v>8.095691602689449</v>
      </c>
      <c r="AD53" s="343">
        <f t="shared" si="10"/>
        <v>2.6312304920826923E-2</v>
      </c>
    </row>
    <row r="54" spans="1:30" x14ac:dyDescent="0.2">
      <c r="A54" t="str">
        <f t="shared" si="20"/>
        <v>62 Leisure, travel and related personal service occupations</v>
      </c>
      <c r="B54" s="11">
        <v>5.303031618806147E-2</v>
      </c>
      <c r="C54" s="11">
        <v>0.11890720729487546</v>
      </c>
      <c r="D54" s="11">
        <f t="shared" ref="D54:D55" si="31">C54-B54</f>
        <v>6.5876891106813995E-2</v>
      </c>
      <c r="E54" s="11">
        <v>4.1787998906416678E-2</v>
      </c>
      <c r="F54" s="11">
        <f t="shared" ref="F54:F55" si="32">SUM(D54:E54)</f>
        <v>0.10766489001323068</v>
      </c>
      <c r="G54" s="200">
        <f t="shared" si="23"/>
        <v>3.9500097677813928E-2</v>
      </c>
      <c r="I54" s="11" t="str">
        <f>I43</f>
        <v>Associate professional occupations</v>
      </c>
      <c r="J54" s="11">
        <v>21.828548517939851</v>
      </c>
      <c r="K54" s="11">
        <v>23.098250383999542</v>
      </c>
      <c r="L54" s="11">
        <v>1.2697018660596917</v>
      </c>
      <c r="M54" s="11">
        <v>10.057616533943616</v>
      </c>
      <c r="N54" s="11">
        <v>11.327318400003307</v>
      </c>
      <c r="P54" s="10" t="str">
        <f>name!D22</f>
        <v>62 Leisure, travel and related personal service occupations</v>
      </c>
      <c r="Q54" s="11">
        <v>41.921551507002079</v>
      </c>
      <c r="R54" s="11">
        <v>41.740820208565474</v>
      </c>
      <c r="S54" s="342">
        <f t="shared" si="24"/>
        <v>-0.18073129843660496</v>
      </c>
      <c r="T54" s="342">
        <v>22.429419050337636</v>
      </c>
      <c r="U54" s="342">
        <f t="shared" si="25"/>
        <v>22.248687751901031</v>
      </c>
      <c r="V54" s="343">
        <f t="shared" si="26"/>
        <v>2.8982171917057542E-2</v>
      </c>
      <c r="W54" s="343"/>
      <c r="X54" s="10" t="str">
        <f>name!A51</f>
        <v>Insurance and pensions</v>
      </c>
      <c r="Y54" s="10">
        <v>4.2489999999430426</v>
      </c>
      <c r="Z54" s="10">
        <v>3.8760000000030304</v>
      </c>
      <c r="AA54" s="342">
        <f t="shared" si="8"/>
        <v>-0.37299999994001221</v>
      </c>
      <c r="AB54" s="10">
        <v>2.0483653420715733</v>
      </c>
      <c r="AC54" s="342">
        <f t="shared" si="9"/>
        <v>1.6753653421315611</v>
      </c>
      <c r="AD54" s="343">
        <f t="shared" si="10"/>
        <v>2.6576875614115814E-2</v>
      </c>
    </row>
    <row r="55" spans="1:30" x14ac:dyDescent="0.2">
      <c r="A55" t="str">
        <f t="shared" si="20"/>
        <v>63 Community and civil enforcement occupations</v>
      </c>
      <c r="B55" s="11">
        <v>5.031273929037211E-3</v>
      </c>
      <c r="C55" s="11">
        <v>1.0486582664745907E-2</v>
      </c>
      <c r="D55" s="11">
        <f t="shared" si="31"/>
        <v>5.4553087357086961E-3</v>
      </c>
      <c r="E55" s="11">
        <v>4.1024275156326361E-3</v>
      </c>
      <c r="F55" s="11">
        <f t="shared" si="32"/>
        <v>9.5577362513413321E-3</v>
      </c>
      <c r="G55" s="200">
        <f t="shared" si="23"/>
        <v>4.0553920595842063E-2</v>
      </c>
      <c r="I55" s="11" t="str">
        <f>I44</f>
        <v>Administrative and secretarial occupations</v>
      </c>
      <c r="J55" s="11">
        <v>17.915750741882029</v>
      </c>
      <c r="K55" s="11">
        <v>23.349046069751434</v>
      </c>
      <c r="L55" s="11">
        <v>5.4332953278694038</v>
      </c>
      <c r="M55" s="11">
        <v>12.543306669929976</v>
      </c>
      <c r="N55" s="11">
        <v>17.976601997799378</v>
      </c>
      <c r="P55" s="10" t="str">
        <f>name!D23</f>
        <v>63 Community and civil enforcement occupations</v>
      </c>
      <c r="Q55" s="11">
        <v>0.47796319842238649</v>
      </c>
      <c r="R55" s="11">
        <v>0.62404187209398865</v>
      </c>
      <c r="S55" s="342">
        <f t="shared" si="24"/>
        <v>0.14607867367160215</v>
      </c>
      <c r="T55" s="342">
        <v>0.36237714284977229</v>
      </c>
      <c r="U55" s="342">
        <f t="shared" si="25"/>
        <v>0.50845581652137439</v>
      </c>
      <c r="V55" s="343">
        <f t="shared" si="26"/>
        <v>3.8334737549359899E-2</v>
      </c>
      <c r="W55" s="343"/>
      <c r="X55" s="10" t="str">
        <f>name!A52</f>
        <v>Auxiliary financial services</v>
      </c>
      <c r="Y55" s="10">
        <v>19.902999999738647</v>
      </c>
      <c r="Z55" s="10">
        <v>18.729999999982429</v>
      </c>
      <c r="AA55" s="342">
        <f t="shared" si="8"/>
        <v>-1.1729999997562182</v>
      </c>
      <c r="AB55" s="10">
        <v>9.2428549062967953</v>
      </c>
      <c r="AC55" s="342">
        <f t="shared" si="9"/>
        <v>8.0698549065405771</v>
      </c>
      <c r="AD55" s="343">
        <f t="shared" si="10"/>
        <v>2.5755569474858575E-2</v>
      </c>
    </row>
    <row r="56" spans="1:30" x14ac:dyDescent="0.2">
      <c r="A56" t="str">
        <f t="shared" si="20"/>
        <v>71 Sales occupations</v>
      </c>
      <c r="B56" s="11">
        <v>0.29517858274623621</v>
      </c>
      <c r="C56" s="11">
        <v>0.44413495161297195</v>
      </c>
      <c r="D56" s="11">
        <f t="shared" si="21"/>
        <v>0.14895636886673574</v>
      </c>
      <c r="E56" s="11">
        <v>0.15992243891392149</v>
      </c>
      <c r="F56" s="11">
        <f t="shared" si="22"/>
        <v>0.30887880778065724</v>
      </c>
      <c r="G56" s="200">
        <f t="shared" si="23"/>
        <v>2.9283153122018124E-2</v>
      </c>
      <c r="I56" s="11" t="str">
        <f t="shared" ref="I56:I60" si="33">I45</f>
        <v>Skilled trades occupations</v>
      </c>
      <c r="J56" s="11">
        <v>6.1619485046748981</v>
      </c>
      <c r="K56" s="11">
        <v>8.2432720086004796</v>
      </c>
      <c r="L56" s="11">
        <v>2.0813235039255824</v>
      </c>
      <c r="M56" s="11">
        <v>4.0359056998165137</v>
      </c>
      <c r="N56" s="11">
        <v>6.1172292037420952</v>
      </c>
      <c r="P56" s="10" t="str">
        <f>name!D24</f>
        <v>71 Sales occupations</v>
      </c>
      <c r="Q56" s="11">
        <v>97.504090383190203</v>
      </c>
      <c r="R56" s="11">
        <v>84.404783545041496</v>
      </c>
      <c r="S56" s="342">
        <f t="shared" si="24"/>
        <v>-13.099306838148706</v>
      </c>
      <c r="T56" s="342">
        <v>49.673088239948157</v>
      </c>
      <c r="U56" s="342">
        <f t="shared" si="25"/>
        <v>36.573781401799451</v>
      </c>
      <c r="V56" s="343">
        <f t="shared" si="26"/>
        <v>2.7829730869900926E-2</v>
      </c>
      <c r="W56" s="343"/>
      <c r="X56" s="10" t="str">
        <f>name!A53</f>
        <v>Real estate</v>
      </c>
      <c r="Y56" s="10">
        <v>38.778999999762249</v>
      </c>
      <c r="Z56" s="10">
        <v>40.303999999940245</v>
      </c>
      <c r="AA56" s="342">
        <f t="shared" si="8"/>
        <v>1.5250000001779966</v>
      </c>
      <c r="AB56" s="10">
        <v>18.505050294202643</v>
      </c>
      <c r="AC56" s="342">
        <f t="shared" si="9"/>
        <v>20.03005029438064</v>
      </c>
      <c r="AD56" s="343">
        <f t="shared" si="10"/>
        <v>2.6350758123155238E-2</v>
      </c>
    </row>
    <row r="57" spans="1:30" x14ac:dyDescent="0.2">
      <c r="A57" t="str">
        <f t="shared" si="20"/>
        <v>72 Customer service occupations</v>
      </c>
      <c r="B57" s="11">
        <v>0.12262500167612882</v>
      </c>
      <c r="C57" s="11">
        <v>0.30438639425387576</v>
      </c>
      <c r="D57" s="11">
        <f t="shared" si="21"/>
        <v>0.18176139257774693</v>
      </c>
      <c r="E57" s="11">
        <v>9.4832930667567816E-2</v>
      </c>
      <c r="F57" s="11">
        <f t="shared" si="22"/>
        <v>0.27659432324531474</v>
      </c>
      <c r="G57" s="200">
        <f t="shared" si="23"/>
        <v>3.8930306494560751E-2</v>
      </c>
      <c r="I57" s="11" t="str">
        <f t="shared" si="33"/>
        <v>Caring, leisure and other service occupations</v>
      </c>
      <c r="J57" s="11">
        <v>22.583182300371828</v>
      </c>
      <c r="K57" s="11">
        <v>29.541958202522224</v>
      </c>
      <c r="L57" s="11">
        <v>6.9587759021503963</v>
      </c>
      <c r="M57" s="11">
        <v>15.739427589214372</v>
      </c>
      <c r="N57" s="11">
        <v>22.698203491364769</v>
      </c>
      <c r="P57" s="10" t="str">
        <f>name!D25</f>
        <v>72 Customer service occupations</v>
      </c>
      <c r="Q57" s="11">
        <v>26.801889353846089</v>
      </c>
      <c r="R57" s="11">
        <v>37.204281284964942</v>
      </c>
      <c r="S57" s="342">
        <f t="shared" si="24"/>
        <v>10.402391931118853</v>
      </c>
      <c r="T57" s="342">
        <v>18.415164163300989</v>
      </c>
      <c r="U57" s="342">
        <f t="shared" si="25"/>
        <v>28.817556094419842</v>
      </c>
      <c r="V57" s="343">
        <f t="shared" si="26"/>
        <v>3.5481768096280231E-2</v>
      </c>
      <c r="W57" s="343"/>
      <c r="X57" s="10" t="str">
        <f>name!A54</f>
        <v>Legal and accounting</v>
      </c>
      <c r="Y57" s="10">
        <v>41.981999999071952</v>
      </c>
      <c r="Z57" s="10">
        <v>46.243000000204169</v>
      </c>
      <c r="AA57" s="342">
        <f t="shared" si="8"/>
        <v>4.2610000011322171</v>
      </c>
      <c r="AB57" s="10">
        <v>22.660661829962216</v>
      </c>
      <c r="AC57" s="342">
        <f t="shared" si="9"/>
        <v>26.921661831094433</v>
      </c>
      <c r="AD57" s="343">
        <f t="shared" si="10"/>
        <v>2.9193592652961176E-2</v>
      </c>
    </row>
    <row r="58" spans="1:30" x14ac:dyDescent="0.2">
      <c r="A58" t="str">
        <f t="shared" si="20"/>
        <v>81 Process, plant and machine operatives</v>
      </c>
      <c r="B58" s="11">
        <v>0.13811839000991052</v>
      </c>
      <c r="C58" s="11">
        <v>0.4325153518492455</v>
      </c>
      <c r="D58" s="11">
        <f t="shared" ref="D58:D59" si="34">C58-B58</f>
        <v>0.29439696183933495</v>
      </c>
      <c r="E58" s="11">
        <v>0.14098864331495803</v>
      </c>
      <c r="F58" s="11">
        <f t="shared" ref="F58:F59" si="35">SUM(D58:E58)</f>
        <v>0.43538560515429298</v>
      </c>
      <c r="G58" s="200">
        <f t="shared" si="23"/>
        <v>4.8016092915631248E-2</v>
      </c>
      <c r="I58" s="11" t="str">
        <f t="shared" si="33"/>
        <v>Sales and customer service occupations</v>
      </c>
      <c r="J58" s="11">
        <v>8.9846259361718914</v>
      </c>
      <c r="K58" s="11">
        <v>14.324480521813175</v>
      </c>
      <c r="L58" s="11">
        <v>5.339854585641282</v>
      </c>
      <c r="M58" s="11">
        <v>6.5612471711742728</v>
      </c>
      <c r="N58" s="11">
        <v>11.901101756815555</v>
      </c>
      <c r="P58" s="10" t="str">
        <f>name!D26</f>
        <v>81 Process, plant and machine operatives</v>
      </c>
      <c r="Q58" s="11">
        <v>20.525061343465303</v>
      </c>
      <c r="R58" s="11">
        <v>28.028672868264309</v>
      </c>
      <c r="S58" s="342">
        <f t="shared" si="24"/>
        <v>7.5036115247990054</v>
      </c>
      <c r="T58" s="342">
        <v>12.542713751536105</v>
      </c>
      <c r="U58" s="342">
        <f t="shared" si="25"/>
        <v>20.046325276335111</v>
      </c>
      <c r="V58" s="343">
        <f t="shared" si="26"/>
        <v>3.2305007677738251E-2</v>
      </c>
      <c r="W58" s="343"/>
      <c r="X58" s="10" t="str">
        <f>name!A55</f>
        <v>Head offices, etc</v>
      </c>
      <c r="Y58" s="10">
        <v>65.677999998593648</v>
      </c>
      <c r="Z58" s="10">
        <v>67.03600000003425</v>
      </c>
      <c r="AA58" s="342">
        <f t="shared" si="8"/>
        <v>1.3580000014406011</v>
      </c>
      <c r="AB58" s="10">
        <v>32.779456593877335</v>
      </c>
      <c r="AC58" s="342">
        <f t="shared" si="9"/>
        <v>34.137456595317936</v>
      </c>
      <c r="AD58" s="343">
        <f t="shared" si="10"/>
        <v>2.7358250213364688E-2</v>
      </c>
    </row>
    <row r="59" spans="1:30" x14ac:dyDescent="0.2">
      <c r="A59" t="str">
        <f t="shared" si="20"/>
        <v>82 Transport and mobile machine drivers and operatives</v>
      </c>
      <c r="B59" s="11">
        <v>0.19160184284593068</v>
      </c>
      <c r="C59" s="11">
        <v>0.46111566603063653</v>
      </c>
      <c r="D59" s="11">
        <f t="shared" si="34"/>
        <v>0.26951382318470585</v>
      </c>
      <c r="E59" s="11">
        <v>0.20733119621248719</v>
      </c>
      <c r="F59" s="11">
        <f t="shared" si="35"/>
        <v>0.47684501939719304</v>
      </c>
      <c r="G59" s="200">
        <f t="shared" si="23"/>
        <v>5.0106519829735463E-2</v>
      </c>
      <c r="I59" s="11" t="str">
        <f t="shared" si="33"/>
        <v>Process, plant and machine operatives</v>
      </c>
      <c r="J59" s="11">
        <v>3.9202372986548886</v>
      </c>
      <c r="K59" s="11">
        <v>6.819143123763542</v>
      </c>
      <c r="L59" s="11">
        <v>2.8989058251086535</v>
      </c>
      <c r="M59" s="11">
        <v>3.1519813436400579</v>
      </c>
      <c r="N59" s="11">
        <v>6.0508871687487105</v>
      </c>
      <c r="P59" s="10" t="str">
        <f>name!D27</f>
        <v>82 Transport and mobile machine drivers and operatives</v>
      </c>
      <c r="Q59" s="11">
        <v>5.3001612001227141</v>
      </c>
      <c r="R59" s="11">
        <v>8.3247260184519316</v>
      </c>
      <c r="S59" s="342">
        <f t="shared" si="24"/>
        <v>3.0245648183292175</v>
      </c>
      <c r="T59" s="342">
        <v>4.6445839091443233</v>
      </c>
      <c r="U59" s="342">
        <f t="shared" si="25"/>
        <v>7.6691487274735408</v>
      </c>
      <c r="V59" s="343">
        <f t="shared" si="26"/>
        <v>4.2846301387356789E-2</v>
      </c>
      <c r="W59" s="343"/>
      <c r="X59" s="10" t="str">
        <f>name!A56</f>
        <v>Architectural and related</v>
      </c>
      <c r="Y59" s="10">
        <v>43.881999998952644</v>
      </c>
      <c r="Z59" s="10">
        <v>45.356999999741014</v>
      </c>
      <c r="AA59" s="342">
        <f t="shared" si="8"/>
        <v>1.4750000007883699</v>
      </c>
      <c r="AB59" s="10">
        <v>20.092647625259982</v>
      </c>
      <c r="AC59" s="342">
        <f t="shared" si="9"/>
        <v>21.567647626048352</v>
      </c>
      <c r="AD59" s="343">
        <f t="shared" si="10"/>
        <v>2.5450652955322672E-2</v>
      </c>
    </row>
    <row r="60" spans="1:30" x14ac:dyDescent="0.2">
      <c r="A60" t="str">
        <f t="shared" si="20"/>
        <v>91 Elementary trades and related occupations</v>
      </c>
      <c r="B60" s="11">
        <v>1.6719106833800984E-3</v>
      </c>
      <c r="C60" s="11">
        <v>2.1976848146301482E-3</v>
      </c>
      <c r="D60" s="11">
        <f t="shared" si="21"/>
        <v>5.2577413125004979E-4</v>
      </c>
      <c r="E60" s="11">
        <v>1.0102253247521759E-3</v>
      </c>
      <c r="F60" s="11">
        <f>SUM(D60:E60)</f>
        <v>1.5359994560022257E-3</v>
      </c>
      <c r="G60" s="200">
        <f t="shared" si="23"/>
        <v>3.2011448035178081E-2</v>
      </c>
      <c r="I60" s="11" t="str">
        <f t="shared" si="33"/>
        <v>Elementary occupations</v>
      </c>
      <c r="J60" s="11">
        <v>8.7529820845335422</v>
      </c>
      <c r="K60" s="11">
        <v>13.791411370431387</v>
      </c>
      <c r="L60" s="11">
        <v>5.0384292858978457</v>
      </c>
      <c r="M60" s="11">
        <v>6.5886972448138224</v>
      </c>
      <c r="N60" s="11">
        <v>11.627126530711669</v>
      </c>
      <c r="P60" s="10" t="str">
        <f>name!D28</f>
        <v>91 Elementary trades and related occupations</v>
      </c>
      <c r="Q60" s="11">
        <v>10.436879625088894</v>
      </c>
      <c r="R60" s="11">
        <v>8.7812832706338337</v>
      </c>
      <c r="S60" s="342">
        <f t="shared" si="24"/>
        <v>-1.65559635445506</v>
      </c>
      <c r="T60" s="342">
        <v>5.7836784160669001</v>
      </c>
      <c r="U60" s="342">
        <f t="shared" si="25"/>
        <v>4.1280820616118401</v>
      </c>
      <c r="V60" s="343">
        <f t="shared" si="26"/>
        <v>2.9831901766483426E-2</v>
      </c>
      <c r="W60" s="343"/>
      <c r="X60" s="10" t="str">
        <f>name!A57</f>
        <v>Scientific research and development</v>
      </c>
      <c r="Y60" s="10">
        <v>8.6629999998188243</v>
      </c>
      <c r="Z60" s="10">
        <v>10.459999999997416</v>
      </c>
      <c r="AA60" s="342">
        <f t="shared" si="8"/>
        <v>1.797000000178592</v>
      </c>
      <c r="AB60" s="10">
        <v>4.2628224985408147</v>
      </c>
      <c r="AC60" s="342">
        <f t="shared" si="9"/>
        <v>6.0598224987194067</v>
      </c>
      <c r="AD60" s="343">
        <f t="shared" si="10"/>
        <v>2.7036767773230608E-2</v>
      </c>
    </row>
    <row r="61" spans="1:30" x14ac:dyDescent="0.2">
      <c r="A61" t="str">
        <f t="shared" si="20"/>
        <v>92 Elementary administration and service occupations</v>
      </c>
      <c r="B61" s="11">
        <v>0.14642683525865008</v>
      </c>
      <c r="C61" s="11">
        <v>0.30314550158448772</v>
      </c>
      <c r="D61" s="11">
        <f t="shared" ref="D61" si="36">C61-B61</f>
        <v>0.15671866632583764</v>
      </c>
      <c r="E61" s="11">
        <v>0.11720140280648142</v>
      </c>
      <c r="F61" s="11">
        <f t="shared" ref="F61" si="37">SUM(D61:E61)</f>
        <v>0.27392006913231903</v>
      </c>
      <c r="G61" s="200">
        <f t="shared" ref="G61" si="38">IF(B61&gt;0,(1+(E61/B61))^(1/($C$6-$B$6))-1,0)</f>
        <v>3.9979431679177946E-2</v>
      </c>
      <c r="P61" s="10" t="str">
        <f>name!D29</f>
        <v>92 Elementary administration and service occupations</v>
      </c>
      <c r="Q61" s="11">
        <v>101.93649825519061</v>
      </c>
      <c r="R61" s="11">
        <v>91.271804340445513</v>
      </c>
      <c r="S61" s="342">
        <f t="shared" ref="S61" si="39">R61-Q61</f>
        <v>-10.664693914745101</v>
      </c>
      <c r="T61" s="342">
        <v>52.791285518354762</v>
      </c>
      <c r="U61" s="342">
        <f t="shared" ref="U61" si="40">SUM(S61:T61)</f>
        <v>42.126591603609661</v>
      </c>
      <c r="V61" s="343">
        <f t="shared" ref="V61" si="41">IF(Q61&gt;0,(1+(T61/Q61))^(1/($C$6-$B$6))-1,0)</f>
        <v>2.8211774762995523E-2</v>
      </c>
      <c r="W61" s="11"/>
      <c r="X61" s="10" t="str">
        <f>name!A58</f>
        <v>Advertising, etc</v>
      </c>
      <c r="Y61" s="10">
        <v>4.7689999998971428</v>
      </c>
      <c r="Z61" s="10">
        <v>5.7400000000379201</v>
      </c>
      <c r="AA61" s="342">
        <f t="shared" si="8"/>
        <v>0.97100000014077725</v>
      </c>
      <c r="AB61" s="10">
        <v>2.7048066201822989</v>
      </c>
      <c r="AC61" s="342">
        <f t="shared" si="9"/>
        <v>3.6758066203230761</v>
      </c>
      <c r="AD61" s="343">
        <f t="shared" si="10"/>
        <v>3.0404236479755875E-2</v>
      </c>
    </row>
    <row r="62" spans="1:30" x14ac:dyDescent="0.2">
      <c r="A62" t="str">
        <f t="shared" si="20"/>
        <v>All occupations</v>
      </c>
      <c r="B62" s="11">
        <f>SUM(B36:B61)</f>
        <v>30.954057953835957</v>
      </c>
      <c r="C62" s="11">
        <f t="shared" ref="C62:F62" si="42">SUM(C36:C61)</f>
        <v>48.860340121758824</v>
      </c>
      <c r="D62" s="11">
        <f t="shared" si="42"/>
        <v>17.906282167922878</v>
      </c>
      <c r="E62" s="11">
        <f t="shared" si="42"/>
        <v>18.327489579041742</v>
      </c>
      <c r="F62" s="11">
        <f t="shared" si="42"/>
        <v>36.233771746964614</v>
      </c>
      <c r="G62" s="200">
        <f t="shared" si="23"/>
        <v>3.1488640834371973E-2</v>
      </c>
      <c r="I62" s="86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1141.6459999992212</v>
      </c>
      <c r="R62" s="11">
        <f>SUM(R36:R61)</f>
        <v>1210.2929999994133</v>
      </c>
      <c r="S62" s="342">
        <f>R62-Q62</f>
        <v>68.647000000192065</v>
      </c>
      <c r="T62" s="11">
        <f>SUM(T36:T61)</f>
        <v>657.00516289208554</v>
      </c>
      <c r="U62" s="342">
        <f>SUM(S62:T62)</f>
        <v>725.6521628922776</v>
      </c>
      <c r="V62" s="343">
        <f>IF(Q62&gt;0,(1+(T62/Q62))^(1/($C$6-$B$6))-1,0)</f>
        <v>3.0768248578912694E-2</v>
      </c>
      <c r="X62" s="10" t="str">
        <f>name!A59</f>
        <v>Other professional</v>
      </c>
      <c r="Y62" s="10">
        <v>30.65699999949064</v>
      </c>
      <c r="Z62" s="10">
        <v>36.942000000183299</v>
      </c>
      <c r="AA62" s="342">
        <f t="shared" si="8"/>
        <v>6.2850000006926585</v>
      </c>
      <c r="AB62" s="10">
        <v>17.231498356267444</v>
      </c>
      <c r="AC62" s="342">
        <f t="shared" si="9"/>
        <v>23.516498356960103</v>
      </c>
      <c r="AD62" s="343">
        <f t="shared" si="10"/>
        <v>3.0180767322729674E-2</v>
      </c>
    </row>
    <row r="63" spans="1:30" x14ac:dyDescent="0.2">
      <c r="I63" s="11" t="str">
        <f>I52</f>
        <v>Managers, directors and senior officials</v>
      </c>
      <c r="J63" s="11">
        <f t="array" ref="J63:J71">MMULT(aggregation!$B$38:$AA$46,B152:B177)</f>
        <v>20.293737401882527</v>
      </c>
      <c r="K63" s="11">
        <f t="array" ref="K63:K71">MMULT(aggregation!$B$38:$AA$46,C152:C177)</f>
        <v>24.340869745723737</v>
      </c>
      <c r="L63" s="11">
        <f t="array" ref="L63:L71">MMULT(aggregation!$B$38:$AA$46,D152:D177)</f>
        <v>4.0471323438412119</v>
      </c>
      <c r="M63" s="11">
        <f t="array" ref="M63:M71">MMULT(aggregation!$B$38:$AA$46,E152:E177)</f>
        <v>11.92212889957516</v>
      </c>
      <c r="N63" s="11">
        <f t="array" ref="N63:N71">MMULT(aggregation!$B$38:$AA$46,F152:F177)</f>
        <v>15.969261243416371</v>
      </c>
      <c r="P63" s="23"/>
      <c r="Q63" s="33"/>
      <c r="R63" s="33"/>
      <c r="S63" s="33"/>
      <c r="T63" s="33"/>
      <c r="U63" s="33"/>
      <c r="V63" s="33"/>
      <c r="X63" s="10" t="str">
        <f>name!A60</f>
        <v>Veterinary</v>
      </c>
      <c r="Y63" s="10">
        <v>9.7340000001322622</v>
      </c>
      <c r="Z63" s="10">
        <v>11.977000000054311</v>
      </c>
      <c r="AA63" s="342">
        <f t="shared" si="8"/>
        <v>2.2429999999220485</v>
      </c>
      <c r="AB63" s="10">
        <v>5.9029927083665177</v>
      </c>
      <c r="AC63" s="342">
        <f t="shared" si="9"/>
        <v>8.145992708288567</v>
      </c>
      <c r="AD63" s="343">
        <f t="shared" si="10"/>
        <v>3.2105580187049787E-2</v>
      </c>
    </row>
    <row r="64" spans="1:30" ht="38.25" x14ac:dyDescent="0.2">
      <c r="A64" s="201" t="str">
        <f>CONCATENATE(name!F5," (Constrained)")</f>
        <v>RQF7 Other higher degree (Constrained)</v>
      </c>
      <c r="B64" s="74">
        <f t="shared" ref="B64:G64" si="43">B6</f>
        <v>2020</v>
      </c>
      <c r="C64" s="74">
        <f t="shared" si="43"/>
        <v>2035</v>
      </c>
      <c r="D64" s="87" t="str">
        <f t="shared" si="43"/>
        <v>Net Change</v>
      </c>
      <c r="E64" s="87" t="str">
        <f t="shared" si="43"/>
        <v>Replacement Demand level</v>
      </c>
      <c r="F64" s="87" t="str">
        <f t="shared" si="43"/>
        <v>Total Requirement</v>
      </c>
      <c r="G64" s="87" t="str">
        <f t="shared" si="43"/>
        <v>Replacement Demand rate</v>
      </c>
      <c r="I64" s="11" t="str">
        <f>I53</f>
        <v>Professional occupations</v>
      </c>
      <c r="J64" s="11">
        <v>27.117922553433392</v>
      </c>
      <c r="K64" s="11">
        <v>30.667120899810961</v>
      </c>
      <c r="L64" s="11">
        <v>3.549198346377568</v>
      </c>
      <c r="M64" s="11">
        <v>12.299183833001141</v>
      </c>
      <c r="N64" s="11">
        <v>15.84838217937871</v>
      </c>
      <c r="P64" s="11"/>
      <c r="Q64" s="11"/>
      <c r="R64" s="11"/>
      <c r="S64" s="11"/>
      <c r="T64" s="11"/>
      <c r="U64" s="11"/>
      <c r="X64" s="10" t="str">
        <f>name!A61</f>
        <v>Rental and leasing</v>
      </c>
      <c r="Y64" s="10">
        <v>16.534999999989964</v>
      </c>
      <c r="Z64" s="10">
        <v>18.680999999995652</v>
      </c>
      <c r="AA64" s="342">
        <f t="shared" si="8"/>
        <v>2.1460000000056887</v>
      </c>
      <c r="AB64" s="10">
        <v>7.8954093854198257</v>
      </c>
      <c r="AC64" s="342">
        <f t="shared" si="9"/>
        <v>10.041409385425514</v>
      </c>
      <c r="AD64" s="343">
        <f t="shared" si="10"/>
        <v>2.6364848550111564E-2</v>
      </c>
    </row>
    <row r="65" spans="1:30" x14ac:dyDescent="0.2">
      <c r="A65" t="str">
        <f t="shared" ref="A65:A91" si="44">A7</f>
        <v>11 Corporate managers and directors</v>
      </c>
      <c r="B65" s="11">
        <v>18.805725930914523</v>
      </c>
      <c r="C65" s="11">
        <v>27.325360609525237</v>
      </c>
      <c r="D65" s="11">
        <f>C65-B65</f>
        <v>8.5196346786107142</v>
      </c>
      <c r="E65" s="11">
        <v>11.377375002413242</v>
      </c>
      <c r="F65" s="11">
        <f>SUM(D65:E65)</f>
        <v>19.897009681023956</v>
      </c>
      <c r="G65" s="200">
        <f>IF(B65&gt;0,(1+(E65/B65))^(1/($C$6-$B$6))-1,0)</f>
        <v>3.204408769759004E-2</v>
      </c>
      <c r="I65" s="11" t="str">
        <f>I54</f>
        <v>Associate professional occupations</v>
      </c>
      <c r="J65" s="11">
        <v>19.800880335783397</v>
      </c>
      <c r="K65" s="11">
        <v>20.65156903317807</v>
      </c>
      <c r="L65" s="11">
        <v>0.85068869739467523</v>
      </c>
      <c r="M65" s="11">
        <v>8.8328292039206211</v>
      </c>
      <c r="N65" s="11">
        <v>9.6835179013152981</v>
      </c>
      <c r="P65" s="11"/>
      <c r="Q65" s="11"/>
      <c r="R65" s="11"/>
      <c r="S65" s="11"/>
      <c r="T65" s="11"/>
      <c r="U65" s="11"/>
      <c r="X65" s="10" t="str">
        <f>name!A62</f>
        <v>Employment activities</v>
      </c>
      <c r="Y65" s="10">
        <v>89.88400000029371</v>
      </c>
      <c r="Z65" s="10">
        <v>101.86800000006379</v>
      </c>
      <c r="AA65" s="342">
        <f t="shared" si="8"/>
        <v>11.983999999770077</v>
      </c>
      <c r="AB65" s="10">
        <v>44.196605832402703</v>
      </c>
      <c r="AC65" s="342">
        <f t="shared" si="9"/>
        <v>56.18060583217278</v>
      </c>
      <c r="AD65" s="343">
        <f t="shared" si="10"/>
        <v>2.7020008952204577E-2</v>
      </c>
    </row>
    <row r="66" spans="1:30" x14ac:dyDescent="0.2">
      <c r="A66" t="str">
        <f t="shared" si="44"/>
        <v>12 Other managers and proprietors</v>
      </c>
      <c r="B66" s="11">
        <v>7.0135695177267463</v>
      </c>
      <c r="C66" s="11">
        <v>15.15832771416569</v>
      </c>
      <c r="D66" s="11">
        <f t="shared" ref="D66:D89" si="45">C66-B66</f>
        <v>8.1447581964389428</v>
      </c>
      <c r="E66" s="11">
        <v>6.3632969250818903</v>
      </c>
      <c r="F66" s="11">
        <f t="shared" ref="F66:F89" si="46">SUM(D66:E66)</f>
        <v>14.508055121520833</v>
      </c>
      <c r="G66" s="200">
        <f t="shared" ref="G66:G91" si="47">IF(B66&gt;0,(1+(E66/B66))^(1/($C$6-$B$6))-1,0)</f>
        <v>4.3985224939732115E-2</v>
      </c>
      <c r="I66" s="11" t="str">
        <f>I55</f>
        <v>Administrative and secretarial occupations</v>
      </c>
      <c r="J66" s="11">
        <v>16.217958451061417</v>
      </c>
      <c r="K66" s="11">
        <v>19.589444750305944</v>
      </c>
      <c r="L66" s="11">
        <v>3.3714862992445256</v>
      </c>
      <c r="M66" s="11">
        <v>10.360706219726712</v>
      </c>
      <c r="N66" s="11">
        <v>13.732192518971239</v>
      </c>
      <c r="P66" s="11"/>
      <c r="Q66" s="11"/>
      <c r="R66" s="11"/>
      <c r="S66" s="11"/>
      <c r="T66" s="11"/>
      <c r="U66" s="11"/>
      <c r="X66" s="10" t="str">
        <f>name!A63</f>
        <v>Travel, etc</v>
      </c>
      <c r="Y66" s="10">
        <v>3.6490000000070539</v>
      </c>
      <c r="Z66" s="10">
        <v>4.1099999999995616</v>
      </c>
      <c r="AA66" s="342">
        <f t="shared" si="8"/>
        <v>0.46099999999250763</v>
      </c>
      <c r="AB66" s="10">
        <v>1.797438477031136</v>
      </c>
      <c r="AC66" s="342">
        <f t="shared" si="9"/>
        <v>2.2584384770236436</v>
      </c>
      <c r="AD66" s="343">
        <f t="shared" si="10"/>
        <v>2.7060237572692936E-2</v>
      </c>
    </row>
    <row r="67" spans="1:30" x14ac:dyDescent="0.2">
      <c r="A67" t="str">
        <f t="shared" si="44"/>
        <v>21 Science, research, engineering and technology professionals</v>
      </c>
      <c r="B67" s="11">
        <v>24.469686689401318</v>
      </c>
      <c r="C67" s="11">
        <v>42.256571482570067</v>
      </c>
      <c r="D67" s="11">
        <f t="shared" si="45"/>
        <v>17.786884793168749</v>
      </c>
      <c r="E67" s="11">
        <v>13.212318939834834</v>
      </c>
      <c r="F67" s="11">
        <f t="shared" si="46"/>
        <v>30.999203733003583</v>
      </c>
      <c r="G67" s="200">
        <f t="shared" si="47"/>
        <v>2.9201412156356632E-2</v>
      </c>
      <c r="I67" s="11" t="str">
        <f t="shared" ref="I67:I71" si="48">I56</f>
        <v>Skilled trades occupations</v>
      </c>
      <c r="J67" s="11">
        <v>12.239157931800396</v>
      </c>
      <c r="K67" s="11">
        <v>15.570866061124867</v>
      </c>
      <c r="L67" s="11">
        <v>3.3317081293244737</v>
      </c>
      <c r="M67" s="11">
        <v>6.9354413482829385</v>
      </c>
      <c r="N67" s="11">
        <v>10.267149477607413</v>
      </c>
      <c r="P67" s="11"/>
      <c r="Q67" s="11"/>
      <c r="R67" s="11"/>
      <c r="S67" s="11"/>
      <c r="T67" s="11"/>
      <c r="U67" s="11"/>
      <c r="X67" s="10" t="str">
        <f>name!A64</f>
        <v>Security, etc</v>
      </c>
      <c r="Y67" s="10">
        <v>13.642000000060886</v>
      </c>
      <c r="Z67" s="10">
        <v>15.472000000010862</v>
      </c>
      <c r="AA67" s="342">
        <f t="shared" si="8"/>
        <v>1.8299999999499761</v>
      </c>
      <c r="AB67" s="10">
        <v>6.669834800429804</v>
      </c>
      <c r="AC67" s="342">
        <f t="shared" si="9"/>
        <v>8.4998348003797801</v>
      </c>
      <c r="AD67" s="343">
        <f t="shared" si="10"/>
        <v>2.6891929535718617E-2</v>
      </c>
    </row>
    <row r="68" spans="1:30" x14ac:dyDescent="0.2">
      <c r="A68" t="str">
        <f t="shared" si="44"/>
        <v>22 Health professionals</v>
      </c>
      <c r="B68" s="11">
        <v>16.787582272400563</v>
      </c>
      <c r="C68" s="11">
        <v>25.700561534870708</v>
      </c>
      <c r="D68" s="11">
        <f t="shared" si="45"/>
        <v>8.9129792624701452</v>
      </c>
      <c r="E68" s="11">
        <v>10.156393184839656</v>
      </c>
      <c r="F68" s="11">
        <f t="shared" si="46"/>
        <v>19.069372447309803</v>
      </c>
      <c r="G68" s="200">
        <f t="shared" si="47"/>
        <v>3.2044050734424401E-2</v>
      </c>
      <c r="I68" s="11" t="str">
        <f t="shared" si="48"/>
        <v>Caring, leisure and other service occupations</v>
      </c>
      <c r="J68" s="11">
        <v>15.655998960765688</v>
      </c>
      <c r="K68" s="11">
        <v>22.877523494392328</v>
      </c>
      <c r="L68" s="11">
        <v>7.2215245336266394</v>
      </c>
      <c r="M68" s="11">
        <v>11.629697189853665</v>
      </c>
      <c r="N68" s="11">
        <v>18.851221723480304</v>
      </c>
      <c r="P68" s="11"/>
      <c r="Q68" s="11"/>
      <c r="R68" s="11"/>
      <c r="S68" s="11"/>
      <c r="T68" s="11"/>
      <c r="U68" s="11"/>
      <c r="X68" s="10" t="str">
        <f>name!A65</f>
        <v>Services to buildings</v>
      </c>
      <c r="Y68" s="10">
        <v>42.703000000200689</v>
      </c>
      <c r="Z68" s="10">
        <v>47.784999999926974</v>
      </c>
      <c r="AA68" s="342">
        <f t="shared" si="8"/>
        <v>5.0819999997262855</v>
      </c>
      <c r="AB68" s="10">
        <v>23.194600788901095</v>
      </c>
      <c r="AC68" s="342">
        <f t="shared" si="9"/>
        <v>28.27660078862738</v>
      </c>
      <c r="AD68" s="343">
        <f t="shared" si="10"/>
        <v>2.9344498655223816E-2</v>
      </c>
    </row>
    <row r="69" spans="1:30" x14ac:dyDescent="0.2">
      <c r="A69" t="str">
        <f t="shared" si="44"/>
        <v>23 Teaching and other educational professionals</v>
      </c>
      <c r="B69" s="11">
        <v>44.000534420312533</v>
      </c>
      <c r="C69" s="11">
        <v>54.813792912316963</v>
      </c>
      <c r="D69" s="11">
        <f t="shared" ref="D69" si="49">C69-B69</f>
        <v>10.813258492004429</v>
      </c>
      <c r="E69" s="11">
        <v>23.616217299362162</v>
      </c>
      <c r="F69" s="11">
        <f t="shared" ref="F69" si="50">SUM(D69:E69)</f>
        <v>34.429475791366592</v>
      </c>
      <c r="G69" s="200">
        <f t="shared" si="47"/>
        <v>2.9057771486865391E-2</v>
      </c>
      <c r="I69" s="11" t="str">
        <f t="shared" si="48"/>
        <v>Sales and customer service occupations</v>
      </c>
      <c r="J69" s="11">
        <v>8.3672805267543389</v>
      </c>
      <c r="K69" s="11">
        <v>11.549288260265087</v>
      </c>
      <c r="L69" s="11">
        <v>3.1820077335107477</v>
      </c>
      <c r="M69" s="11">
        <v>4.7697566712703114</v>
      </c>
      <c r="N69" s="11">
        <v>7.9517644047810592</v>
      </c>
      <c r="P69" s="11"/>
      <c r="Q69" s="11"/>
      <c r="R69" s="11"/>
      <c r="S69" s="11"/>
      <c r="T69" s="11"/>
      <c r="U69" s="11"/>
      <c r="X69" s="10" t="str">
        <f>name!A66</f>
        <v>Office administrative</v>
      </c>
      <c r="Y69" s="10">
        <v>29.129000000081337</v>
      </c>
      <c r="Z69" s="10">
        <v>33.026000000033996</v>
      </c>
      <c r="AA69" s="342">
        <f t="shared" si="8"/>
        <v>3.8969999999526586</v>
      </c>
      <c r="AB69" s="10">
        <v>13.907114732917432</v>
      </c>
      <c r="AC69" s="342">
        <f t="shared" si="9"/>
        <v>17.80411473287009</v>
      </c>
      <c r="AD69" s="343">
        <f t="shared" si="10"/>
        <v>2.6361844932530243E-2</v>
      </c>
    </row>
    <row r="70" spans="1:30" x14ac:dyDescent="0.2">
      <c r="A70" t="str">
        <f t="shared" si="44"/>
        <v>24 Business, media and public service professionals</v>
      </c>
      <c r="B70" s="11">
        <v>31.915699296413084</v>
      </c>
      <c r="C70" s="11">
        <v>51.982510879495017</v>
      </c>
      <c r="D70" s="11">
        <f t="shared" si="45"/>
        <v>20.066811583081932</v>
      </c>
      <c r="E70" s="11">
        <v>20.20448834593077</v>
      </c>
      <c r="F70" s="11">
        <f t="shared" si="46"/>
        <v>40.271299929012699</v>
      </c>
      <c r="G70" s="200">
        <f t="shared" si="47"/>
        <v>3.3237374218183735E-2</v>
      </c>
      <c r="I70" s="11" t="str">
        <f t="shared" si="48"/>
        <v>Process, plant and machine operatives</v>
      </c>
      <c r="J70" s="11">
        <v>6.7982417366406267</v>
      </c>
      <c r="K70" s="11">
        <v>11.988137643242364</v>
      </c>
      <c r="L70" s="11">
        <v>5.1898959066017394</v>
      </c>
      <c r="M70" s="11">
        <v>5.4811240255464924</v>
      </c>
      <c r="N70" s="11">
        <v>10.671019932148232</v>
      </c>
      <c r="P70" s="11"/>
      <c r="Q70" s="11"/>
      <c r="R70" s="11"/>
      <c r="S70" s="11"/>
      <c r="T70" s="11"/>
      <c r="U70" s="11"/>
      <c r="X70" s="10" t="str">
        <f>name!A67</f>
        <v>Public administration and defence</v>
      </c>
      <c r="Y70" s="10">
        <v>80.2239999989512</v>
      </c>
      <c r="Z70" s="10">
        <v>92.753000000063949</v>
      </c>
      <c r="AA70" s="342">
        <f t="shared" si="8"/>
        <v>12.529000001112749</v>
      </c>
      <c r="AB70" s="10">
        <v>41.693031990854053</v>
      </c>
      <c r="AC70" s="342">
        <f t="shared" si="9"/>
        <v>54.222031991966801</v>
      </c>
      <c r="AD70" s="343">
        <f t="shared" si="10"/>
        <v>2.8294085713118644E-2</v>
      </c>
    </row>
    <row r="71" spans="1:30" x14ac:dyDescent="0.2">
      <c r="A71" t="str">
        <f t="shared" si="44"/>
        <v>31 Science, engineering and technology associate professionals</v>
      </c>
      <c r="B71" s="11">
        <v>4.5274234548156995</v>
      </c>
      <c r="C71" s="11">
        <v>6.6301949036072845</v>
      </c>
      <c r="D71" s="11">
        <f t="shared" si="45"/>
        <v>2.102771448791585</v>
      </c>
      <c r="E71" s="11">
        <v>2.249636824386426</v>
      </c>
      <c r="F71" s="11">
        <f t="shared" si="46"/>
        <v>4.3524082731780105</v>
      </c>
      <c r="G71" s="200">
        <f t="shared" si="47"/>
        <v>2.7257566419683688E-2</v>
      </c>
      <c r="I71" s="11" t="str">
        <f t="shared" si="48"/>
        <v>Elementary occupations</v>
      </c>
      <c r="J71" s="11">
        <v>8.1486657029839442</v>
      </c>
      <c r="K71" s="11">
        <v>11.900572504173692</v>
      </c>
      <c r="L71" s="11">
        <v>3.751906801189747</v>
      </c>
      <c r="M71" s="11">
        <v>5.7303497377990853</v>
      </c>
      <c r="N71" s="11">
        <v>9.4822565389888318</v>
      </c>
      <c r="P71" s="11"/>
      <c r="Q71" s="11"/>
      <c r="R71" s="11"/>
      <c r="S71" s="11"/>
      <c r="T71" s="11"/>
      <c r="U71" s="11"/>
      <c r="X71" s="10" t="str">
        <f>name!A68</f>
        <v xml:space="preserve">Education </v>
      </c>
      <c r="Y71" s="10">
        <v>209.79399999727281</v>
      </c>
      <c r="Z71" s="10">
        <v>206.32500000142213</v>
      </c>
      <c r="AA71" s="342">
        <f t="shared" si="8"/>
        <v>-3.4689999958506803</v>
      </c>
      <c r="AB71" s="10">
        <v>106.94399235214186</v>
      </c>
      <c r="AC71" s="342">
        <f t="shared" si="9"/>
        <v>103.47499235629118</v>
      </c>
      <c r="AD71" s="343">
        <f t="shared" si="10"/>
        <v>2.7843845447513837E-2</v>
      </c>
    </row>
    <row r="72" spans="1:30" x14ac:dyDescent="0.2">
      <c r="A72" t="str">
        <f t="shared" si="44"/>
        <v>32 Health and social care associate professionals</v>
      </c>
      <c r="B72" s="11">
        <v>4.2797847244070386</v>
      </c>
      <c r="C72" s="11">
        <v>7.3216578738294658</v>
      </c>
      <c r="D72" s="11">
        <f t="shared" si="45"/>
        <v>3.0418731494224271</v>
      </c>
      <c r="E72" s="11">
        <v>2.9678587571929316</v>
      </c>
      <c r="F72" s="11">
        <f t="shared" si="46"/>
        <v>6.0097319066153592</v>
      </c>
      <c r="G72" s="200">
        <f t="shared" si="47"/>
        <v>3.5742172458488097E-2</v>
      </c>
      <c r="I72" s="11"/>
      <c r="J72" s="11"/>
      <c r="K72" s="11"/>
      <c r="L72" s="11"/>
      <c r="M72" s="11"/>
      <c r="N72" s="11"/>
      <c r="P72" s="11"/>
      <c r="Q72" s="11"/>
      <c r="R72" s="11"/>
      <c r="S72" s="11"/>
      <c r="T72" s="11"/>
      <c r="U72" s="11"/>
      <c r="X72" s="10" t="str">
        <f>name!A69</f>
        <v>Health</v>
      </c>
      <c r="Y72" s="10">
        <v>168.55599999868278</v>
      </c>
      <c r="Z72" s="10">
        <v>183.51199999985565</v>
      </c>
      <c r="AA72" s="342">
        <f t="shared" ref="AA72:AA80" si="51">Z72-Y72</f>
        <v>14.956000001172868</v>
      </c>
      <c r="AB72" s="10">
        <v>96.831062707460973</v>
      </c>
      <c r="AC72" s="342">
        <f t="shared" ref="AC72:AC82" si="52">SUM(AA72:AB72)</f>
        <v>111.78706270863384</v>
      </c>
      <c r="AD72" s="343">
        <f t="shared" ref="AD72:AD82" si="53">IF(Y72&gt;0,(1+(AB72/Y72))^(1/($C$6-$B$6))-1,0)</f>
        <v>3.0723953033033657E-2</v>
      </c>
    </row>
    <row r="73" spans="1:30" x14ac:dyDescent="0.2">
      <c r="A73" t="str">
        <f t="shared" si="44"/>
        <v>33 Protective service occupations</v>
      </c>
      <c r="B73" s="11">
        <v>1.2954075792655328</v>
      </c>
      <c r="C73" s="11">
        <v>3.2035793333923985</v>
      </c>
      <c r="D73" s="11">
        <f t="shared" si="45"/>
        <v>1.9081717541268657</v>
      </c>
      <c r="E73" s="11">
        <v>0.75285377246525798</v>
      </c>
      <c r="F73" s="11">
        <f t="shared" si="46"/>
        <v>2.6610255265921237</v>
      </c>
      <c r="G73" s="200">
        <f t="shared" si="47"/>
        <v>3.1015661559220309E-2</v>
      </c>
      <c r="I73" s="86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11"/>
      <c r="T73" s="11"/>
      <c r="U73" s="11"/>
      <c r="X73" s="10" t="str">
        <f>name!A70</f>
        <v>Residential care</v>
      </c>
      <c r="Y73" s="10">
        <v>48.552999999718793</v>
      </c>
      <c r="Z73" s="10">
        <v>58.961999999941241</v>
      </c>
      <c r="AA73" s="342">
        <f t="shared" si="51"/>
        <v>10.409000000222449</v>
      </c>
      <c r="AB73" s="10">
        <v>29.887166056182803</v>
      </c>
      <c r="AC73" s="342">
        <f t="shared" si="52"/>
        <v>40.296166056405255</v>
      </c>
      <c r="AD73" s="343">
        <f t="shared" si="53"/>
        <v>3.2495487690286318E-2</v>
      </c>
    </row>
    <row r="74" spans="1:30" x14ac:dyDescent="0.2">
      <c r="A74" t="str">
        <f t="shared" si="44"/>
        <v>34 Culture, media and sports occupations</v>
      </c>
      <c r="B74" s="11">
        <v>5.6420501592323733</v>
      </c>
      <c r="C74" s="11">
        <v>7.7455032669612063</v>
      </c>
      <c r="D74" s="11">
        <f t="shared" ref="D74:D75" si="54">C74-B74</f>
        <v>2.103453107728833</v>
      </c>
      <c r="E74" s="11">
        <v>3.0043183994762974</v>
      </c>
      <c r="F74" s="11">
        <f t="shared" ref="F74:F75" si="55">SUM(D74:E74)</f>
        <v>5.1077715072051308</v>
      </c>
      <c r="G74" s="200">
        <f t="shared" si="47"/>
        <v>2.8868300362573596E-2</v>
      </c>
      <c r="I74" s="11" t="str">
        <f>I63</f>
        <v>Managers, directors and senior officials</v>
      </c>
      <c r="J74" s="11">
        <f t="array" ref="J74:J82">MMULT(aggregation!$B$38:$AA$46,B181:B206)</f>
        <v>53.456336193315664</v>
      </c>
      <c r="K74" s="11">
        <f t="array" ref="K74:K82">MMULT(aggregation!$B$38:$AA$46,C181:C206)</f>
        <v>58.009372253260629</v>
      </c>
      <c r="L74" s="11">
        <f t="array" ref="L74:L82">MMULT(aggregation!$B$38:$AA$46,D181:D206)</f>
        <v>4.5530360599449686</v>
      </c>
      <c r="M74" s="11">
        <f t="array" ref="M74:M82">MMULT(aggregation!$B$38:$AA$46,E181:E206)</f>
        <v>24.405897323494557</v>
      </c>
      <c r="N74" s="11">
        <f t="array" ref="N74:N82">MMULT(aggregation!$B$38:$AA$46,F181:F206)</f>
        <v>28.958933383439522</v>
      </c>
      <c r="P74" s="11"/>
      <c r="Q74" s="11"/>
      <c r="R74" s="11"/>
      <c r="S74" s="11"/>
      <c r="T74" s="11"/>
      <c r="U74" s="11"/>
      <c r="X74" s="10" t="str">
        <f>name!A71</f>
        <v>Social work</v>
      </c>
      <c r="Y74" s="10">
        <v>60.77499999957297</v>
      </c>
      <c r="Z74" s="10">
        <v>71.920999999943419</v>
      </c>
      <c r="AA74" s="342">
        <f t="shared" si="51"/>
        <v>11.146000000370449</v>
      </c>
      <c r="AB74" s="10">
        <v>37.341137424285655</v>
      </c>
      <c r="AC74" s="342">
        <f t="shared" si="52"/>
        <v>48.487137424656105</v>
      </c>
      <c r="AD74" s="343">
        <f t="shared" si="53"/>
        <v>3.2446837584743538E-2</v>
      </c>
    </row>
    <row r="75" spans="1:30" x14ac:dyDescent="0.2">
      <c r="A75" t="str">
        <f t="shared" si="44"/>
        <v>35 Business and public service associate professionals</v>
      </c>
      <c r="B75" s="11">
        <v>16.325404024404811</v>
      </c>
      <c r="C75" s="11">
        <v>25.007094019899842</v>
      </c>
      <c r="D75" s="11">
        <f t="shared" si="54"/>
        <v>8.6816899954950308</v>
      </c>
      <c r="E75" s="11">
        <v>9.421609361118529</v>
      </c>
      <c r="F75" s="11">
        <f t="shared" si="55"/>
        <v>18.103299356613562</v>
      </c>
      <c r="G75" s="200">
        <f t="shared" si="47"/>
        <v>3.0839048456690277E-2</v>
      </c>
      <c r="I75" s="11" t="str">
        <f>I64</f>
        <v>Professional occupations</v>
      </c>
      <c r="J75" s="11">
        <v>63.068752600700833</v>
      </c>
      <c r="K75" s="11">
        <v>71.240602715226871</v>
      </c>
      <c r="L75" s="11">
        <v>8.171850114526034</v>
      </c>
      <c r="M75" s="11">
        <v>27.08297004677004</v>
      </c>
      <c r="N75" s="11">
        <v>35.254820161296074</v>
      </c>
      <c r="P75" s="11"/>
      <c r="Q75" s="11"/>
      <c r="R75" s="11"/>
      <c r="S75" s="11"/>
      <c r="T75" s="11"/>
      <c r="U75" s="11"/>
      <c r="X75" s="10" t="str">
        <f>name!A72</f>
        <v>Arts and entertainment</v>
      </c>
      <c r="Y75" s="10">
        <v>4.3809999999837892</v>
      </c>
      <c r="Z75" s="10">
        <v>3.426000000065808</v>
      </c>
      <c r="AA75" s="342">
        <f t="shared" si="51"/>
        <v>-0.95499999991798123</v>
      </c>
      <c r="AB75" s="10">
        <v>1.7210288016577966</v>
      </c>
      <c r="AC75" s="342">
        <f t="shared" si="52"/>
        <v>0.76602880173981536</v>
      </c>
      <c r="AD75" s="343">
        <f t="shared" si="53"/>
        <v>2.2335401892539686E-2</v>
      </c>
    </row>
    <row r="76" spans="1:30" x14ac:dyDescent="0.2">
      <c r="A76" t="str">
        <f t="shared" si="44"/>
        <v>41 Administrative occupations</v>
      </c>
      <c r="B76" s="11">
        <v>11.86194423177899</v>
      </c>
      <c r="C76" s="11">
        <v>19.463679981650468</v>
      </c>
      <c r="D76" s="11">
        <f t="shared" si="45"/>
        <v>7.6017357498714784</v>
      </c>
      <c r="E76" s="11">
        <v>7.6685236959816674</v>
      </c>
      <c r="F76" s="11">
        <f t="shared" si="46"/>
        <v>15.270259445853146</v>
      </c>
      <c r="G76" s="200">
        <f t="shared" si="47"/>
        <v>3.3801404959404868E-2</v>
      </c>
      <c r="I76" s="11" t="str">
        <f>I65</f>
        <v>Associate professional occupations</v>
      </c>
      <c r="J76" s="11">
        <v>60.791057238469563</v>
      </c>
      <c r="K76" s="11">
        <v>57.181836764530857</v>
      </c>
      <c r="L76" s="11">
        <v>-3.6092204739387128</v>
      </c>
      <c r="M76" s="11">
        <v>23.590884227954692</v>
      </c>
      <c r="N76" s="11">
        <v>19.98166375401598</v>
      </c>
      <c r="P76" s="11"/>
      <c r="Q76" s="11"/>
      <c r="R76" s="11"/>
      <c r="S76" s="11"/>
      <c r="T76" s="11"/>
      <c r="U76" s="11"/>
      <c r="X76" s="10" t="str">
        <f>name!A73</f>
        <v>Libraries, etc</v>
      </c>
      <c r="Y76" s="10">
        <v>12.021999999865828</v>
      </c>
      <c r="Z76" s="10">
        <v>9.7650000001246102</v>
      </c>
      <c r="AA76" s="342">
        <f t="shared" si="51"/>
        <v>-2.2569999997412182</v>
      </c>
      <c r="AB76" s="10">
        <v>5.2011442344716556</v>
      </c>
      <c r="AC76" s="342">
        <f t="shared" si="52"/>
        <v>2.9441442347304374</v>
      </c>
      <c r="AD76" s="343">
        <f t="shared" si="53"/>
        <v>2.4257252265962981E-2</v>
      </c>
    </row>
    <row r="77" spans="1:30" x14ac:dyDescent="0.2">
      <c r="A77" t="str">
        <f t="shared" si="44"/>
        <v>42 Secretarial and related occupations</v>
      </c>
      <c r="B77" s="11">
        <v>1.8403557192564781</v>
      </c>
      <c r="C77" s="11">
        <v>3.81389309476004</v>
      </c>
      <c r="D77" s="11">
        <f t="shared" si="45"/>
        <v>1.9735373755035619</v>
      </c>
      <c r="E77" s="11">
        <v>1.5547182341072965</v>
      </c>
      <c r="F77" s="11">
        <f t="shared" si="46"/>
        <v>3.5282556096108584</v>
      </c>
      <c r="G77" s="200">
        <f t="shared" si="47"/>
        <v>4.1669218570766775E-2</v>
      </c>
      <c r="I77" s="11" t="str">
        <f>I66</f>
        <v>Administrative and secretarial occupations</v>
      </c>
      <c r="J77" s="11">
        <v>55.963511441431748</v>
      </c>
      <c r="K77" s="11">
        <v>41.925072073361761</v>
      </c>
      <c r="L77" s="11">
        <v>-14.038439368069993</v>
      </c>
      <c r="M77" s="11">
        <v>23.118397770859445</v>
      </c>
      <c r="N77" s="11">
        <v>9.0799584027894547</v>
      </c>
      <c r="P77" s="11"/>
      <c r="Q77" s="11"/>
      <c r="R77" s="11"/>
      <c r="S77" s="11"/>
      <c r="T77" s="11"/>
      <c r="U77" s="11"/>
      <c r="X77" s="10" t="str">
        <f>name!A74</f>
        <v>Gambling and betting</v>
      </c>
      <c r="Y77" s="10">
        <v>5.587999999984123</v>
      </c>
      <c r="Z77" s="10">
        <v>5.6040000000294112</v>
      </c>
      <c r="AA77" s="342">
        <f t="shared" si="51"/>
        <v>1.6000000045288232E-2</v>
      </c>
      <c r="AB77" s="10">
        <v>2.5644136959078332</v>
      </c>
      <c r="AC77" s="342">
        <f t="shared" si="52"/>
        <v>2.5804136959531214</v>
      </c>
      <c r="AD77" s="343">
        <f t="shared" si="53"/>
        <v>2.5499188013875518E-2</v>
      </c>
    </row>
    <row r="78" spans="1:30" x14ac:dyDescent="0.2">
      <c r="A78" t="str">
        <f t="shared" si="44"/>
        <v>51 Skilled agricultural and related trades</v>
      </c>
      <c r="B78" s="11">
        <v>0.38490695750335713</v>
      </c>
      <c r="C78" s="11">
        <v>0.58585825648509871</v>
      </c>
      <c r="D78" s="11">
        <f t="shared" si="45"/>
        <v>0.20095129898174158</v>
      </c>
      <c r="E78" s="11">
        <v>0.24981275458313745</v>
      </c>
      <c r="F78" s="11">
        <f t="shared" si="46"/>
        <v>0.45076405356487903</v>
      </c>
      <c r="G78" s="200">
        <f t="shared" si="47"/>
        <v>3.3907649009520924E-2</v>
      </c>
      <c r="I78" s="11" t="str">
        <f t="shared" ref="I78:I82" si="56">I67</f>
        <v>Skilled trades occupations</v>
      </c>
      <c r="J78" s="11">
        <v>69.405891814147822</v>
      </c>
      <c r="K78" s="11">
        <v>65.218281959875185</v>
      </c>
      <c r="L78" s="11">
        <v>-4.1876098542726385</v>
      </c>
      <c r="M78" s="11">
        <v>26.048612131987426</v>
      </c>
      <c r="N78" s="11">
        <v>21.861002277714789</v>
      </c>
      <c r="O78" s="70"/>
      <c r="P78" s="11"/>
      <c r="Q78" s="11"/>
      <c r="R78" s="11"/>
      <c r="S78" s="11"/>
      <c r="T78" s="11"/>
      <c r="U78" s="11"/>
      <c r="X78" s="10" t="str">
        <f>name!A75</f>
        <v>Sport and recreation</v>
      </c>
      <c r="Y78" s="10">
        <v>34.817999999997397</v>
      </c>
      <c r="Z78" s="10">
        <v>34.892000000221898</v>
      </c>
      <c r="AA78" s="342">
        <f t="shared" si="51"/>
        <v>7.400000022450115E-2</v>
      </c>
      <c r="AB78" s="10">
        <v>16.749019987037354</v>
      </c>
      <c r="AC78" s="342">
        <f t="shared" si="52"/>
        <v>16.823019987261855</v>
      </c>
      <c r="AD78" s="343">
        <f t="shared" si="53"/>
        <v>2.6528979463379176E-2</v>
      </c>
    </row>
    <row r="79" spans="1:30" x14ac:dyDescent="0.2">
      <c r="A79" t="str">
        <f t="shared" si="44"/>
        <v>52 Skilled metal, electrical and electronic trades</v>
      </c>
      <c r="B79" s="11">
        <v>1.3499395549131403</v>
      </c>
      <c r="C79" s="11">
        <v>3.0855119297407021</v>
      </c>
      <c r="D79" s="11">
        <f t="shared" si="45"/>
        <v>1.7355723748275618</v>
      </c>
      <c r="E79" s="11">
        <v>1.0582773415936284</v>
      </c>
      <c r="F79" s="11">
        <f t="shared" si="46"/>
        <v>2.7938497164211902</v>
      </c>
      <c r="G79" s="200">
        <f t="shared" si="47"/>
        <v>3.9342656186049485E-2</v>
      </c>
      <c r="I79" s="11" t="str">
        <f t="shared" si="56"/>
        <v>Caring, leisure and other service occupations</v>
      </c>
      <c r="J79" s="11">
        <v>89.607712636469245</v>
      </c>
      <c r="K79" s="11">
        <v>105.89958418545625</v>
      </c>
      <c r="L79" s="11">
        <v>16.291871548987004</v>
      </c>
      <c r="M79" s="11">
        <v>52.440252514373469</v>
      </c>
      <c r="N79" s="11">
        <v>68.732124063360473</v>
      </c>
      <c r="X79" s="10" t="str">
        <f>name!A76</f>
        <v>Membership organisations</v>
      </c>
      <c r="Y79" s="10">
        <v>20.255999999588425</v>
      </c>
      <c r="Z79" s="10">
        <v>18.543000000076834</v>
      </c>
      <c r="AA79" s="342">
        <f t="shared" si="51"/>
        <v>-1.7129999995115917</v>
      </c>
      <c r="AB79" s="10">
        <v>9.7902994309346294</v>
      </c>
      <c r="AC79" s="342">
        <f t="shared" si="52"/>
        <v>8.0772994314230377</v>
      </c>
      <c r="AD79" s="343">
        <f t="shared" si="53"/>
        <v>2.6634418589263298E-2</v>
      </c>
    </row>
    <row r="80" spans="1:30" x14ac:dyDescent="0.2">
      <c r="A80" t="str">
        <f t="shared" si="44"/>
        <v>53 Skilled construction and building trades</v>
      </c>
      <c r="B80" s="11">
        <v>0.42129265225346985</v>
      </c>
      <c r="C80" s="11">
        <v>0.75525937732424919</v>
      </c>
      <c r="D80" s="11">
        <f t="shared" ref="D80" si="57">C80-B80</f>
        <v>0.33396672507077935</v>
      </c>
      <c r="E80" s="11">
        <v>0.30263604922903564</v>
      </c>
      <c r="F80" s="11">
        <f>SUM(D80:E80)</f>
        <v>0.63660277429981504</v>
      </c>
      <c r="G80" s="200">
        <f t="shared" si="47"/>
        <v>3.6750198957492985E-2</v>
      </c>
      <c r="I80" s="11" t="str">
        <f t="shared" si="56"/>
        <v>Sales and customer service occupations</v>
      </c>
      <c r="J80" s="11">
        <v>54.748638424846746</v>
      </c>
      <c r="K80" s="11">
        <v>60.475068523593116</v>
      </c>
      <c r="L80" s="11">
        <v>5.7264300987463717</v>
      </c>
      <c r="M80" s="11">
        <v>25.896902335499661</v>
      </c>
      <c r="N80" s="11">
        <v>31.623332434246034</v>
      </c>
      <c r="P80" s="84"/>
      <c r="Q80" s="73"/>
      <c r="R80" s="73"/>
      <c r="S80" s="71"/>
      <c r="T80" s="71"/>
      <c r="U80" s="71"/>
      <c r="X80" s="10" t="str">
        <f>name!A77</f>
        <v>Repair of goods</v>
      </c>
      <c r="Y80" s="10">
        <v>6.7709999999233137</v>
      </c>
      <c r="Z80" s="10">
        <v>6.6690000001316605</v>
      </c>
      <c r="AA80" s="342">
        <f t="shared" si="51"/>
        <v>-0.1019999997916532</v>
      </c>
      <c r="AB80" s="10">
        <v>2.9128650016033784</v>
      </c>
      <c r="AC80" s="342">
        <f t="shared" si="52"/>
        <v>2.8108650018117252</v>
      </c>
      <c r="AD80" s="343">
        <f t="shared" si="53"/>
        <v>2.4140940283252643E-2</v>
      </c>
    </row>
    <row r="81" spans="1:30" x14ac:dyDescent="0.2">
      <c r="A81" t="str">
        <f t="shared" si="44"/>
        <v>54 Textiles, printing and other skilled trades</v>
      </c>
      <c r="B81" s="11">
        <v>1.3866660443047192</v>
      </c>
      <c r="C81" s="11">
        <v>2.360666124188266</v>
      </c>
      <c r="D81" s="11">
        <f t="shared" si="45"/>
        <v>0.97400007988354687</v>
      </c>
      <c r="E81" s="11">
        <v>0.94554100386528173</v>
      </c>
      <c r="F81" s="11">
        <f t="shared" si="46"/>
        <v>1.9195410837488285</v>
      </c>
      <c r="G81" s="200">
        <f t="shared" si="47"/>
        <v>3.5268535404251455E-2</v>
      </c>
      <c r="I81" s="11" t="str">
        <f t="shared" si="56"/>
        <v>Process, plant and machine operatives</v>
      </c>
      <c r="J81" s="11">
        <v>42.509542750410674</v>
      </c>
      <c r="K81" s="11">
        <v>63.576317167336789</v>
      </c>
      <c r="L81" s="11">
        <v>21.066774416926116</v>
      </c>
      <c r="M81" s="11">
        <v>24.91598564267715</v>
      </c>
      <c r="N81" s="11">
        <v>45.982760059603265</v>
      </c>
      <c r="P81" s="11"/>
      <c r="Q81" s="11"/>
      <c r="R81" s="11"/>
      <c r="S81" s="11"/>
      <c r="T81" s="11"/>
      <c r="U81" s="11"/>
      <c r="X81" s="10" t="str">
        <f>name!A78</f>
        <v>Other personal service</v>
      </c>
      <c r="Y81" s="10">
        <v>41.852999999965697</v>
      </c>
      <c r="Z81" s="10">
        <v>38.932999999851603</v>
      </c>
      <c r="AA81" s="342">
        <f>Z81-Y81</f>
        <v>-2.9200000001140936</v>
      </c>
      <c r="AB81" s="10">
        <v>19.48066467084174</v>
      </c>
      <c r="AC81" s="342">
        <f t="shared" si="52"/>
        <v>16.560664670727647</v>
      </c>
      <c r="AD81" s="343">
        <f t="shared" si="53"/>
        <v>2.580502319206901E-2</v>
      </c>
    </row>
    <row r="82" spans="1:30" x14ac:dyDescent="0.2">
      <c r="A82" t="str">
        <f t="shared" si="44"/>
        <v>61 Caring personal service occupations</v>
      </c>
      <c r="B82" s="11">
        <v>7.3407299502860646</v>
      </c>
      <c r="C82" s="11">
        <v>14.882096068009053</v>
      </c>
      <c r="D82" s="11">
        <f t="shared" si="45"/>
        <v>7.5413661177229887</v>
      </c>
      <c r="E82" s="11">
        <v>6.0272565428653948</v>
      </c>
      <c r="F82" s="11">
        <f t="shared" si="46"/>
        <v>13.568622660588384</v>
      </c>
      <c r="G82" s="200">
        <f t="shared" si="47"/>
        <v>4.0770842168424748E-2</v>
      </c>
      <c r="I82" s="11" t="str">
        <f t="shared" si="56"/>
        <v>Elementary occupations</v>
      </c>
      <c r="J82" s="11">
        <v>45.168071247362036</v>
      </c>
      <c r="K82" s="11">
        <v>46.92930965247443</v>
      </c>
      <c r="L82" s="11">
        <v>1.7612384051123939</v>
      </c>
      <c r="M82" s="11">
        <v>20.37189688731009</v>
      </c>
      <c r="N82" s="11">
        <v>22.133135292422484</v>
      </c>
      <c r="P82" s="11"/>
      <c r="Q82" s="11"/>
      <c r="R82" s="11"/>
      <c r="S82" s="11"/>
      <c r="T82" s="11"/>
      <c r="U82" s="11"/>
      <c r="X82" s="231" t="str">
        <f>name!A3</f>
        <v>All industries</v>
      </c>
      <c r="Y82" s="353">
        <f>SUM(Y7:Y81)</f>
        <v>2404.2379999983386</v>
      </c>
      <c r="Z82" s="353">
        <f>SUM(Z7:Z81)</f>
        <v>2510.6939999992696</v>
      </c>
      <c r="AA82" s="354">
        <f>Z82-Y82</f>
        <v>106.456000000931</v>
      </c>
      <c r="AB82" s="353">
        <f>SUM(AB7:AB81)</f>
        <v>1171.8287661434326</v>
      </c>
      <c r="AC82" s="354">
        <f t="shared" si="52"/>
        <v>1278.2847661443636</v>
      </c>
      <c r="AD82" s="346">
        <f t="shared" si="53"/>
        <v>2.6822108207177786E-2</v>
      </c>
    </row>
    <row r="83" spans="1:30" x14ac:dyDescent="0.2">
      <c r="A83" t="str">
        <f t="shared" si="44"/>
        <v>62 Leisure, travel and related personal service occupations</v>
      </c>
      <c r="B83" s="11">
        <v>1.2118235659789609</v>
      </c>
      <c r="C83" s="11">
        <v>2.129425380020157</v>
      </c>
      <c r="D83" s="11">
        <f t="shared" ref="D83:D84" si="58">C83-B83</f>
        <v>0.91760181404119612</v>
      </c>
      <c r="E83" s="11">
        <v>0.82334580945210323</v>
      </c>
      <c r="F83" s="11">
        <f t="shared" ref="F83:F84" si="59">SUM(D83:E83)</f>
        <v>1.7409476234932995</v>
      </c>
      <c r="G83" s="200">
        <f t="shared" si="47"/>
        <v>3.5167776154660713E-2</v>
      </c>
      <c r="I83" s="11"/>
      <c r="J83" s="11"/>
      <c r="K83" s="11"/>
      <c r="L83" s="11"/>
      <c r="M83" s="11"/>
      <c r="N83" s="11"/>
      <c r="P83" s="11"/>
      <c r="Q83" s="11"/>
      <c r="R83" s="11"/>
      <c r="S83" s="11"/>
      <c r="T83" s="11"/>
      <c r="U83" s="11"/>
      <c r="X83" s="10"/>
    </row>
    <row r="84" spans="1:30" x14ac:dyDescent="0.2">
      <c r="A84" t="str">
        <f t="shared" si="44"/>
        <v>63 Community and civil enforcement occupations</v>
      </c>
      <c r="B84" s="11">
        <v>7.9440370260884519E-2</v>
      </c>
      <c r="C84" s="11">
        <v>0.13527660439762154</v>
      </c>
      <c r="D84" s="11">
        <f t="shared" si="58"/>
        <v>5.5836234136737023E-2</v>
      </c>
      <c r="E84" s="11">
        <v>5.0490465589074753E-2</v>
      </c>
      <c r="F84" s="11">
        <f t="shared" si="59"/>
        <v>0.10632669972581177</v>
      </c>
      <c r="G84" s="200">
        <f t="shared" si="47"/>
        <v>3.3343546436779725E-2</v>
      </c>
      <c r="I84" s="86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11"/>
      <c r="T84" s="11"/>
      <c r="U84" s="11"/>
    </row>
    <row r="85" spans="1:30" x14ac:dyDescent="0.2">
      <c r="A85" t="str">
        <f t="shared" si="44"/>
        <v>71 Sales occupations</v>
      </c>
      <c r="B85" s="11">
        <v>4.3344988675076701</v>
      </c>
      <c r="C85" s="11">
        <v>7.6874182814680605</v>
      </c>
      <c r="D85" s="11">
        <f t="shared" si="45"/>
        <v>3.3529194139603904</v>
      </c>
      <c r="E85" s="11">
        <v>2.6432732095939824</v>
      </c>
      <c r="F85" s="11">
        <f t="shared" si="46"/>
        <v>5.9961926235543732</v>
      </c>
      <c r="G85" s="200">
        <f t="shared" si="47"/>
        <v>3.2250715029383148E-2</v>
      </c>
      <c r="I85" s="11" t="str">
        <f>I74</f>
        <v>Managers, directors and senior officials</v>
      </c>
      <c r="J85" s="11">
        <f t="array" ref="J85:J93">MMULT(aggregation!$B$38:$AA$46,B210:B235)</f>
        <v>41.359493475356103</v>
      </c>
      <c r="K85" s="11">
        <f t="array" ref="K85:K93">MMULT(aggregation!$B$38:$AA$46,C210:C235)</f>
        <v>31.127708548627368</v>
      </c>
      <c r="L85" s="11">
        <f t="array" ref="L85:L93">MMULT(aggregation!$B$38:$AA$46,D210:D235)</f>
        <v>-10.231784926728738</v>
      </c>
      <c r="M85" s="11">
        <f t="array" ref="M85:M93">MMULT(aggregation!$B$38:$AA$46,E210:E235)</f>
        <v>17.520224786040146</v>
      </c>
      <c r="N85" s="11">
        <f t="array" ref="N85:N93">MMULT(aggregation!$B$38:$AA$46,F210:F235)</f>
        <v>7.2884398593114099</v>
      </c>
      <c r="P85" s="11"/>
      <c r="Q85" s="11"/>
      <c r="R85" s="11"/>
      <c r="S85" s="11"/>
      <c r="T85" s="11"/>
      <c r="U85" s="11"/>
    </row>
    <row r="86" spans="1:30" x14ac:dyDescent="0.2">
      <c r="A86" t="str">
        <f t="shared" si="44"/>
        <v>72 Customer service occupations</v>
      </c>
      <c r="B86" s="11">
        <v>1.4958958623126226</v>
      </c>
      <c r="C86" s="11">
        <v>3.78659978409762</v>
      </c>
      <c r="D86" s="11">
        <f t="shared" si="45"/>
        <v>2.2907039217849974</v>
      </c>
      <c r="E86" s="11">
        <v>1.2428828195575834</v>
      </c>
      <c r="F86" s="11">
        <f t="shared" si="46"/>
        <v>3.5335867413425808</v>
      </c>
      <c r="G86" s="200">
        <f t="shared" si="47"/>
        <v>4.1142971986146248E-2</v>
      </c>
      <c r="I86" s="11" t="str">
        <f>I75</f>
        <v>Professional occupations</v>
      </c>
      <c r="J86" s="11">
        <v>41.755782297502329</v>
      </c>
      <c r="K86" s="11">
        <v>32.231304539654325</v>
      </c>
      <c r="L86" s="11">
        <v>-9.5244777578480004</v>
      </c>
      <c r="M86" s="11">
        <v>15.080841596390565</v>
      </c>
      <c r="N86" s="11">
        <v>5.5563638385425644</v>
      </c>
      <c r="P86" s="11"/>
      <c r="Q86" s="11"/>
      <c r="R86" s="11"/>
      <c r="S86" s="11"/>
      <c r="T86" s="11"/>
      <c r="U86" s="11"/>
    </row>
    <row r="87" spans="1:30" x14ac:dyDescent="0.2">
      <c r="A87" t="str">
        <f t="shared" si="44"/>
        <v>81 Process, plant and machine operatives</v>
      </c>
      <c r="B87" s="11">
        <v>0.98471031701039824</v>
      </c>
      <c r="C87" s="11">
        <v>3.5313734536556196</v>
      </c>
      <c r="D87" s="11">
        <f t="shared" ref="D87:D88" si="60">C87-B87</f>
        <v>2.5466631366452215</v>
      </c>
      <c r="E87" s="11">
        <v>1.0850763705619273</v>
      </c>
      <c r="F87" s="11">
        <f t="shared" ref="F87:F88" si="61">SUM(D87:E87)</f>
        <v>3.6317395072071488</v>
      </c>
      <c r="G87" s="200">
        <f t="shared" si="47"/>
        <v>5.0770343025772435E-2</v>
      </c>
      <c r="I87" s="11" t="str">
        <f>I76</f>
        <v>Associate professional occupations</v>
      </c>
      <c r="J87" s="11">
        <v>44.969937780456576</v>
      </c>
      <c r="K87" s="11">
        <v>30.945521226473453</v>
      </c>
      <c r="L87" s="11">
        <v>-14.024416553983116</v>
      </c>
      <c r="M87" s="11">
        <v>14.700188695237824</v>
      </c>
      <c r="N87" s="11">
        <v>0.67577214125470775</v>
      </c>
      <c r="P87" s="11"/>
      <c r="Q87" s="11"/>
      <c r="R87" s="11"/>
      <c r="S87" s="11"/>
      <c r="T87" s="11"/>
      <c r="U87" s="11"/>
    </row>
    <row r="88" spans="1:30" x14ac:dyDescent="0.2">
      <c r="A88" t="str">
        <f t="shared" si="44"/>
        <v>82 Transport and mobile machine drivers and operatives</v>
      </c>
      <c r="B88" s="11">
        <v>1.1967932697344292</v>
      </c>
      <c r="C88" s="11">
        <v>2.3418052725444758</v>
      </c>
      <c r="D88" s="11">
        <f t="shared" si="60"/>
        <v>1.1450120028100466</v>
      </c>
      <c r="E88" s="11">
        <v>1.0964320842866859</v>
      </c>
      <c r="F88" s="11">
        <f t="shared" si="61"/>
        <v>2.2414440870967325</v>
      </c>
      <c r="G88" s="200">
        <f t="shared" si="47"/>
        <v>4.4307763072693795E-2</v>
      </c>
      <c r="I88" s="11" t="str">
        <f>I77</f>
        <v>Administrative and secretarial occupations</v>
      </c>
      <c r="J88" s="11">
        <v>63.058282265502903</v>
      </c>
      <c r="K88" s="11">
        <v>31.912364761045591</v>
      </c>
      <c r="L88" s="11">
        <v>-31.145917504457312</v>
      </c>
      <c r="M88" s="11">
        <v>21.33980448819748</v>
      </c>
      <c r="N88" s="11">
        <v>-9.8061130162598324</v>
      </c>
      <c r="P88" s="11"/>
      <c r="Q88" s="11"/>
      <c r="R88" s="11"/>
      <c r="S88" s="11"/>
      <c r="T88" s="11"/>
      <c r="U88" s="11"/>
    </row>
    <row r="89" spans="1:30" x14ac:dyDescent="0.2">
      <c r="A89" t="str">
        <f t="shared" si="44"/>
        <v>91 Elementary trades and related occupations</v>
      </c>
      <c r="B89" s="11">
        <v>0.55380605832537921</v>
      </c>
      <c r="C89" s="11">
        <v>0.90678557892168143</v>
      </c>
      <c r="D89" s="11">
        <f t="shared" si="45"/>
        <v>0.35297952059630222</v>
      </c>
      <c r="E89" s="11">
        <v>0.35127717240241235</v>
      </c>
      <c r="F89" s="11">
        <f t="shared" si="46"/>
        <v>0.70425669299871463</v>
      </c>
      <c r="G89" s="200">
        <f t="shared" si="47"/>
        <v>3.3289590817064285E-2</v>
      </c>
      <c r="I89" s="11" t="str">
        <f t="shared" ref="I89:I93" si="62">I78</f>
        <v>Skilled trades occupations</v>
      </c>
      <c r="J89" s="11">
        <v>55.445341348998276</v>
      </c>
      <c r="K89" s="11">
        <v>43.944237240149995</v>
      </c>
      <c r="L89" s="11">
        <v>-11.501104108848274</v>
      </c>
      <c r="M89" s="11">
        <v>20.228432459702486</v>
      </c>
      <c r="N89" s="11">
        <v>8.7273283508542114</v>
      </c>
      <c r="P89" s="11"/>
      <c r="Q89" s="11"/>
      <c r="R89" s="11"/>
      <c r="S89" s="11"/>
      <c r="T89" s="11"/>
      <c r="U89" s="11"/>
    </row>
    <row r="90" spans="1:30" x14ac:dyDescent="0.2">
      <c r="A90" t="str">
        <f t="shared" si="44"/>
        <v>92 Elementary administration and service occupations</v>
      </c>
      <c r="B90" s="11">
        <v>3.4892072112308559</v>
      </c>
      <c r="C90" s="11">
        <v>7.4070469797074345</v>
      </c>
      <c r="D90" s="11">
        <f t="shared" ref="D90" si="63">C90-B90</f>
        <v>3.9178397684765787</v>
      </c>
      <c r="E90" s="11">
        <v>2.8167353433845044</v>
      </c>
      <c r="F90" s="11">
        <f t="shared" ref="F90" si="64">SUM(D90:E90)</f>
        <v>6.7345751118610835</v>
      </c>
      <c r="G90" s="200">
        <f t="shared" ref="G90" si="65">IF(B90&gt;0,(1+(E90/B90))^(1/($C$6-$B$6))-1,0)</f>
        <v>4.0243194562838758E-2</v>
      </c>
      <c r="I90" s="11" t="str">
        <f t="shared" si="62"/>
        <v>Caring, leisure and other service occupations</v>
      </c>
      <c r="J90" s="11">
        <v>66.570316298078353</v>
      </c>
      <c r="K90" s="11">
        <v>48.004261529359766</v>
      </c>
      <c r="L90" s="11">
        <v>-18.566054768718594</v>
      </c>
      <c r="M90" s="11">
        <v>29.246488930309191</v>
      </c>
      <c r="N90" s="11">
        <v>10.680434161590599</v>
      </c>
      <c r="P90" s="11"/>
      <c r="Q90" s="11"/>
      <c r="R90" s="11"/>
      <c r="S90" s="11"/>
      <c r="T90" s="11"/>
      <c r="U90" s="11"/>
    </row>
    <row r="91" spans="1:30" x14ac:dyDescent="0.2">
      <c r="A91" t="str">
        <f t="shared" si="44"/>
        <v>All occupations</v>
      </c>
      <c r="B91" s="11">
        <f>SUM(B65:B90)</f>
        <v>212.99487870195171</v>
      </c>
      <c r="C91" s="11">
        <f t="shared" ref="C91:F91" si="66">SUM(C65:C90)</f>
        <v>340.01785069760444</v>
      </c>
      <c r="D91" s="11">
        <f t="shared" si="66"/>
        <v>127.02297199565281</v>
      </c>
      <c r="E91" s="11">
        <f t="shared" si="66"/>
        <v>131.24264570915571</v>
      </c>
      <c r="F91" s="11">
        <f t="shared" si="66"/>
        <v>258.26561770480851</v>
      </c>
      <c r="G91" s="200">
        <f t="shared" si="47"/>
        <v>3.2521895253632138E-2</v>
      </c>
      <c r="I91" s="11" t="str">
        <f t="shared" si="62"/>
        <v>Sales and customer service occupations</v>
      </c>
      <c r="J91" s="11">
        <v>52.135478901393057</v>
      </c>
      <c r="K91" s="11">
        <v>38.825283439272525</v>
      </c>
      <c r="L91" s="11">
        <v>-13.310195462120534</v>
      </c>
      <c r="M91" s="11">
        <v>22.743557494138031</v>
      </c>
      <c r="N91" s="11">
        <v>9.4333620320174969</v>
      </c>
      <c r="P91" s="11"/>
      <c r="Q91" s="11"/>
      <c r="R91" s="11"/>
      <c r="S91" s="11"/>
      <c r="T91" s="11"/>
      <c r="U91" s="1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2"/>
        <v>Process, plant and machine operatives</v>
      </c>
      <c r="J92" s="11">
        <v>58.535666774767876</v>
      </c>
      <c r="K92" s="11">
        <v>65.23993962908655</v>
      </c>
      <c r="L92" s="11">
        <v>6.7042728543186705</v>
      </c>
      <c r="M92" s="11">
        <v>30.903063553318361</v>
      </c>
      <c r="N92" s="11">
        <v>37.607336407637035</v>
      </c>
      <c r="P92" s="11"/>
      <c r="Q92" s="11"/>
      <c r="R92" s="11"/>
      <c r="S92" s="11"/>
      <c r="T92" s="11"/>
      <c r="U92" s="11"/>
    </row>
    <row r="93" spans="1:30" ht="38.25" x14ac:dyDescent="0.2">
      <c r="A93" s="201" t="str">
        <f>CONCATENATE(name!F6," (Constrained)")</f>
        <v>RQF6 First degree (Constrained)</v>
      </c>
      <c r="B93" s="74">
        <f t="shared" ref="B93:G93" si="67">B6</f>
        <v>2020</v>
      </c>
      <c r="C93" s="74">
        <f t="shared" si="67"/>
        <v>2035</v>
      </c>
      <c r="D93" s="87" t="str">
        <f t="shared" si="67"/>
        <v>Net Change</v>
      </c>
      <c r="E93" s="87" t="str">
        <f t="shared" si="67"/>
        <v>Replacement Demand level</v>
      </c>
      <c r="F93" s="87" t="str">
        <f t="shared" si="67"/>
        <v>Total Requirement</v>
      </c>
      <c r="G93" s="87" t="str">
        <f t="shared" si="67"/>
        <v>Replacement Demand rate</v>
      </c>
      <c r="I93" s="11" t="str">
        <f t="shared" si="62"/>
        <v>Elementary occupations</v>
      </c>
      <c r="J93" s="11">
        <v>73.423568248922919</v>
      </c>
      <c r="K93" s="11">
        <v>62.568416001998131</v>
      </c>
      <c r="L93" s="11">
        <v>-10.855152246924781</v>
      </c>
      <c r="M93" s="11">
        <v>31.615920989547185</v>
      </c>
      <c r="N93" s="11">
        <v>20.760768742622403</v>
      </c>
      <c r="P93" s="11"/>
      <c r="Q93" s="11"/>
      <c r="R93" s="11"/>
      <c r="S93" s="11"/>
      <c r="T93" s="11"/>
      <c r="U93" s="11"/>
    </row>
    <row r="94" spans="1:30" x14ac:dyDescent="0.2">
      <c r="A94" t="str">
        <f t="shared" ref="A94:A120" si="68">A7</f>
        <v>11 Corporate managers and directors</v>
      </c>
      <c r="B94" s="11">
        <v>50.504619693831081</v>
      </c>
      <c r="C94" s="11">
        <v>60.302502810977437</v>
      </c>
      <c r="D94" s="11">
        <f>C94-B94</f>
        <v>9.7978831171463554</v>
      </c>
      <c r="E94" s="11">
        <v>30.458146865643819</v>
      </c>
      <c r="F94" s="11">
        <f>SUM(D94:E94)</f>
        <v>40.256029982790174</v>
      </c>
      <c r="G94" s="200">
        <f>IF(B94&gt;0,(1+(E94/B94))^(1/($C$6-$B$6))-1,0)</f>
        <v>3.1961786422574523E-2</v>
      </c>
      <c r="I94" s="84"/>
      <c r="J94" s="73"/>
      <c r="K94" s="73"/>
      <c r="L94" s="71"/>
      <c r="M94" s="71"/>
      <c r="N94" s="71"/>
      <c r="P94" s="11"/>
      <c r="Q94" s="11"/>
      <c r="R94" s="11"/>
      <c r="S94" s="11"/>
      <c r="T94" s="11"/>
      <c r="U94" s="11"/>
    </row>
    <row r="95" spans="1:30" x14ac:dyDescent="0.2">
      <c r="A95" t="str">
        <f t="shared" si="68"/>
        <v>12 Other managers and proprietors</v>
      </c>
      <c r="B95" s="11">
        <v>17.490626286761522</v>
      </c>
      <c r="C95" s="11">
        <v>30.269710864624212</v>
      </c>
      <c r="D95" s="11">
        <f t="shared" ref="D95:D118" si="69">C95-B95</f>
        <v>12.77908457786269</v>
      </c>
      <c r="E95" s="11">
        <v>15.306497080670814</v>
      </c>
      <c r="F95" s="11">
        <f t="shared" ref="F95:F118" si="70">SUM(D95:E95)</f>
        <v>28.085581658533506</v>
      </c>
      <c r="G95" s="200">
        <f t="shared" ref="G95:G120" si="71">IF(B95&gt;0,(1+(E95/B95))^(1/($C$6-$B$6))-1,0)</f>
        <v>4.2802410018367931E-2</v>
      </c>
      <c r="I95" s="86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11"/>
      <c r="T95" s="11"/>
      <c r="U95" s="11"/>
    </row>
    <row r="96" spans="1:30" x14ac:dyDescent="0.2">
      <c r="A96" t="str">
        <f t="shared" si="68"/>
        <v>21 Science, research, engineering and technology professionals</v>
      </c>
      <c r="B96" s="11">
        <v>46.440502532201194</v>
      </c>
      <c r="C96" s="11">
        <v>53.810203652160453</v>
      </c>
      <c r="D96" s="11">
        <f t="shared" si="69"/>
        <v>7.3697011199592595</v>
      </c>
      <c r="E96" s="11">
        <v>19.55813932650516</v>
      </c>
      <c r="F96" s="11">
        <f t="shared" si="70"/>
        <v>26.927840446464419</v>
      </c>
      <c r="G96" s="200">
        <f t="shared" si="71"/>
        <v>2.3707470436002742E-2</v>
      </c>
      <c r="I96" s="11" t="str">
        <f>I85</f>
        <v>Managers, directors and senior officials</v>
      </c>
      <c r="J96" s="11">
        <f t="array" ref="J96:J104">MMULT(aggregation!$B$38:$AA$46,B239:B264)</f>
        <v>29.480896040546945</v>
      </c>
      <c r="K96" s="11">
        <f t="array" ref="K96:K104">MMULT(aggregation!$B$38:$AA$46,C239:C264)</f>
        <v>20.057334074113779</v>
      </c>
      <c r="L96" s="11">
        <f t="array" ref="L96:L104">MMULT(aggregation!$B$38:$AA$46,D239:D264)</f>
        <v>-9.4235619664331693</v>
      </c>
      <c r="M96" s="11">
        <f t="array" ref="M96:M104">MMULT(aggregation!$B$38:$AA$46,E239:E264)</f>
        <v>11.438821937683443</v>
      </c>
      <c r="N96" s="11">
        <f t="array" ref="N96:N104">MMULT(aggregation!$B$38:$AA$46,F239:F264)</f>
        <v>2.0152599712502743</v>
      </c>
      <c r="P96" s="11"/>
      <c r="Q96" s="11"/>
      <c r="R96" s="11"/>
      <c r="S96" s="11"/>
      <c r="T96" s="11"/>
      <c r="U96" s="11"/>
    </row>
    <row r="97" spans="1:21" x14ac:dyDescent="0.2">
      <c r="A97" t="str">
        <f t="shared" si="68"/>
        <v>22 Health professionals</v>
      </c>
      <c r="B97" s="11">
        <v>37.649994698274462</v>
      </c>
      <c r="C97" s="11">
        <v>51.371203823502761</v>
      </c>
      <c r="D97" s="11">
        <f t="shared" si="69"/>
        <v>13.721209125228299</v>
      </c>
      <c r="E97" s="11">
        <v>26.783536557698156</v>
      </c>
      <c r="F97" s="11">
        <f t="shared" si="70"/>
        <v>40.504745682926455</v>
      </c>
      <c r="G97" s="200">
        <f t="shared" si="71"/>
        <v>3.6469358918153283E-2</v>
      </c>
      <c r="I97" s="11" t="str">
        <f>I86</f>
        <v>Professional occupations</v>
      </c>
      <c r="J97" s="11">
        <v>25.98499113940219</v>
      </c>
      <c r="K97" s="11">
        <v>17.601217501169415</v>
      </c>
      <c r="L97" s="11">
        <v>-8.3837736382327694</v>
      </c>
      <c r="M97" s="11">
        <v>8.8113600149342979</v>
      </c>
      <c r="N97" s="11">
        <v>0.42758637670152799</v>
      </c>
      <c r="P97" s="11"/>
      <c r="Q97" s="11"/>
      <c r="R97" s="11"/>
      <c r="S97" s="11"/>
      <c r="T97" s="11"/>
      <c r="U97" s="11"/>
    </row>
    <row r="98" spans="1:21" x14ac:dyDescent="0.2">
      <c r="A98" t="str">
        <f t="shared" si="68"/>
        <v>23 Teaching and other educational professionals</v>
      </c>
      <c r="B98" s="11">
        <v>26.235408930703251</v>
      </c>
      <c r="C98" s="11">
        <v>18.618250751323369</v>
      </c>
      <c r="D98" s="11">
        <f t="shared" ref="D98" si="72">C98-B98</f>
        <v>-7.6171581793798815</v>
      </c>
      <c r="E98" s="11">
        <v>11.739981193524523</v>
      </c>
      <c r="F98" s="11">
        <f t="shared" ref="F98" si="73">SUM(D98:E98)</f>
        <v>4.1228230141446414</v>
      </c>
      <c r="G98" s="200">
        <f t="shared" si="71"/>
        <v>2.4961675865515787E-2</v>
      </c>
      <c r="I98" s="11" t="str">
        <f>I87</f>
        <v>Associate professional occupations</v>
      </c>
      <c r="J98" s="11">
        <v>27.213479370516367</v>
      </c>
      <c r="K98" s="11">
        <v>15.73026737058731</v>
      </c>
      <c r="L98" s="11">
        <v>-11.483211999929056</v>
      </c>
      <c r="M98" s="11">
        <v>7.7577630010101917</v>
      </c>
      <c r="N98" s="11">
        <v>-3.7254489989188642</v>
      </c>
      <c r="P98" s="11"/>
      <c r="Q98" s="11"/>
      <c r="R98" s="11"/>
      <c r="S98" s="11"/>
      <c r="T98" s="11"/>
      <c r="U98" s="11"/>
    </row>
    <row r="99" spans="1:21" x14ac:dyDescent="0.2">
      <c r="A99" t="str">
        <f t="shared" si="68"/>
        <v>24 Business, media and public service professionals</v>
      </c>
      <c r="B99" s="11">
        <v>58.790334208259829</v>
      </c>
      <c r="C99" s="11">
        <v>75.501219245331683</v>
      </c>
      <c r="D99" s="11">
        <f t="shared" si="69"/>
        <v>16.710885037071854</v>
      </c>
      <c r="E99" s="11">
        <v>36.440927273872383</v>
      </c>
      <c r="F99" s="11">
        <f t="shared" si="70"/>
        <v>53.151812310944237</v>
      </c>
      <c r="G99" s="200">
        <f t="shared" si="71"/>
        <v>3.267795774940363E-2</v>
      </c>
      <c r="I99" s="11" t="str">
        <f>I88</f>
        <v>Administrative and secretarial occupations</v>
      </c>
      <c r="J99" s="11">
        <v>32.384399957005712</v>
      </c>
      <c r="K99" s="11">
        <v>8.5414126597665838</v>
      </c>
      <c r="L99" s="11">
        <v>-23.842987297239134</v>
      </c>
      <c r="M99" s="11">
        <v>6.7854276494478203</v>
      </c>
      <c r="N99" s="11">
        <v>-17.057559647791312</v>
      </c>
      <c r="P99" s="11"/>
      <c r="Q99" s="11"/>
      <c r="R99" s="11"/>
      <c r="S99" s="11"/>
      <c r="T99" s="11"/>
      <c r="U99" s="11"/>
    </row>
    <row r="100" spans="1:21" x14ac:dyDescent="0.2">
      <c r="A100" t="str">
        <f t="shared" si="68"/>
        <v>31 Science, engineering and technology associate professionals</v>
      </c>
      <c r="B100" s="11">
        <v>11.311802398252409</v>
      </c>
      <c r="C100" s="11">
        <v>12.005069577616593</v>
      </c>
      <c r="D100" s="11">
        <f t="shared" si="69"/>
        <v>0.69326717936418447</v>
      </c>
      <c r="E100" s="11">
        <v>4.897815739431878</v>
      </c>
      <c r="F100" s="11">
        <f t="shared" si="70"/>
        <v>5.5910829187960625</v>
      </c>
      <c r="G100" s="200">
        <f t="shared" si="71"/>
        <v>2.4273802202250616E-2</v>
      </c>
      <c r="I100" s="11" t="str">
        <f t="shared" ref="I100:I104" si="74">I89</f>
        <v>Skilled trades occupations</v>
      </c>
      <c r="J100" s="11">
        <v>33.357370418844745</v>
      </c>
      <c r="K100" s="11">
        <v>19.243077934726017</v>
      </c>
      <c r="L100" s="11">
        <v>-14.114292484118728</v>
      </c>
      <c r="M100" s="11">
        <v>10.339688349937822</v>
      </c>
      <c r="N100" s="11">
        <v>-3.7746041341809082</v>
      </c>
      <c r="P100" s="11"/>
      <c r="Q100" s="11"/>
      <c r="R100" s="11"/>
      <c r="S100" s="11"/>
      <c r="T100" s="11"/>
      <c r="U100" s="11"/>
    </row>
    <row r="101" spans="1:21" x14ac:dyDescent="0.2">
      <c r="A101" t="str">
        <f t="shared" si="68"/>
        <v>32 Health and social care associate professionals</v>
      </c>
      <c r="B101" s="11">
        <v>12.658988387421289</v>
      </c>
      <c r="C101" s="11">
        <v>19.123092218862038</v>
      </c>
      <c r="D101" s="11">
        <f t="shared" si="69"/>
        <v>6.4641038314407488</v>
      </c>
      <c r="E101" s="11">
        <v>10.285417266721476</v>
      </c>
      <c r="F101" s="11">
        <f t="shared" si="70"/>
        <v>16.749521098162226</v>
      </c>
      <c r="G101" s="200">
        <f t="shared" si="71"/>
        <v>4.0443546384639539E-2</v>
      </c>
      <c r="I101" s="11" t="str">
        <f t="shared" si="74"/>
        <v>Caring, leisure and other service occupations</v>
      </c>
      <c r="J101" s="11">
        <v>18.78905351484693</v>
      </c>
      <c r="K101" s="11">
        <v>12.602551298831743</v>
      </c>
      <c r="L101" s="11">
        <v>-6.1865022160151852</v>
      </c>
      <c r="M101" s="11">
        <v>5.9915769781729429</v>
      </c>
      <c r="N101" s="11">
        <v>-0.19492523784224314</v>
      </c>
      <c r="P101" s="11"/>
      <c r="Q101" s="11"/>
      <c r="R101" s="11"/>
      <c r="S101" s="11"/>
      <c r="T101" s="11"/>
      <c r="U101" s="11"/>
    </row>
    <row r="102" spans="1:21" x14ac:dyDescent="0.2">
      <c r="A102" t="str">
        <f t="shared" si="68"/>
        <v>33 Protective service occupations</v>
      </c>
      <c r="B102" s="11">
        <v>6.190894388640956</v>
      </c>
      <c r="C102" s="11">
        <v>12.151536314885414</v>
      </c>
      <c r="D102" s="11">
        <f t="shared" si="69"/>
        <v>5.9606419262444579</v>
      </c>
      <c r="E102" s="11">
        <v>3.7563509703553128</v>
      </c>
      <c r="F102" s="11">
        <f t="shared" si="70"/>
        <v>9.7169928965997698</v>
      </c>
      <c r="G102" s="200">
        <f t="shared" si="71"/>
        <v>3.2119450115613013E-2</v>
      </c>
      <c r="I102" s="11" t="str">
        <f t="shared" si="74"/>
        <v>Sales and customer service occupations</v>
      </c>
      <c r="J102" s="11">
        <v>32.59872868284662</v>
      </c>
      <c r="K102" s="11">
        <v>11.595884036350421</v>
      </c>
      <c r="L102" s="11">
        <v>-21.002844646496193</v>
      </c>
      <c r="M102" s="11">
        <v>8.0557338199889568</v>
      </c>
      <c r="N102" s="11">
        <v>-12.947110826507238</v>
      </c>
      <c r="P102" s="11"/>
      <c r="Q102" s="11"/>
      <c r="R102" s="11"/>
      <c r="S102" s="11"/>
      <c r="T102" s="11"/>
      <c r="U102" s="11"/>
    </row>
    <row r="103" spans="1:21" x14ac:dyDescent="0.2">
      <c r="A103" t="str">
        <f t="shared" si="68"/>
        <v>34 Culture, media and sports occupations</v>
      </c>
      <c r="B103" s="11">
        <v>12.147966167359151</v>
      </c>
      <c r="C103" s="11">
        <v>12.572526933093995</v>
      </c>
      <c r="D103" s="11">
        <f t="shared" ref="D103:D104" si="75">C103-B103</f>
        <v>0.42456076573484403</v>
      </c>
      <c r="E103" s="11">
        <v>5.8400443129704618</v>
      </c>
      <c r="F103" s="11">
        <f t="shared" ref="F103:F104" si="76">SUM(D103:E103)</f>
        <v>6.2646050787053058</v>
      </c>
      <c r="G103" s="200">
        <f t="shared" si="71"/>
        <v>2.6515009404046941E-2</v>
      </c>
      <c r="I103" s="11" t="str">
        <f t="shared" si="74"/>
        <v>Process, plant and machine operatives</v>
      </c>
      <c r="J103" s="11">
        <v>49.434369715004507</v>
      </c>
      <c r="K103" s="11">
        <v>28.468184702975183</v>
      </c>
      <c r="L103" s="11">
        <v>-20.966185012029328</v>
      </c>
      <c r="M103" s="11">
        <v>17.707556660848958</v>
      </c>
      <c r="N103" s="11">
        <v>-3.2586283511803682</v>
      </c>
      <c r="P103" s="11"/>
      <c r="Q103" s="11"/>
      <c r="R103" s="11"/>
      <c r="S103" s="11"/>
      <c r="T103" s="11"/>
      <c r="U103" s="11"/>
    </row>
    <row r="104" spans="1:21" x14ac:dyDescent="0.2">
      <c r="A104" t="str">
        <f t="shared" si="68"/>
        <v>35 Business and public service associate professionals</v>
      </c>
      <c r="B104" s="11">
        <v>36.494105682675091</v>
      </c>
      <c r="C104" s="11">
        <v>41.078797371425011</v>
      </c>
      <c r="D104" s="11">
        <f t="shared" si="75"/>
        <v>4.5846916887499205</v>
      </c>
      <c r="E104" s="11">
        <v>19.569464679267004</v>
      </c>
      <c r="F104" s="11">
        <f t="shared" si="76"/>
        <v>24.154156368016924</v>
      </c>
      <c r="G104" s="200">
        <f t="shared" si="71"/>
        <v>2.9035920942075633E-2</v>
      </c>
      <c r="I104" s="11" t="str">
        <f t="shared" si="74"/>
        <v>Elementary occupations</v>
      </c>
      <c r="J104" s="11">
        <v>71.982229754810575</v>
      </c>
      <c r="K104" s="11">
        <v>45.012989050901645</v>
      </c>
      <c r="L104" s="11">
        <v>-26.96924070390893</v>
      </c>
      <c r="M104" s="11">
        <v>23.724008516691395</v>
      </c>
      <c r="N104" s="11">
        <v>-3.2452321872175363</v>
      </c>
      <c r="P104" s="11"/>
      <c r="Q104" s="11"/>
      <c r="R104" s="11"/>
      <c r="S104" s="11"/>
      <c r="T104" s="11"/>
      <c r="U104" s="11"/>
    </row>
    <row r="105" spans="1:21" x14ac:dyDescent="0.2">
      <c r="A105" t="str">
        <f t="shared" si="68"/>
        <v>41 Administrative occupations</v>
      </c>
      <c r="B105" s="11">
        <v>38.298989718764105</v>
      </c>
      <c r="C105" s="11">
        <v>47.810667843691782</v>
      </c>
      <c r="D105" s="11">
        <f t="shared" si="69"/>
        <v>9.5116781249276769</v>
      </c>
      <c r="E105" s="11">
        <v>24.584768389854435</v>
      </c>
      <c r="F105" s="11">
        <f t="shared" si="70"/>
        <v>34.096446514782116</v>
      </c>
      <c r="G105" s="200">
        <f t="shared" si="71"/>
        <v>3.361010068222714E-2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11"/>
      <c r="T105" s="11"/>
      <c r="U105" s="11"/>
    </row>
    <row r="106" spans="1:21" x14ac:dyDescent="0.2">
      <c r="A106" t="str">
        <f t="shared" si="68"/>
        <v>42 Secretarial and related occupations</v>
      </c>
      <c r="B106" s="11">
        <v>6.7524142354836121</v>
      </c>
      <c r="C106" s="11">
        <v>13.655531377639566</v>
      </c>
      <c r="D106" s="11">
        <f t="shared" si="69"/>
        <v>6.9031171421559536</v>
      </c>
      <c r="E106" s="11">
        <v>6.7911945050594795</v>
      </c>
      <c r="F106" s="11">
        <f t="shared" si="70"/>
        <v>13.694311647215432</v>
      </c>
      <c r="G106" s="200">
        <f t="shared" si="71"/>
        <v>4.7494347615793187E-2</v>
      </c>
      <c r="I106" s="86" t="str">
        <f>name!F12</f>
        <v>No Qualification</v>
      </c>
      <c r="J106" s="11"/>
      <c r="K106" s="11"/>
      <c r="L106" s="11"/>
      <c r="M106" s="11"/>
      <c r="N106" s="11"/>
      <c r="O106" s="70"/>
      <c r="P106" s="11"/>
      <c r="Q106" s="11"/>
      <c r="R106" s="11"/>
      <c r="S106" s="11"/>
      <c r="T106" s="11"/>
      <c r="U106" s="11"/>
    </row>
    <row r="107" spans="1:21" x14ac:dyDescent="0.2">
      <c r="A107" t="str">
        <f t="shared" si="68"/>
        <v>51 Skilled agricultural and related trades</v>
      </c>
      <c r="B107" s="11">
        <v>5.6954081084633525</v>
      </c>
      <c r="C107" s="11">
        <v>8.2666823260656681</v>
      </c>
      <c r="D107" s="11">
        <f t="shared" si="69"/>
        <v>2.5712742176023156</v>
      </c>
      <c r="E107" s="11">
        <v>4.4665631605620861</v>
      </c>
      <c r="F107" s="11">
        <f t="shared" si="70"/>
        <v>7.0378373781644017</v>
      </c>
      <c r="G107" s="200">
        <f t="shared" si="71"/>
        <v>3.9354117518858311E-2</v>
      </c>
      <c r="I107" s="11" t="str">
        <f>I96</f>
        <v>Managers, directors and senior officials</v>
      </c>
      <c r="J107" s="11">
        <f t="array" ref="J107:J115">MMULT(aggregation!$B$38:$AA$46,B268:B293)</f>
        <v>6.2677510871241839</v>
      </c>
      <c r="K107" s="11">
        <f t="array" ref="K107:K115">MMULT(aggregation!$B$38:$AA$46,C268:C293)</f>
        <v>7.6923989943234776</v>
      </c>
      <c r="L107" s="11">
        <f t="array" ref="L107:L115">MMULT(aggregation!$B$38:$AA$46,D268:D293)</f>
        <v>1.4246479071992937</v>
      </c>
      <c r="M107" s="11">
        <f t="array" ref="M107:M115">MMULT(aggregation!$B$38:$AA$46,E268:E293)</f>
        <v>2.7523311795840373</v>
      </c>
      <c r="N107" s="11">
        <f t="array" ref="N107:N115">MMULT(aggregation!$B$38:$AA$46,F268:F293)</f>
        <v>4.176979086783331</v>
      </c>
      <c r="P107" s="11"/>
      <c r="Q107" s="11"/>
      <c r="R107" s="11"/>
      <c r="S107" s="11"/>
      <c r="T107" s="11"/>
      <c r="U107" s="11"/>
    </row>
    <row r="108" spans="1:21" x14ac:dyDescent="0.2">
      <c r="A108" t="str">
        <f t="shared" si="68"/>
        <v>52 Skilled metal, electrical and electronic trades</v>
      </c>
      <c r="B108" s="11">
        <v>4.3644748553905659</v>
      </c>
      <c r="C108" s="11">
        <v>6.7721785968840074</v>
      </c>
      <c r="D108" s="11">
        <f t="shared" si="69"/>
        <v>2.4077037414934415</v>
      </c>
      <c r="E108" s="11">
        <v>2.7538590256710522</v>
      </c>
      <c r="F108" s="11">
        <f t="shared" si="70"/>
        <v>5.1615627671644937</v>
      </c>
      <c r="G108" s="200">
        <f t="shared" si="71"/>
        <v>3.3149311415998861E-2</v>
      </c>
      <c r="I108" s="11" t="str">
        <f>I97</f>
        <v>Professional occupations</v>
      </c>
      <c r="J108" s="11">
        <v>4.7170407728870103</v>
      </c>
      <c r="K108" s="11">
        <v>5.6235323386070881</v>
      </c>
      <c r="L108" s="11">
        <v>0.90649156572007739</v>
      </c>
      <c r="M108" s="11">
        <v>2.0946039842167279</v>
      </c>
      <c r="N108" s="11">
        <v>3.0010955499368053</v>
      </c>
      <c r="P108" s="84"/>
      <c r="Q108" s="73"/>
      <c r="R108" s="73"/>
      <c r="S108" s="71"/>
      <c r="T108" s="71"/>
      <c r="U108" s="71"/>
    </row>
    <row r="109" spans="1:21" x14ac:dyDescent="0.2">
      <c r="A109" t="str">
        <f t="shared" si="68"/>
        <v>53 Skilled construction and building trades</v>
      </c>
      <c r="B109" s="11">
        <v>1.8098552167907753</v>
      </c>
      <c r="C109" s="11">
        <v>2.7888315579217391</v>
      </c>
      <c r="D109" s="11">
        <f t="shared" ref="D109" si="77">C109-B109</f>
        <v>0.97897634113096377</v>
      </c>
      <c r="E109" s="11">
        <v>1.1972049886462874</v>
      </c>
      <c r="F109" s="11">
        <f t="shared" ref="F109" si="78">SUM(D109:E109)</f>
        <v>2.1761813297772514</v>
      </c>
      <c r="G109" s="200">
        <f t="shared" si="71"/>
        <v>3.4427091089383577E-2</v>
      </c>
      <c r="I109" s="11" t="str">
        <f>I98</f>
        <v>Associate professional occupations</v>
      </c>
      <c r="J109" s="11">
        <v>4.866232918738584</v>
      </c>
      <c r="K109" s="11">
        <v>4.3836333480991208</v>
      </c>
      <c r="L109" s="11">
        <v>-0.48259957063946352</v>
      </c>
      <c r="M109" s="11">
        <v>1.7188673449112235</v>
      </c>
      <c r="N109" s="11">
        <v>1.23626777427176</v>
      </c>
      <c r="P109" s="11"/>
      <c r="Q109" s="11"/>
      <c r="R109" s="11"/>
      <c r="S109" s="11"/>
      <c r="T109" s="11"/>
      <c r="U109" s="11"/>
    </row>
    <row r="110" spans="1:21" x14ac:dyDescent="0.2">
      <c r="A110" t="str">
        <f t="shared" si="68"/>
        <v>54 Textiles, printing and other skilled trades</v>
      </c>
      <c r="B110" s="11">
        <v>3.1176403710172473</v>
      </c>
      <c r="C110" s="11">
        <v>4.5645936181040474</v>
      </c>
      <c r="D110" s="11">
        <f t="shared" si="69"/>
        <v>1.4469532470868001</v>
      </c>
      <c r="E110" s="11">
        <v>2.1279950164558068</v>
      </c>
      <c r="F110" s="11">
        <f t="shared" si="70"/>
        <v>3.5749482635426069</v>
      </c>
      <c r="G110" s="200">
        <f t="shared" si="71"/>
        <v>3.5296642518731769E-2</v>
      </c>
      <c r="I110" s="11" t="str">
        <f>I99</f>
        <v>Administrative and secretarial occupations</v>
      </c>
      <c r="J110" s="11">
        <v>6.6262327013521993</v>
      </c>
      <c r="K110" s="11">
        <v>4.8829397214246697</v>
      </c>
      <c r="L110" s="11">
        <v>-1.7432929799275305</v>
      </c>
      <c r="M110" s="11">
        <v>2.40858064873209</v>
      </c>
      <c r="N110" s="11">
        <v>0.6652876688045597</v>
      </c>
      <c r="P110" s="11"/>
      <c r="Q110" s="11"/>
      <c r="R110" s="11"/>
      <c r="S110" s="11"/>
      <c r="T110" s="11"/>
      <c r="U110" s="11"/>
    </row>
    <row r="111" spans="1:21" x14ac:dyDescent="0.2">
      <c r="A111" t="str">
        <f t="shared" si="68"/>
        <v>61 Caring personal service occupations</v>
      </c>
      <c r="B111" s="11">
        <v>24.549237010790382</v>
      </c>
      <c r="C111" s="11">
        <v>41.076814933604538</v>
      </c>
      <c r="D111" s="11">
        <f>C111-B111</f>
        <v>16.527577922814157</v>
      </c>
      <c r="E111" s="11">
        <v>22.115308876453195</v>
      </c>
      <c r="F111" s="11">
        <f>SUM(D111:E111)</f>
        <v>38.642886799267352</v>
      </c>
      <c r="G111" s="200">
        <f t="shared" si="71"/>
        <v>4.3750275210740597E-2</v>
      </c>
      <c r="I111" s="11" t="str">
        <f t="shared" ref="I111:I115" si="79">I100</f>
        <v>Skilled trades occupations</v>
      </c>
      <c r="J111" s="11">
        <v>13.355710786492184</v>
      </c>
      <c r="K111" s="11">
        <v>7.7784085493585557</v>
      </c>
      <c r="L111" s="11">
        <v>-5.5773022371336278</v>
      </c>
      <c r="M111" s="11">
        <v>3.569010674982358</v>
      </c>
      <c r="N111" s="11">
        <v>-2.0082915621512689</v>
      </c>
      <c r="P111" s="11"/>
      <c r="Q111" s="11"/>
      <c r="R111" s="11"/>
      <c r="S111" s="11"/>
      <c r="T111" s="11"/>
      <c r="U111" s="11"/>
    </row>
    <row r="112" spans="1:21" x14ac:dyDescent="0.2">
      <c r="A112" t="str">
        <f t="shared" si="68"/>
        <v>62 Leisure, travel and related personal service occupations</v>
      </c>
      <c r="B112" s="11">
        <v>5.7773647177682736</v>
      </c>
      <c r="C112" s="11">
        <v>10.187153018393392</v>
      </c>
      <c r="D112" s="11">
        <f t="shared" ref="D112:D113" si="80">C112-B112</f>
        <v>4.4097883006251184</v>
      </c>
      <c r="E112" s="11">
        <v>5.015808563697453</v>
      </c>
      <c r="F112" s="11">
        <f t="shared" ref="F112:F113" si="81">SUM(D112:E112)</f>
        <v>9.4255968643225714</v>
      </c>
      <c r="G112" s="200">
        <f t="shared" si="71"/>
        <v>4.2544554816959623E-2</v>
      </c>
      <c r="I112" s="11" t="str">
        <f t="shared" si="79"/>
        <v>Caring, leisure and other service occupations</v>
      </c>
      <c r="J112" s="11">
        <v>3.9678494126063688</v>
      </c>
      <c r="K112" s="11">
        <v>3.698234820078711</v>
      </c>
      <c r="L112" s="11">
        <v>-0.26961459252765752</v>
      </c>
      <c r="M112" s="11">
        <v>1.2495586074316227</v>
      </c>
      <c r="N112" s="11">
        <v>0.97994401490396532</v>
      </c>
      <c r="P112" s="11"/>
      <c r="Q112" s="11"/>
      <c r="R112" s="11"/>
      <c r="S112" s="11"/>
      <c r="T112" s="11"/>
      <c r="U112" s="11"/>
    </row>
    <row r="113" spans="1:21" x14ac:dyDescent="0.2">
      <c r="A113" t="str">
        <f t="shared" si="68"/>
        <v>63 Community and civil enforcement occupations</v>
      </c>
      <c r="B113" s="11">
        <v>0.38646451519666664</v>
      </c>
      <c r="C113" s="11">
        <v>0.57661450908981893</v>
      </c>
      <c r="D113" s="11">
        <f t="shared" si="80"/>
        <v>0.19014999389315229</v>
      </c>
      <c r="E113" s="11">
        <v>0.28206776780159731</v>
      </c>
      <c r="F113" s="11">
        <f t="shared" si="81"/>
        <v>0.4722177616947496</v>
      </c>
      <c r="G113" s="200">
        <f t="shared" si="71"/>
        <v>3.7211963385464619E-2</v>
      </c>
      <c r="I113" s="11" t="str">
        <f t="shared" si="79"/>
        <v>Sales and customer service occupations</v>
      </c>
      <c r="J113" s="11">
        <v>9.6274020163655685</v>
      </c>
      <c r="K113" s="11">
        <v>6.8237297602703118</v>
      </c>
      <c r="L113" s="11">
        <v>-2.8036722560952576</v>
      </c>
      <c r="M113" s="11">
        <v>2.4212545770154312</v>
      </c>
      <c r="N113" s="11">
        <v>-0.38241767907982638</v>
      </c>
      <c r="P113" s="11"/>
      <c r="Q113" s="11"/>
      <c r="R113" s="11"/>
      <c r="S113" s="11"/>
      <c r="T113" s="11"/>
      <c r="U113" s="11"/>
    </row>
    <row r="114" spans="1:21" x14ac:dyDescent="0.2">
      <c r="A114" t="str">
        <f t="shared" si="68"/>
        <v>71 Sales occupations</v>
      </c>
      <c r="B114" s="11">
        <v>19.396145375662364</v>
      </c>
      <c r="C114" s="11">
        <v>29.098891529467522</v>
      </c>
      <c r="D114" s="11">
        <f t="shared" si="69"/>
        <v>9.7027461538051583</v>
      </c>
      <c r="E114" s="11">
        <v>13.155825837048765</v>
      </c>
      <c r="F114" s="11">
        <f t="shared" si="70"/>
        <v>22.858571990853925</v>
      </c>
      <c r="G114" s="200">
        <f t="shared" si="71"/>
        <v>3.5120216796698633E-2</v>
      </c>
      <c r="I114" s="11" t="str">
        <f t="shared" si="79"/>
        <v>Process, plant and machine operatives</v>
      </c>
      <c r="J114" s="11">
        <v>16.557338540537465</v>
      </c>
      <c r="K114" s="11">
        <v>7.1457774734427435</v>
      </c>
      <c r="L114" s="11">
        <v>-9.4115610670947216</v>
      </c>
      <c r="M114" s="11">
        <v>4.2416226043990406</v>
      </c>
      <c r="N114" s="11">
        <v>-5.169938462695681</v>
      </c>
      <c r="P114" s="11"/>
      <c r="Q114" s="11"/>
      <c r="R114" s="11"/>
      <c r="S114" s="11"/>
      <c r="T114" s="11"/>
      <c r="U114" s="11"/>
    </row>
    <row r="115" spans="1:21" x14ac:dyDescent="0.2">
      <c r="A115" t="str">
        <f t="shared" si="68"/>
        <v>72 Customer service occupations</v>
      </c>
      <c r="B115" s="11">
        <v>6.0756074672339908</v>
      </c>
      <c r="C115" s="11">
        <v>12.115875360879485</v>
      </c>
      <c r="D115" s="11">
        <f t="shared" si="69"/>
        <v>6.0402678936454945</v>
      </c>
      <c r="E115" s="11">
        <v>5.0908552623917398</v>
      </c>
      <c r="F115" s="11">
        <f t="shared" si="70"/>
        <v>11.131123156037233</v>
      </c>
      <c r="G115" s="200">
        <f t="shared" si="71"/>
        <v>4.1409961520722627E-2</v>
      </c>
      <c r="I115" s="11" t="str">
        <f t="shared" si="79"/>
        <v>Elementary occupations</v>
      </c>
      <c r="J115" s="11">
        <v>21.173784132636797</v>
      </c>
      <c r="K115" s="11">
        <v>10.917196105435021</v>
      </c>
      <c r="L115" s="11">
        <v>-10.256588027201778</v>
      </c>
      <c r="M115" s="11">
        <v>4.4480836662244538</v>
      </c>
      <c r="N115" s="11">
        <v>-5.8085043609773237</v>
      </c>
      <c r="P115" s="11"/>
      <c r="Q115" s="11"/>
      <c r="R115" s="11"/>
      <c r="S115" s="11"/>
      <c r="T115" s="11"/>
      <c r="U115" s="11"/>
    </row>
    <row r="116" spans="1:21" x14ac:dyDescent="0.2">
      <c r="A116" t="str">
        <f t="shared" si="68"/>
        <v>81 Process, plant and machine operatives</v>
      </c>
      <c r="B116" s="11">
        <v>2.9909682054105065</v>
      </c>
      <c r="C116" s="11">
        <v>8.759943404867224</v>
      </c>
      <c r="D116" s="11">
        <f t="shared" ref="D116:D117" si="82">C116-B116</f>
        <v>5.7689751994567171</v>
      </c>
      <c r="E116" s="11">
        <v>3.1001455934285409</v>
      </c>
      <c r="F116" s="11">
        <f t="shared" ref="F116:F117" si="83">SUM(D116:E116)</f>
        <v>8.8691207928852585</v>
      </c>
      <c r="G116" s="200">
        <f t="shared" si="71"/>
        <v>4.8557685505623116E-2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11"/>
      <c r="T116" s="11"/>
      <c r="U116" s="11"/>
    </row>
    <row r="117" spans="1:21" x14ac:dyDescent="0.2">
      <c r="A117" t="str">
        <f t="shared" si="68"/>
        <v>82 Transport and mobile machine drivers and operatives</v>
      </c>
      <c r="B117" s="11">
        <v>4.8901124652382819</v>
      </c>
      <c r="C117" s="11">
        <v>7.4260474370696832</v>
      </c>
      <c r="D117" s="11">
        <f t="shared" si="82"/>
        <v>2.5359349718314013</v>
      </c>
      <c r="E117" s="11">
        <v>4.0607687207227396</v>
      </c>
      <c r="F117" s="11">
        <f t="shared" si="83"/>
        <v>6.5967036925541409</v>
      </c>
      <c r="G117" s="200">
        <f t="shared" si="71"/>
        <v>4.1125610281496749E-2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11"/>
      <c r="T117" s="11"/>
      <c r="U117" s="11"/>
    </row>
    <row r="118" spans="1:21" x14ac:dyDescent="0.2">
      <c r="A118" t="str">
        <f t="shared" si="68"/>
        <v>91 Elementary trades and related occupations</v>
      </c>
      <c r="B118" s="11">
        <v>2.091169290854936</v>
      </c>
      <c r="C118" s="11">
        <v>2.5259329402401423</v>
      </c>
      <c r="D118" s="11">
        <f t="shared" si="69"/>
        <v>0.43476364938520629</v>
      </c>
      <c r="E118" s="11">
        <v>1.3475190412499458</v>
      </c>
      <c r="F118" s="11">
        <f t="shared" si="70"/>
        <v>1.7822826906351521</v>
      </c>
      <c r="G118" s="200">
        <f t="shared" si="71"/>
        <v>3.3713627159863258E-2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11"/>
      <c r="T118" s="11"/>
      <c r="U118" s="11"/>
    </row>
    <row r="119" spans="1:21" x14ac:dyDescent="0.2">
      <c r="A119" t="str">
        <f t="shared" si="68"/>
        <v>92 Elementary administration and service occupations</v>
      </c>
      <c r="B119" s="11">
        <v>15.060198091183464</v>
      </c>
      <c r="C119" s="11">
        <v>24.676120512735</v>
      </c>
      <c r="D119" s="11">
        <f t="shared" ref="D119" si="84">C119-B119</f>
        <v>9.6159224215515362</v>
      </c>
      <c r="E119" s="11">
        <v>12.314009782735811</v>
      </c>
      <c r="F119" s="11">
        <f t="shared" ref="F119" si="85">SUM(D119:E119)</f>
        <v>21.929932204287347</v>
      </c>
      <c r="G119" s="200">
        <f t="shared" ref="G119" si="86">IF(B119&gt;0,(1+(E119/B119))^(1/($C$6-$B$6))-1,0)</f>
        <v>4.0640502864925709E-2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11"/>
      <c r="T119" s="11"/>
      <c r="U119" s="11"/>
    </row>
    <row r="120" spans="1:21" x14ac:dyDescent="0.2">
      <c r="A120" t="str">
        <f t="shared" si="68"/>
        <v>All occupations</v>
      </c>
      <c r="B120" s="11">
        <f>SUM(B94:B119)</f>
        <v>457.17129301962871</v>
      </c>
      <c r="C120" s="11">
        <f t="shared" ref="C120:F120" si="87">SUM(C94:C119)</f>
        <v>607.10599253045666</v>
      </c>
      <c r="D120" s="11">
        <f t="shared" si="87"/>
        <v>149.93469951082787</v>
      </c>
      <c r="E120" s="11">
        <f t="shared" si="87"/>
        <v>293.04021579843993</v>
      </c>
      <c r="F120" s="11">
        <f t="shared" si="87"/>
        <v>442.97491530926777</v>
      </c>
      <c r="G120" s="200">
        <f t="shared" si="71"/>
        <v>3.3571006311388762E-2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11"/>
      <c r="T120" s="11"/>
      <c r="U120" s="1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11"/>
      <c r="T121" s="11"/>
      <c r="U121" s="11"/>
    </row>
    <row r="122" spans="1:21" ht="38.25" x14ac:dyDescent="0.2">
      <c r="A122" s="201" t="str">
        <f>CONCATENATE(name!F7," (Constrained)")</f>
        <v>RQF5 Foundation degree;Nursing;Teaching (Constrained)</v>
      </c>
      <c r="B122" s="74">
        <f t="shared" ref="B122:G122" si="88">B35</f>
        <v>2020</v>
      </c>
      <c r="C122" s="74">
        <f t="shared" si="88"/>
        <v>2035</v>
      </c>
      <c r="D122" s="87" t="str">
        <f t="shared" si="88"/>
        <v>Net Change</v>
      </c>
      <c r="E122" s="87" t="str">
        <f t="shared" si="88"/>
        <v>Replacement Demand level</v>
      </c>
      <c r="F122" s="87" t="str">
        <f t="shared" si="88"/>
        <v>Total Requirement</v>
      </c>
      <c r="G122" s="87" t="str">
        <f t="shared" si="88"/>
        <v>Replacement Demand rate</v>
      </c>
      <c r="I122" s="84"/>
      <c r="J122" s="73"/>
      <c r="K122" s="73"/>
      <c r="L122" s="71"/>
      <c r="M122" s="71"/>
      <c r="N122" s="71"/>
      <c r="P122" s="11"/>
      <c r="Q122" s="11"/>
      <c r="R122" s="11"/>
      <c r="S122" s="11"/>
      <c r="T122" s="11"/>
      <c r="U122" s="11"/>
    </row>
    <row r="123" spans="1:21" x14ac:dyDescent="0.2">
      <c r="A123" t="str">
        <f t="shared" ref="A123:A149" si="89">A36</f>
        <v>11 Corporate managers and directors</v>
      </c>
      <c r="B123" s="11">
        <v>9.0918310296515905</v>
      </c>
      <c r="C123" s="11">
        <v>9.6495147332703812</v>
      </c>
      <c r="D123" s="11">
        <f>C123-B123</f>
        <v>0.55768370361879072</v>
      </c>
      <c r="E123" s="11">
        <v>4.7877064221822341</v>
      </c>
      <c r="F123" s="11">
        <f>SUM(D123:E123)</f>
        <v>5.3453901258010248</v>
      </c>
      <c r="G123" s="200">
        <f>IF(B123&gt;0,(1+(E123/B123))^(1/($C$6-$B$6))-1,0)</f>
        <v>2.8604079644012126E-2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11"/>
      <c r="T123" s="11"/>
      <c r="U123" s="11"/>
    </row>
    <row r="124" spans="1:21" x14ac:dyDescent="0.2">
      <c r="A124" t="str">
        <f t="shared" si="89"/>
        <v>12 Other managers and proprietors</v>
      </c>
      <c r="B124" s="11">
        <v>4.7944726211474666</v>
      </c>
      <c r="C124" s="11">
        <v>7.3079064270946228</v>
      </c>
      <c r="D124" s="11">
        <f t="shared" ref="D124:D139" si="90">C124-B124</f>
        <v>2.5134338059471562</v>
      </c>
      <c r="E124" s="11">
        <v>3.8327974921929755</v>
      </c>
      <c r="F124" s="11">
        <f t="shared" ref="F124:F131" si="91">SUM(D124:E124)</f>
        <v>6.3462312981401316</v>
      </c>
      <c r="G124" s="200">
        <f t="shared" ref="G124:G149" si="92">IF(B124&gt;0,(1+(E124/B124))^(1/($C$6-$B$6))-1,0)</f>
        <v>3.9941325923541049E-2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11"/>
      <c r="T124" s="11"/>
      <c r="U124" s="11"/>
    </row>
    <row r="125" spans="1:21" x14ac:dyDescent="0.2">
      <c r="A125" t="str">
        <f t="shared" si="89"/>
        <v>21 Science, research, engineering and technology professionals</v>
      </c>
      <c r="B125" s="11">
        <v>4.9400125631399039</v>
      </c>
      <c r="C125" s="11">
        <v>6.0660090811693923</v>
      </c>
      <c r="D125" s="11">
        <f t="shared" si="90"/>
        <v>1.1259965180294884</v>
      </c>
      <c r="E125" s="11">
        <v>2.1169928366408688</v>
      </c>
      <c r="F125" s="11">
        <f t="shared" si="91"/>
        <v>3.2429893546703572</v>
      </c>
      <c r="G125" s="200">
        <f t="shared" si="92"/>
        <v>2.4061784807133835E-2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11"/>
      <c r="T125" s="11"/>
      <c r="U125" s="11"/>
    </row>
    <row r="126" spans="1:21" x14ac:dyDescent="0.2">
      <c r="A126" t="str">
        <f t="shared" si="89"/>
        <v>22 Health professionals</v>
      </c>
      <c r="B126" s="11">
        <v>11.79990383512887</v>
      </c>
      <c r="C126" s="11">
        <v>3.1030831984611837</v>
      </c>
      <c r="D126" s="11">
        <f t="shared" si="90"/>
        <v>-8.6968206366676863</v>
      </c>
      <c r="E126" s="11">
        <v>2.5220620198688422</v>
      </c>
      <c r="F126" s="11">
        <f t="shared" si="91"/>
        <v>-6.1747586167988437</v>
      </c>
      <c r="G126" s="200">
        <f t="shared" si="92"/>
        <v>1.2997276493467824E-2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11"/>
      <c r="T126" s="11"/>
      <c r="U126" s="11"/>
    </row>
    <row r="127" spans="1:21" x14ac:dyDescent="0.2">
      <c r="A127" t="str">
        <f t="shared" si="89"/>
        <v>23 Teaching and other educational professionals</v>
      </c>
      <c r="B127" s="11">
        <v>2.145909725897222</v>
      </c>
      <c r="C127" s="11">
        <v>1.3122308068096082</v>
      </c>
      <c r="D127" s="11">
        <f t="shared" si="90"/>
        <v>-0.83367891908761371</v>
      </c>
      <c r="E127" s="11">
        <v>0.40525237308412693</v>
      </c>
      <c r="F127" s="11">
        <f t="shared" si="91"/>
        <v>-0.42842654600348679</v>
      </c>
      <c r="G127" s="200">
        <f>IF(B127&gt;0,(1+(E127/B127))^(1/($C$6-$B$6))-1,0)</f>
        <v>1.1599114252777376E-2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11"/>
      <c r="T127" s="11"/>
      <c r="U127" s="11"/>
    </row>
    <row r="128" spans="1:21" x14ac:dyDescent="0.2">
      <c r="A128" t="str">
        <f t="shared" si="89"/>
        <v>24 Business, media and public service professionals</v>
      </c>
      <c r="B128" s="11">
        <v>5.2002788619239029</v>
      </c>
      <c r="C128" s="11">
        <v>5.9148663782999611</v>
      </c>
      <c r="D128" s="11">
        <f t="shared" si="90"/>
        <v>0.71458751637605822</v>
      </c>
      <c r="E128" s="11">
        <v>2.1480324412966429</v>
      </c>
      <c r="F128" s="11">
        <f t="shared" si="91"/>
        <v>2.8626199576727012</v>
      </c>
      <c r="G128" s="200">
        <f t="shared" si="92"/>
        <v>2.3318269073993481E-2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11"/>
      <c r="T128" s="11"/>
      <c r="U128" s="11"/>
    </row>
    <row r="129" spans="1:21" x14ac:dyDescent="0.2">
      <c r="A129" t="str">
        <f t="shared" si="89"/>
        <v>31 Science, engineering and technology associate professionals</v>
      </c>
      <c r="B129" s="11">
        <v>2.0445996646338163</v>
      </c>
      <c r="C129" s="11">
        <v>2.7958367945441331</v>
      </c>
      <c r="D129" s="11">
        <f t="shared" si="90"/>
        <v>0.75123712991031688</v>
      </c>
      <c r="E129" s="11">
        <v>1.06963955929814</v>
      </c>
      <c r="F129" s="11">
        <f t="shared" si="91"/>
        <v>1.8208766892084569</v>
      </c>
      <c r="G129" s="200">
        <f t="shared" si="92"/>
        <v>2.8449360207425833E-2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11"/>
      <c r="T129" s="11"/>
      <c r="U129" s="11"/>
    </row>
    <row r="130" spans="1:21" x14ac:dyDescent="0.2">
      <c r="A130" t="str">
        <f t="shared" si="89"/>
        <v>32 Health and social care associate professionals</v>
      </c>
      <c r="B130" s="11">
        <v>6.1808571974984314</v>
      </c>
      <c r="C130" s="11">
        <v>2.8878198343220891</v>
      </c>
      <c r="D130" s="11">
        <f t="shared" si="90"/>
        <v>-3.2930373631763423</v>
      </c>
      <c r="E130" s="11">
        <v>1.8902266243098997</v>
      </c>
      <c r="F130" s="11">
        <f t="shared" si="91"/>
        <v>-1.4028107388664426</v>
      </c>
      <c r="G130" s="200">
        <f t="shared" si="92"/>
        <v>1.7947882243180002E-2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11"/>
      <c r="T130" s="11"/>
      <c r="U130" s="11"/>
    </row>
    <row r="131" spans="1:21" x14ac:dyDescent="0.2">
      <c r="A131" t="str">
        <f t="shared" si="89"/>
        <v>33 Protective service occupations</v>
      </c>
      <c r="B131" s="11">
        <v>1.7511234992303564</v>
      </c>
      <c r="C131" s="11">
        <v>3.1028350899794144</v>
      </c>
      <c r="D131" s="11">
        <f t="shared" si="90"/>
        <v>1.351711590749058</v>
      </c>
      <c r="E131" s="11">
        <v>0.88919541139064029</v>
      </c>
      <c r="F131" s="11">
        <f t="shared" si="91"/>
        <v>2.2409070021396982</v>
      </c>
      <c r="G131" s="200">
        <f t="shared" si="92"/>
        <v>2.7754311481984262E-2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11"/>
      <c r="T131" s="11"/>
      <c r="U131" s="11"/>
    </row>
    <row r="132" spans="1:21" x14ac:dyDescent="0.2">
      <c r="A132" t="str">
        <f t="shared" si="89"/>
        <v>34 Culture, media and sports occupations</v>
      </c>
      <c r="B132" s="11">
        <v>1.6612916854827138</v>
      </c>
      <c r="C132" s="11">
        <v>1.9834298284442409</v>
      </c>
      <c r="D132" s="11">
        <f t="shared" si="90"/>
        <v>0.3221381429615271</v>
      </c>
      <c r="E132" s="11">
        <v>0.81154057394133727</v>
      </c>
      <c r="F132" s="11">
        <f t="shared" ref="F132:F133" si="93">SUM(D132:E132)</f>
        <v>1.1336787169028644</v>
      </c>
      <c r="G132" s="200">
        <f t="shared" si="92"/>
        <v>2.687264412860646E-2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11"/>
      <c r="T132" s="11"/>
      <c r="U132" s="11"/>
    </row>
    <row r="133" spans="1:21" x14ac:dyDescent="0.2">
      <c r="A133" t="str">
        <f t="shared" si="89"/>
        <v>35 Business and public service associate professionals</v>
      </c>
      <c r="B133" s="11">
        <v>10.190676471094534</v>
      </c>
      <c r="C133" s="11">
        <v>12.328328836709666</v>
      </c>
      <c r="D133" s="11">
        <f t="shared" si="90"/>
        <v>2.1376523656151321</v>
      </c>
      <c r="E133" s="11">
        <v>5.3970143650035975</v>
      </c>
      <c r="F133" s="11">
        <f t="shared" si="93"/>
        <v>7.5346667306187296</v>
      </c>
      <c r="G133" s="200">
        <f t="shared" si="92"/>
        <v>2.8739110936156775E-2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11"/>
      <c r="T133" s="11"/>
      <c r="U133" s="11"/>
    </row>
    <row r="134" spans="1:21" x14ac:dyDescent="0.2">
      <c r="A134" t="str">
        <f t="shared" si="89"/>
        <v>41 Administrative occupations</v>
      </c>
      <c r="B134" s="11">
        <v>14.847597342781587</v>
      </c>
      <c r="C134" s="11">
        <v>18.485962102992243</v>
      </c>
      <c r="D134" s="11">
        <f t="shared" si="90"/>
        <v>3.6383647602106564</v>
      </c>
      <c r="E134" s="11">
        <v>9.9646528995205408</v>
      </c>
      <c r="F134" s="11">
        <f t="shared" ref="F134:F137" si="94">SUM(D134:E134)</f>
        <v>13.603017659731197</v>
      </c>
      <c r="G134" s="200">
        <f t="shared" si="92"/>
        <v>3.4825999027416676E-2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11"/>
      <c r="T134" s="11"/>
      <c r="U134" s="11"/>
    </row>
    <row r="135" spans="1:21" x14ac:dyDescent="0.2">
      <c r="A135" t="str">
        <f t="shared" si="89"/>
        <v>42 Secretarial and related occupations</v>
      </c>
      <c r="B135" s="11">
        <v>3.068153399100443</v>
      </c>
      <c r="C135" s="11">
        <v>4.8630839667591905</v>
      </c>
      <c r="D135" s="11">
        <f t="shared" si="90"/>
        <v>1.7949305676587475</v>
      </c>
      <c r="E135" s="11">
        <v>2.578653770409435</v>
      </c>
      <c r="F135" s="11">
        <f t="shared" si="94"/>
        <v>4.3735843380681825</v>
      </c>
      <c r="G135" s="200">
        <f t="shared" si="92"/>
        <v>4.1505879279983615E-2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89"/>
        <v>51 Skilled agricultural and related trades</v>
      </c>
      <c r="B136" s="11">
        <v>1.864176242451413</v>
      </c>
      <c r="C136" s="11">
        <v>2.5050495273175226</v>
      </c>
      <c r="D136" s="11">
        <f t="shared" si="90"/>
        <v>0.64087328486610962</v>
      </c>
      <c r="E136" s="11">
        <v>1.5416029383518703</v>
      </c>
      <c r="F136" s="11">
        <f t="shared" si="94"/>
        <v>2.18247622321798</v>
      </c>
      <c r="G136" s="200">
        <f t="shared" si="92"/>
        <v>4.0994978281464034E-2</v>
      </c>
      <c r="I136" s="11"/>
      <c r="J136" s="11"/>
      <c r="K136" s="11"/>
      <c r="L136" s="11"/>
      <c r="M136" s="11"/>
      <c r="N136" s="11"/>
      <c r="O136" s="70"/>
    </row>
    <row r="137" spans="1:21" x14ac:dyDescent="0.2">
      <c r="A137" t="str">
        <f t="shared" si="89"/>
        <v>52 Skilled metal, electrical and electronic trades</v>
      </c>
      <c r="B137" s="11">
        <v>1.7380424895597471</v>
      </c>
      <c r="C137" s="11">
        <v>2.239444007527009</v>
      </c>
      <c r="D137" s="11">
        <f t="shared" si="90"/>
        <v>0.50140151796726196</v>
      </c>
      <c r="E137" s="11">
        <v>0.87209812198723091</v>
      </c>
      <c r="F137" s="11">
        <f t="shared" si="94"/>
        <v>1.3734996399544928</v>
      </c>
      <c r="G137" s="200">
        <f t="shared" si="92"/>
        <v>2.7480450921895105E-2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89"/>
        <v>53 Skilled construction and building trades</v>
      </c>
      <c r="B138" s="11">
        <v>1.1857954687470371</v>
      </c>
      <c r="C138" s="11">
        <v>1.679809771862079</v>
      </c>
      <c r="D138" s="11">
        <f t="shared" si="90"/>
        <v>0.49401430311504191</v>
      </c>
      <c r="E138" s="11">
        <v>0.76276257168839656</v>
      </c>
      <c r="F138" s="11">
        <f t="shared" ref="F138" si="95">SUM(D138:E138)</f>
        <v>1.2567768748034385</v>
      </c>
      <c r="G138" s="200">
        <f t="shared" si="92"/>
        <v>3.3666014066085603E-2</v>
      </c>
      <c r="I138" s="11"/>
      <c r="J138" s="11"/>
      <c r="K138" s="11"/>
      <c r="L138" s="11"/>
      <c r="M138" s="11"/>
      <c r="N138" s="11"/>
      <c r="P138" s="84"/>
      <c r="Q138" s="73"/>
      <c r="R138" s="73"/>
      <c r="S138" s="71"/>
      <c r="T138" s="71"/>
      <c r="U138" s="71"/>
    </row>
    <row r="139" spans="1:21" x14ac:dyDescent="0.2">
      <c r="A139" t="str">
        <f t="shared" si="89"/>
        <v>54 Textiles, printing and other skilled trades</v>
      </c>
      <c r="B139" s="11">
        <v>1.3739343039167007</v>
      </c>
      <c r="C139" s="11">
        <v>1.8189687018938694</v>
      </c>
      <c r="D139" s="11">
        <f t="shared" si="90"/>
        <v>0.44503439797716871</v>
      </c>
      <c r="E139" s="11">
        <v>0.85944206778901588</v>
      </c>
      <c r="F139" s="11">
        <f t="shared" ref="F139" si="96">SUM(D139:E139)</f>
        <v>1.3044764657661845</v>
      </c>
      <c r="G139" s="200">
        <f t="shared" si="92"/>
        <v>3.2919310527343981E-2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11"/>
      <c r="T139" s="11"/>
      <c r="U139" s="11"/>
    </row>
    <row r="140" spans="1:21" x14ac:dyDescent="0.2">
      <c r="A140" t="str">
        <f t="shared" si="89"/>
        <v>61 Caring personal service occupations</v>
      </c>
      <c r="B140" s="11">
        <v>18.713169497631657</v>
      </c>
      <c r="C140" s="11">
        <v>23.236138481977466</v>
      </c>
      <c r="D140" s="11">
        <f>C140-B140</f>
        <v>4.522968984345809</v>
      </c>
      <c r="E140" s="11">
        <v>12.679127029379359</v>
      </c>
      <c r="F140" s="11">
        <f>SUM(D140:E140)</f>
        <v>17.202096013725168</v>
      </c>
      <c r="G140" s="200">
        <f t="shared" si="92"/>
        <v>3.5090642459824295E-2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11"/>
      <c r="T140" s="11"/>
      <c r="U140" s="11"/>
    </row>
    <row r="141" spans="1:21" x14ac:dyDescent="0.2">
      <c r="A141" t="str">
        <f t="shared" si="89"/>
        <v>62 Leisure, travel and related personal service occupations</v>
      </c>
      <c r="B141" s="11">
        <v>3.7504479538379263</v>
      </c>
      <c r="C141" s="11">
        <v>6.1573802843657033</v>
      </c>
      <c r="D141" s="11">
        <f t="shared" ref="D141:D147" si="97">C141-B141</f>
        <v>2.406932330527777</v>
      </c>
      <c r="E141" s="11">
        <v>2.9933950851351128</v>
      </c>
      <c r="F141" s="11">
        <f t="shared" ref="F141:F142" si="98">SUM(D141:E141)</f>
        <v>5.4003274156628898</v>
      </c>
      <c r="G141" s="200">
        <f t="shared" si="92"/>
        <v>3.9892120276988852E-2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11"/>
      <c r="T141" s="11"/>
      <c r="U141" s="11"/>
    </row>
    <row r="142" spans="1:21" x14ac:dyDescent="0.2">
      <c r="A142" t="str">
        <f t="shared" si="89"/>
        <v>63 Community and civil enforcement occupations</v>
      </c>
      <c r="B142" s="11">
        <v>0.11956484890224195</v>
      </c>
      <c r="C142" s="11">
        <v>0.14843943617905217</v>
      </c>
      <c r="D142" s="11">
        <f t="shared" si="97"/>
        <v>2.8874587276810221E-2</v>
      </c>
      <c r="E142" s="11">
        <v>6.6905474699901574E-2</v>
      </c>
      <c r="F142" s="11">
        <f t="shared" si="98"/>
        <v>9.5780061976711794E-2</v>
      </c>
      <c r="G142" s="200">
        <f t="shared" si="92"/>
        <v>3.0070809935262455E-2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11"/>
      <c r="T142" s="11"/>
      <c r="U142" s="11"/>
    </row>
    <row r="143" spans="1:21" x14ac:dyDescent="0.2">
      <c r="A143" t="str">
        <f t="shared" si="89"/>
        <v>71 Sales occupations</v>
      </c>
      <c r="B143" s="11">
        <v>6.8027622999505928</v>
      </c>
      <c r="C143" s="11">
        <v>9.8257488228373919</v>
      </c>
      <c r="D143" s="11">
        <f t="shared" si="97"/>
        <v>3.0229865228867991</v>
      </c>
      <c r="E143" s="11">
        <v>4.6481392258234289</v>
      </c>
      <c r="F143" s="11">
        <f t="shared" ref="F143:F144" si="99">SUM(D143:E143)</f>
        <v>7.671125748710228</v>
      </c>
      <c r="G143" s="200">
        <f t="shared" si="92"/>
        <v>3.532561471899176E-2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11"/>
      <c r="T143" s="11"/>
      <c r="U143" s="11"/>
    </row>
    <row r="144" spans="1:21" x14ac:dyDescent="0.2">
      <c r="A144" t="str">
        <f t="shared" si="89"/>
        <v>72 Customer service occupations</v>
      </c>
      <c r="B144" s="11">
        <v>2.1818636362212995</v>
      </c>
      <c r="C144" s="11">
        <v>4.4987316989757824</v>
      </c>
      <c r="D144" s="11">
        <f t="shared" si="97"/>
        <v>2.3168680627544829</v>
      </c>
      <c r="E144" s="11">
        <v>1.9131079453508439</v>
      </c>
      <c r="F144" s="11">
        <f t="shared" si="99"/>
        <v>4.2299760081053268</v>
      </c>
      <c r="G144" s="200">
        <f t="shared" si="92"/>
        <v>4.2865305012673049E-2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11"/>
      <c r="T144" s="11"/>
      <c r="U144" s="11"/>
    </row>
    <row r="145" spans="1:21" x14ac:dyDescent="0.2">
      <c r="A145" t="str">
        <f t="shared" si="89"/>
        <v>81 Process, plant and machine operatives</v>
      </c>
      <c r="B145" s="11">
        <v>1.4024058135445052</v>
      </c>
      <c r="C145" s="11">
        <v>2.922184396449329</v>
      </c>
      <c r="D145" s="11">
        <f t="shared" si="97"/>
        <v>1.5197785829048238</v>
      </c>
      <c r="E145" s="11">
        <v>1.1017070964979154</v>
      </c>
      <c r="F145" s="11">
        <f t="shared" ref="F145:F146" si="100">SUM(D145:E145)</f>
        <v>2.6214856794027392</v>
      </c>
      <c r="G145" s="200">
        <f t="shared" si="92"/>
        <v>3.9406305031061351E-2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11"/>
      <c r="T145" s="11"/>
      <c r="U145" s="11"/>
    </row>
    <row r="146" spans="1:21" x14ac:dyDescent="0.2">
      <c r="A146" t="str">
        <f t="shared" si="89"/>
        <v>82 Transport and mobile machine drivers and operatives</v>
      </c>
      <c r="B146" s="11">
        <v>2.5178314851103836</v>
      </c>
      <c r="C146" s="11">
        <v>3.896958727314213</v>
      </c>
      <c r="D146" s="11">
        <f t="shared" si="97"/>
        <v>1.3791272422038294</v>
      </c>
      <c r="E146" s="11">
        <v>2.0502742471421422</v>
      </c>
      <c r="F146" s="11">
        <f t="shared" si="100"/>
        <v>3.4294014893459717</v>
      </c>
      <c r="G146" s="200">
        <f t="shared" si="92"/>
        <v>4.0512493450220566E-2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11"/>
      <c r="T146" s="11"/>
      <c r="U146" s="11"/>
    </row>
    <row r="147" spans="1:21" x14ac:dyDescent="0.2">
      <c r="A147" t="str">
        <f t="shared" si="89"/>
        <v>91 Elementary trades and related occupations</v>
      </c>
      <c r="B147" s="11">
        <v>1.5244610398831835</v>
      </c>
      <c r="C147" s="11">
        <v>1.8470074980260132</v>
      </c>
      <c r="D147" s="11">
        <f t="shared" si="97"/>
        <v>0.32254645814282967</v>
      </c>
      <c r="E147" s="11">
        <v>0.97195202219297938</v>
      </c>
      <c r="F147" s="11">
        <f t="shared" ref="F147" si="101">SUM(D147:E147)</f>
        <v>1.2944984803358091</v>
      </c>
      <c r="G147" s="200">
        <f t="shared" si="92"/>
        <v>3.3427484826346499E-2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11"/>
      <c r="T147" s="11"/>
      <c r="U147" s="11"/>
    </row>
    <row r="148" spans="1:21" x14ac:dyDescent="0.2">
      <c r="A148" t="str">
        <f t="shared" si="89"/>
        <v>92 Elementary administration and service occupations</v>
      </c>
      <c r="B148" s="11">
        <v>7.2285210446503578</v>
      </c>
      <c r="C148" s="11">
        <v>11.944403872405374</v>
      </c>
      <c r="D148" s="11">
        <f t="shared" ref="D148" si="102">C148-B148</f>
        <v>4.7158828277550162</v>
      </c>
      <c r="E148" s="11">
        <v>5.6167452226208425</v>
      </c>
      <c r="F148" s="11">
        <f t="shared" ref="F148" si="103">SUM(D148:E148)</f>
        <v>10.33262805037586</v>
      </c>
      <c r="G148" s="200">
        <f t="shared" ref="G148" si="104">IF(B148&gt;0,(1+(E148/B148))^(1/($C$6-$B$6))-1,0)</f>
        <v>3.9073440551914418E-2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11"/>
      <c r="T148" s="11"/>
      <c r="U148" s="11"/>
    </row>
    <row r="149" spans="1:21" x14ac:dyDescent="0.2">
      <c r="A149" t="str">
        <f t="shared" si="89"/>
        <v>All occupations</v>
      </c>
      <c r="B149" s="11">
        <f>SUM(B123:B148)</f>
        <v>128.11968402111785</v>
      </c>
      <c r="C149" s="11">
        <f t="shared" ref="C149:F149" si="105">SUM(C123:C148)</f>
        <v>152.52117230598691</v>
      </c>
      <c r="D149" s="11">
        <f t="shared" si="105"/>
        <v>24.40148828486905</v>
      </c>
      <c r="E149" s="11">
        <f t="shared" si="105"/>
        <v>74.491025837798304</v>
      </c>
      <c r="F149" s="11">
        <f t="shared" si="105"/>
        <v>98.892514122667365</v>
      </c>
      <c r="G149" s="200">
        <f t="shared" si="92"/>
        <v>3.10263608430974E-2</v>
      </c>
      <c r="P149" s="11"/>
      <c r="Q149" s="11"/>
      <c r="R149" s="11"/>
      <c r="S149" s="11"/>
      <c r="T149" s="11"/>
      <c r="U149" s="1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11"/>
      <c r="T150" s="11"/>
      <c r="U150" s="11"/>
    </row>
    <row r="151" spans="1:21" ht="38.25" x14ac:dyDescent="0.2">
      <c r="A151" s="201" t="str">
        <f>CONCATENATE(name!F8," (Constrained)")</f>
        <v>RQF4 HE below degree level (Constrained)</v>
      </c>
      <c r="B151" s="74">
        <f t="shared" ref="B151:G151" si="106">B64</f>
        <v>2020</v>
      </c>
      <c r="C151" s="74">
        <f t="shared" si="106"/>
        <v>2035</v>
      </c>
      <c r="D151" s="87" t="str">
        <f t="shared" si="106"/>
        <v>Net Change</v>
      </c>
      <c r="E151" s="87" t="str">
        <f t="shared" si="106"/>
        <v>Replacement Demand level</v>
      </c>
      <c r="F151" s="87" t="str">
        <f t="shared" si="106"/>
        <v>Total Requirement</v>
      </c>
      <c r="G151" s="87" t="str">
        <f t="shared" si="106"/>
        <v>Replacement Demand rate</v>
      </c>
      <c r="P151" s="11"/>
      <c r="Q151" s="11"/>
      <c r="R151" s="11"/>
      <c r="S151" s="11"/>
      <c r="T151" s="11"/>
      <c r="U151" s="11"/>
    </row>
    <row r="152" spans="1:21" x14ac:dyDescent="0.2">
      <c r="A152" t="str">
        <f t="shared" ref="A152:A178" si="107">A65</f>
        <v>11 Corporate managers and directors</v>
      </c>
      <c r="B152" s="11">
        <v>14.537905124916351</v>
      </c>
      <c r="C152" s="11">
        <v>15.257445634560288</v>
      </c>
      <c r="D152" s="11">
        <f>C152-B152</f>
        <v>0.71954050964393623</v>
      </c>
      <c r="E152" s="11">
        <v>7.4112111440685444</v>
      </c>
      <c r="F152" s="11">
        <f>SUM(D152:E152)</f>
        <v>8.1307516537124798</v>
      </c>
      <c r="G152" s="200">
        <f>IF(B152&gt;0,(1+(E152/B152))^(1/($C$6-$B$6))-1,0)</f>
        <v>2.7845125449300845E-2</v>
      </c>
      <c r="I152" s="84"/>
      <c r="J152" s="73"/>
      <c r="K152" s="73"/>
      <c r="L152" s="71"/>
      <c r="M152" s="71"/>
      <c r="N152" s="71"/>
      <c r="P152" s="11"/>
      <c r="Q152" s="11"/>
      <c r="R152" s="11"/>
      <c r="S152" s="11"/>
      <c r="T152" s="11"/>
      <c r="U152" s="11"/>
    </row>
    <row r="153" spans="1:21" x14ac:dyDescent="0.2">
      <c r="A153" t="str">
        <f t="shared" si="107"/>
        <v>12 Other managers and proprietors</v>
      </c>
      <c r="B153" s="11">
        <v>5.7558322769661752</v>
      </c>
      <c r="C153" s="11">
        <v>9.0834241111634508</v>
      </c>
      <c r="D153" s="11">
        <f t="shared" ref="D153:D168" si="108">C153-B153</f>
        <v>3.3275918341972757</v>
      </c>
      <c r="E153" s="11">
        <v>4.5109177555066156</v>
      </c>
      <c r="F153" s="11">
        <f t="shared" ref="F153:F160" si="109">SUM(D153:E153)</f>
        <v>7.8385095897038912</v>
      </c>
      <c r="G153" s="200">
        <f t="shared" ref="G153:G155" si="110">IF(B153&gt;0,(1+(E153/B153))^(1/($C$6-$B$6))-1,0)</f>
        <v>3.933365497443897E-2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11"/>
      <c r="T153" s="11"/>
      <c r="U153" s="11"/>
    </row>
    <row r="154" spans="1:21" x14ac:dyDescent="0.2">
      <c r="A154" t="str">
        <f t="shared" si="107"/>
        <v>21 Science, research, engineering and technology professionals</v>
      </c>
      <c r="B154" s="11">
        <v>13.53359571692639</v>
      </c>
      <c r="C154" s="11">
        <v>13.835451120678332</v>
      </c>
      <c r="D154" s="11">
        <f t="shared" si="108"/>
        <v>0.30185540375194186</v>
      </c>
      <c r="E154" s="11">
        <v>4.7411471165692243</v>
      </c>
      <c r="F154" s="11">
        <f t="shared" si="109"/>
        <v>5.0430025203211661</v>
      </c>
      <c r="G154" s="200">
        <f t="shared" si="110"/>
        <v>2.0224789134098975E-2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11"/>
      <c r="T154" s="11"/>
      <c r="U154" s="11"/>
    </row>
    <row r="155" spans="1:21" x14ac:dyDescent="0.2">
      <c r="A155" t="str">
        <f t="shared" si="107"/>
        <v>22 Health professionals</v>
      </c>
      <c r="B155" s="11">
        <v>2.8119107875140541</v>
      </c>
      <c r="C155" s="11">
        <v>3.5115188747540622</v>
      </c>
      <c r="D155" s="11">
        <f t="shared" si="108"/>
        <v>0.69960808724000811</v>
      </c>
      <c r="E155" s="11">
        <v>1.6558773814264223</v>
      </c>
      <c r="F155" s="11">
        <f t="shared" si="109"/>
        <v>2.3554854686664304</v>
      </c>
      <c r="G155" s="200">
        <f t="shared" si="110"/>
        <v>3.1349990829537155E-2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11"/>
      <c r="T155" s="11"/>
      <c r="U155" s="11"/>
    </row>
    <row r="156" spans="1:21" x14ac:dyDescent="0.2">
      <c r="A156" t="str">
        <f t="shared" si="107"/>
        <v>23 Teaching and other educational professionals</v>
      </c>
      <c r="B156" s="11">
        <v>1.1977558467286813</v>
      </c>
      <c r="C156" s="11">
        <v>0.92726064512873496</v>
      </c>
      <c r="D156" s="11">
        <f t="shared" si="108"/>
        <v>-0.27049520159994633</v>
      </c>
      <c r="E156" s="11">
        <v>0.48640453462241512</v>
      </c>
      <c r="F156" s="11">
        <f t="shared" si="109"/>
        <v>0.21590933302246879</v>
      </c>
      <c r="G156" s="200">
        <f>IF(B156&gt;0,(1+(E156/B156))^(1/($C$6-$B$6))-1,0)</f>
        <v>2.2981256552869977E-2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11"/>
      <c r="T156" s="11"/>
      <c r="U156" s="11"/>
    </row>
    <row r="157" spans="1:21" x14ac:dyDescent="0.2">
      <c r="A157" t="str">
        <f t="shared" si="107"/>
        <v>24 Business, media and public service professionals</v>
      </c>
      <c r="B157" s="11">
        <v>9.5746602022642655</v>
      </c>
      <c r="C157" s="11">
        <v>12.39289025924983</v>
      </c>
      <c r="D157" s="11">
        <f t="shared" si="108"/>
        <v>2.8182300569855645</v>
      </c>
      <c r="E157" s="11">
        <v>5.4157548003830787</v>
      </c>
      <c r="F157" s="11">
        <f t="shared" si="109"/>
        <v>8.2339848573686432</v>
      </c>
      <c r="G157" s="200">
        <f t="shared" ref="G157:G178" si="111">IF(B157&gt;0,(1+(E157/B157))^(1/($C$6-$B$6))-1,0)</f>
        <v>3.0337134128764376E-2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11"/>
      <c r="T157" s="11"/>
      <c r="U157" s="11"/>
    </row>
    <row r="158" spans="1:21" x14ac:dyDescent="0.2">
      <c r="A158" t="str">
        <f t="shared" si="107"/>
        <v>31 Science, engineering and technology associate professionals</v>
      </c>
      <c r="B158" s="11">
        <v>5.109131781489693</v>
      </c>
      <c r="C158" s="11">
        <v>4.3118591512379272</v>
      </c>
      <c r="D158" s="11">
        <f t="shared" si="108"/>
        <v>-0.79727263025176587</v>
      </c>
      <c r="E158" s="11">
        <v>1.6240989568353881</v>
      </c>
      <c r="F158" s="11">
        <f t="shared" si="109"/>
        <v>0.82682632658362221</v>
      </c>
      <c r="G158" s="200">
        <f t="shared" si="111"/>
        <v>1.8572061048270694E-2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11"/>
      <c r="T158" s="11"/>
      <c r="U158" s="11"/>
    </row>
    <row r="159" spans="1:21" x14ac:dyDescent="0.2">
      <c r="A159" t="str">
        <f t="shared" si="107"/>
        <v>32 Health and social care associate professionals</v>
      </c>
      <c r="B159" s="11">
        <v>2.1542387510571275</v>
      </c>
      <c r="C159" s="11">
        <v>2.4558874314827088</v>
      </c>
      <c r="D159" s="11">
        <f t="shared" si="108"/>
        <v>0.30164868042558135</v>
      </c>
      <c r="E159" s="11">
        <v>1.3167069761781658</v>
      </c>
      <c r="F159" s="11">
        <f t="shared" si="109"/>
        <v>1.6183556566037471</v>
      </c>
      <c r="G159" s="200">
        <f t="shared" si="111"/>
        <v>3.2310312726891999E-2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11"/>
      <c r="T159" s="11"/>
      <c r="U159" s="11"/>
    </row>
    <row r="160" spans="1:21" x14ac:dyDescent="0.2">
      <c r="A160" t="str">
        <f t="shared" si="107"/>
        <v>33 Protective service occupations</v>
      </c>
      <c r="B160" s="11">
        <v>1.2469610677201208</v>
      </c>
      <c r="C160" s="11">
        <v>1.5988004144600318</v>
      </c>
      <c r="D160" s="11">
        <f t="shared" si="108"/>
        <v>0.35183934673991102</v>
      </c>
      <c r="E160" s="11">
        <v>0.49158259595296366</v>
      </c>
      <c r="F160" s="11">
        <f t="shared" si="109"/>
        <v>0.84342194269287463</v>
      </c>
      <c r="G160" s="200">
        <f t="shared" si="111"/>
        <v>2.2403153958438837E-2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11"/>
      <c r="T160" s="11"/>
      <c r="U160" s="11"/>
    </row>
    <row r="161" spans="1:21" x14ac:dyDescent="0.2">
      <c r="A161" t="str">
        <f t="shared" si="107"/>
        <v>34 Culture, media and sports occupations</v>
      </c>
      <c r="B161" s="11">
        <v>2.0130657084323942</v>
      </c>
      <c r="C161" s="11">
        <v>1.8510440529259129</v>
      </c>
      <c r="D161" s="11">
        <f t="shared" si="108"/>
        <v>-0.16202165550648129</v>
      </c>
      <c r="E161" s="11">
        <v>0.87430789493773253</v>
      </c>
      <c r="F161" s="11">
        <f t="shared" ref="F161:F162" si="112">SUM(D161:E161)</f>
        <v>0.71228623943125124</v>
      </c>
      <c r="G161" s="200">
        <f t="shared" si="111"/>
        <v>2.4337334782799758E-2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11"/>
      <c r="T161" s="11"/>
      <c r="U161" s="11"/>
    </row>
    <row r="162" spans="1:21" x14ac:dyDescent="0.2">
      <c r="A162" t="str">
        <f t="shared" si="107"/>
        <v>35 Business and public service associate professionals</v>
      </c>
      <c r="B162" s="11">
        <v>9.2774830270840596</v>
      </c>
      <c r="C162" s="11">
        <v>10.43397798307149</v>
      </c>
      <c r="D162" s="11">
        <f t="shared" si="108"/>
        <v>1.15649495598743</v>
      </c>
      <c r="E162" s="11">
        <v>4.526132780016372</v>
      </c>
      <c r="F162" s="11">
        <f t="shared" si="112"/>
        <v>5.682627736003802</v>
      </c>
      <c r="G162" s="200">
        <f t="shared" si="111"/>
        <v>2.6843313948876846E-2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11"/>
      <c r="T162" s="11"/>
      <c r="U162" s="11"/>
    </row>
    <row r="163" spans="1:21" x14ac:dyDescent="0.2">
      <c r="A163" t="str">
        <f t="shared" si="107"/>
        <v>41 Administrative occupations</v>
      </c>
      <c r="B163" s="11">
        <v>13.864198644483045</v>
      </c>
      <c r="C163" s="11">
        <v>16.764051222797644</v>
      </c>
      <c r="D163" s="11">
        <f t="shared" si="108"/>
        <v>2.899852578314599</v>
      </c>
      <c r="E163" s="11">
        <v>8.6589975781525901</v>
      </c>
      <c r="F163" s="11">
        <f t="shared" ref="F163:F166" si="113">SUM(D163:E163)</f>
        <v>11.558850156467189</v>
      </c>
      <c r="G163" s="200">
        <f t="shared" si="111"/>
        <v>3.2877974712108626E-2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11"/>
      <c r="T163" s="11"/>
      <c r="U163" s="11"/>
    </row>
    <row r="164" spans="1:21" x14ac:dyDescent="0.2">
      <c r="A164" t="str">
        <f t="shared" si="107"/>
        <v>42 Secretarial and related occupations</v>
      </c>
      <c r="B164" s="11">
        <v>2.3537598065783718</v>
      </c>
      <c r="C164" s="11">
        <v>2.8253935275082984</v>
      </c>
      <c r="D164" s="11">
        <f t="shared" si="108"/>
        <v>0.47163372092992661</v>
      </c>
      <c r="E164" s="11">
        <v>1.7017086415741227</v>
      </c>
      <c r="F164" s="11">
        <f t="shared" si="113"/>
        <v>2.1733423625040493</v>
      </c>
      <c r="G164" s="200">
        <f t="shared" si="111"/>
        <v>3.6935936010337844E-2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11"/>
      <c r="T164" s="11"/>
      <c r="U164" s="11"/>
    </row>
    <row r="165" spans="1:21" x14ac:dyDescent="0.2">
      <c r="A165" t="str">
        <f t="shared" si="107"/>
        <v>51 Skilled agricultural and related trades</v>
      </c>
      <c r="B165" s="11">
        <v>2.7871316741399652</v>
      </c>
      <c r="C165" s="11">
        <v>3.762335764141179</v>
      </c>
      <c r="D165" s="11">
        <f t="shared" si="108"/>
        <v>0.97520409000121377</v>
      </c>
      <c r="E165" s="11">
        <v>1.9602551988835737</v>
      </c>
      <c r="F165" s="11">
        <f t="shared" si="113"/>
        <v>2.9354592888847875</v>
      </c>
      <c r="G165" s="200">
        <f t="shared" si="111"/>
        <v>3.6143266872918689E-2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11"/>
      <c r="T165" s="11"/>
      <c r="U165" s="11"/>
    </row>
    <row r="166" spans="1:21" x14ac:dyDescent="0.2">
      <c r="A166" t="str">
        <f t="shared" si="107"/>
        <v>52 Skilled metal, electrical and electronic trades</v>
      </c>
      <c r="B166" s="11">
        <v>6.3631283556247187</v>
      </c>
      <c r="C166" s="11">
        <v>7.3417083710091564</v>
      </c>
      <c r="D166" s="11">
        <f t="shared" si="108"/>
        <v>0.97858001538443773</v>
      </c>
      <c r="E166" s="11">
        <v>2.9277961272989899</v>
      </c>
      <c r="F166" s="11">
        <f t="shared" si="113"/>
        <v>3.9063761426834276</v>
      </c>
      <c r="G166" s="200">
        <f t="shared" si="111"/>
        <v>2.5555614199044951E-2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11"/>
      <c r="T166" s="11"/>
      <c r="U166" s="11"/>
    </row>
    <row r="167" spans="1:21" x14ac:dyDescent="0.2">
      <c r="A167" t="str">
        <f t="shared" si="107"/>
        <v>53 Skilled construction and building trades</v>
      </c>
      <c r="B167" s="11">
        <v>1.669704925686617</v>
      </c>
      <c r="C167" s="11">
        <v>2.3964766550817562</v>
      </c>
      <c r="D167" s="11">
        <f t="shared" si="108"/>
        <v>0.72677172939513923</v>
      </c>
      <c r="E167" s="11">
        <v>1.0875641406787866</v>
      </c>
      <c r="F167" s="11">
        <f t="shared" ref="F167" si="114">SUM(D167:E167)</f>
        <v>1.8143358700739258</v>
      </c>
      <c r="G167" s="200">
        <f t="shared" si="111"/>
        <v>3.4004974259819187E-2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11"/>
      <c r="T167" s="11"/>
      <c r="U167" s="11"/>
    </row>
    <row r="168" spans="1:21" x14ac:dyDescent="0.2">
      <c r="A168" t="str">
        <f t="shared" si="107"/>
        <v>54 Textiles, printing and other skilled trades</v>
      </c>
      <c r="B168" s="11">
        <v>1.419192976349094</v>
      </c>
      <c r="C168" s="11">
        <v>2.0703452708927768</v>
      </c>
      <c r="D168" s="11">
        <f t="shared" si="108"/>
        <v>0.65115229454368273</v>
      </c>
      <c r="E168" s="11">
        <v>0.95982588142158876</v>
      </c>
      <c r="F168" s="11">
        <f t="shared" ref="F168" si="115">SUM(D168:E168)</f>
        <v>1.6109781759652715</v>
      </c>
      <c r="G168" s="200">
        <f t="shared" si="111"/>
        <v>3.503990855837702E-2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11"/>
      <c r="T168" s="11"/>
      <c r="U168" s="11"/>
    </row>
    <row r="169" spans="1:21" x14ac:dyDescent="0.2">
      <c r="A169" t="str">
        <f t="shared" si="107"/>
        <v>61 Caring personal service occupations</v>
      </c>
      <c r="B169" s="11">
        <v>10.734185173605185</v>
      </c>
      <c r="C169" s="11">
        <v>14.270389707193704</v>
      </c>
      <c r="D169" s="11">
        <f>C169-B169</f>
        <v>3.5362045335885188</v>
      </c>
      <c r="E169" s="11">
        <v>7.537769655417403</v>
      </c>
      <c r="F169" s="11">
        <f>SUM(D169:E169)</f>
        <v>11.073974189005922</v>
      </c>
      <c r="G169" s="200">
        <f t="shared" si="111"/>
        <v>3.6098540651517963E-2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11"/>
      <c r="T169" s="11"/>
      <c r="U169" s="11"/>
    </row>
    <row r="170" spans="1:21" x14ac:dyDescent="0.2">
      <c r="A170" t="str">
        <f t="shared" si="107"/>
        <v>62 Leisure, travel and related personal service occupations</v>
      </c>
      <c r="B170" s="11">
        <v>4.8222916510403744</v>
      </c>
      <c r="C170" s="11">
        <v>8.511604539899567</v>
      </c>
      <c r="D170" s="11">
        <f t="shared" ref="D170:D176" si="116">C170-B170</f>
        <v>3.6893128888591926</v>
      </c>
      <c r="E170" s="11">
        <v>4.0426647254226316</v>
      </c>
      <c r="F170" s="11">
        <f t="shared" ref="F170:F171" si="117">SUM(D170:E170)</f>
        <v>7.7319776142818242</v>
      </c>
      <c r="G170" s="200">
        <f t="shared" si="111"/>
        <v>4.1425502885664267E-2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11"/>
      <c r="T170" s="11"/>
      <c r="U170" s="11"/>
    </row>
    <row r="171" spans="1:21" x14ac:dyDescent="0.2">
      <c r="A171" t="str">
        <f t="shared" si="107"/>
        <v>63 Community and civil enforcement occupations</v>
      </c>
      <c r="B171" s="11">
        <v>9.9522136120127044E-2</v>
      </c>
      <c r="C171" s="11">
        <v>9.5529247299055306E-2</v>
      </c>
      <c r="D171" s="11">
        <f t="shared" si="116"/>
        <v>-3.9928888210717384E-3</v>
      </c>
      <c r="E171" s="11">
        <v>4.9262809013629207E-2</v>
      </c>
      <c r="F171" s="11">
        <f t="shared" si="117"/>
        <v>4.5269920192557468E-2</v>
      </c>
      <c r="G171" s="200">
        <f t="shared" si="111"/>
        <v>2.7170693704295035E-2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11"/>
      <c r="T171" s="11"/>
      <c r="U171" s="11"/>
    </row>
    <row r="172" spans="1:21" x14ac:dyDescent="0.2">
      <c r="A172" t="str">
        <f t="shared" si="107"/>
        <v>71 Sales occupations</v>
      </c>
      <c r="B172" s="11">
        <v>5.7702374678472674</v>
      </c>
      <c r="C172" s="11">
        <v>7.0488116027544025</v>
      </c>
      <c r="D172" s="11">
        <f t="shared" si="116"/>
        <v>1.2785741349071351</v>
      </c>
      <c r="E172" s="11">
        <v>2.9150830056066841</v>
      </c>
      <c r="F172" s="11">
        <f t="shared" ref="F172:F173" si="118">SUM(D172:E172)</f>
        <v>4.1936571405138192</v>
      </c>
      <c r="G172" s="200">
        <f t="shared" si="111"/>
        <v>2.7636396152455722E-2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11"/>
      <c r="T172" s="11"/>
      <c r="U172" s="11"/>
    </row>
    <row r="173" spans="1:21" x14ac:dyDescent="0.2">
      <c r="A173" t="str">
        <f t="shared" si="107"/>
        <v>72 Customer service occupations</v>
      </c>
      <c r="B173" s="11">
        <v>2.5970430589070714</v>
      </c>
      <c r="C173" s="11">
        <v>4.500476657510684</v>
      </c>
      <c r="D173" s="11">
        <f t="shared" si="116"/>
        <v>1.9034335986036126</v>
      </c>
      <c r="E173" s="11">
        <v>1.8546736656636269</v>
      </c>
      <c r="F173" s="11">
        <f t="shared" si="118"/>
        <v>3.7581072642672395</v>
      </c>
      <c r="G173" s="200">
        <f t="shared" si="111"/>
        <v>3.658095356163038E-2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11"/>
      <c r="T173" s="11"/>
      <c r="U173" s="11"/>
    </row>
    <row r="174" spans="1:21" x14ac:dyDescent="0.2">
      <c r="A174" t="str">
        <f t="shared" si="107"/>
        <v>81 Process, plant and machine operatives</v>
      </c>
      <c r="B174" s="11">
        <v>3.1583501287851861</v>
      </c>
      <c r="C174" s="11">
        <v>6.4120441461428861</v>
      </c>
      <c r="D174" s="11">
        <f t="shared" si="116"/>
        <v>3.2536940173577</v>
      </c>
      <c r="E174" s="11">
        <v>2.4372280198740985</v>
      </c>
      <c r="F174" s="11">
        <f t="shared" ref="F174:F175" si="119">SUM(D174:E174)</f>
        <v>5.6909220372317986</v>
      </c>
      <c r="G174" s="200">
        <f t="shared" si="111"/>
        <v>3.8864676130275555E-2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11"/>
      <c r="T174" s="11"/>
      <c r="U174" s="11"/>
    </row>
    <row r="175" spans="1:21" x14ac:dyDescent="0.2">
      <c r="A175" t="str">
        <f t="shared" si="107"/>
        <v>82 Transport and mobile machine drivers and operatives</v>
      </c>
      <c r="B175" s="11">
        <v>3.6398916078554402</v>
      </c>
      <c r="C175" s="11">
        <v>5.5760934970994791</v>
      </c>
      <c r="D175" s="11">
        <f t="shared" si="116"/>
        <v>1.9362018892440389</v>
      </c>
      <c r="E175" s="11">
        <v>3.0438960056723943</v>
      </c>
      <c r="F175" s="11">
        <f t="shared" si="119"/>
        <v>4.9800978949164332</v>
      </c>
      <c r="G175" s="200">
        <f t="shared" si="111"/>
        <v>4.1347341588636954E-2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11"/>
      <c r="T175" s="11"/>
      <c r="U175" s="11"/>
    </row>
    <row r="176" spans="1:21" x14ac:dyDescent="0.2">
      <c r="A176" t="str">
        <f t="shared" si="107"/>
        <v>91 Elementary trades and related occupations</v>
      </c>
      <c r="B176" s="11">
        <v>1.6734431361935971</v>
      </c>
      <c r="C176" s="11">
        <v>1.9449048020619486</v>
      </c>
      <c r="D176" s="11">
        <f t="shared" si="116"/>
        <v>0.27146166586835152</v>
      </c>
      <c r="E176" s="11">
        <v>0.93899674983181403</v>
      </c>
      <c r="F176" s="11">
        <f t="shared" ref="F176" si="120">SUM(D176:E176)</f>
        <v>1.2104584157001654</v>
      </c>
      <c r="G176" s="200">
        <f t="shared" si="111"/>
        <v>3.0138668699082327E-2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11"/>
      <c r="T176" s="11"/>
      <c r="U176" s="11"/>
    </row>
    <row r="177" spans="1:21" x14ac:dyDescent="0.2">
      <c r="A177" t="str">
        <f t="shared" si="107"/>
        <v>92 Elementary administration and service occupations</v>
      </c>
      <c r="B177" s="11">
        <v>6.4752225667903476</v>
      </c>
      <c r="C177" s="11">
        <v>9.955667702111743</v>
      </c>
      <c r="D177" s="11">
        <f t="shared" ref="D177" si="121">C177-B177</f>
        <v>3.4804451353213954</v>
      </c>
      <c r="E177" s="11">
        <v>4.7913529879672714</v>
      </c>
      <c r="F177" s="11">
        <f t="shared" ref="F177" si="122">SUM(D177:E177)</f>
        <v>8.2717981232886668</v>
      </c>
      <c r="G177" s="200">
        <f t="shared" ref="G177" si="123">IF(B177&gt;0,(1+(E177/B177))^(1/($C$6-$B$6))-1,0)</f>
        <v>3.7613982541857771E-2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11"/>
      <c r="T177" s="11"/>
      <c r="U177" s="11"/>
    </row>
    <row r="178" spans="1:21" x14ac:dyDescent="0.2">
      <c r="A178" t="str">
        <f t="shared" si="107"/>
        <v>All occupations</v>
      </c>
      <c r="B178" s="11">
        <f>SUM(B152:B177)</f>
        <v>134.63984360110572</v>
      </c>
      <c r="C178" s="11">
        <f t="shared" ref="C178:F178" si="124">SUM(C152:C177)</f>
        <v>169.13539239221706</v>
      </c>
      <c r="D178" s="11">
        <f t="shared" si="124"/>
        <v>34.495548791111325</v>
      </c>
      <c r="E178" s="11">
        <f t="shared" si="124"/>
        <v>77.961217128976116</v>
      </c>
      <c r="F178" s="11">
        <f t="shared" si="124"/>
        <v>112.45676592008743</v>
      </c>
      <c r="G178" s="200">
        <f t="shared" si="111"/>
        <v>3.0922746038258397E-2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11"/>
      <c r="T178" s="11"/>
      <c r="U178" s="1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11"/>
      <c r="T179" s="11"/>
      <c r="U179" s="11"/>
    </row>
    <row r="180" spans="1:21" ht="38.25" x14ac:dyDescent="0.2">
      <c r="A180" s="201" t="str">
        <f>CONCATENATE(name!F9," (Constrained)")</f>
        <v>RQF3 A level &amp; equivalent (Constrained)</v>
      </c>
      <c r="B180" s="74">
        <f t="shared" ref="B180:G180" si="125">B93</f>
        <v>2020</v>
      </c>
      <c r="C180" s="74">
        <f t="shared" si="125"/>
        <v>2035</v>
      </c>
      <c r="D180" s="87" t="str">
        <f t="shared" si="125"/>
        <v>Net Change</v>
      </c>
      <c r="E180" s="87" t="str">
        <f t="shared" si="125"/>
        <v>Replacement Demand level</v>
      </c>
      <c r="F180" s="87" t="str">
        <f t="shared" si="125"/>
        <v>Total Requirement</v>
      </c>
      <c r="G180" s="87" t="str">
        <f t="shared" si="125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11"/>
      <c r="T180" s="11"/>
      <c r="U180" s="11"/>
    </row>
    <row r="181" spans="1:21" x14ac:dyDescent="0.2">
      <c r="A181" t="str">
        <f t="shared" ref="A181:A207" si="126">A94</f>
        <v>11 Corporate managers and directors</v>
      </c>
      <c r="B181" s="11">
        <v>37.412303377819001</v>
      </c>
      <c r="C181" s="11">
        <v>36.287619663699154</v>
      </c>
      <c r="D181" s="11">
        <f>C181-B181</f>
        <v>-1.1246837141198469</v>
      </c>
      <c r="E181" s="11">
        <v>15.511479566506328</v>
      </c>
      <c r="F181" s="11">
        <f>SUM(D181:E181)</f>
        <v>14.386795852386481</v>
      </c>
      <c r="G181" s="200">
        <f>IF(B181&gt;0,(1+(E181/B181))^(1/($C$6-$B$6))-1,0)</f>
        <v>2.3392968749256449E-2</v>
      </c>
      <c r="I181" s="11"/>
      <c r="J181" s="11"/>
      <c r="K181" s="11"/>
      <c r="L181" s="11"/>
      <c r="M181" s="11"/>
      <c r="N181" s="11"/>
      <c r="P181" s="81"/>
      <c r="Q181" s="72"/>
    </row>
    <row r="182" spans="1:21" x14ac:dyDescent="0.2">
      <c r="A182" t="str">
        <f t="shared" si="126"/>
        <v>12 Other managers and proprietors</v>
      </c>
      <c r="B182" s="11">
        <v>16.04403281549666</v>
      </c>
      <c r="C182" s="11">
        <v>21.721752589561476</v>
      </c>
      <c r="D182" s="11">
        <f t="shared" ref="D182:D197" si="127">C182-B182</f>
        <v>5.6777197740648155</v>
      </c>
      <c r="E182" s="11">
        <v>8.8944177569882275</v>
      </c>
      <c r="F182" s="11">
        <f t="shared" ref="F182:F189" si="128">SUM(D182:E182)</f>
        <v>14.572137531053043</v>
      </c>
      <c r="G182" s="200">
        <f t="shared" ref="G182:G184" si="129">IF(B182&gt;0,(1+(E182/B182))^(1/($C$6-$B$6))-1,0)</f>
        <v>2.984151478111885E-2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6"/>
        <v>21 Science, research, engineering and technology professionals</v>
      </c>
      <c r="B183" s="11">
        <v>24.133322665275383</v>
      </c>
      <c r="C183" s="11">
        <v>25.310373768237511</v>
      </c>
      <c r="D183" s="11">
        <f t="shared" si="127"/>
        <v>1.1770511029621282</v>
      </c>
      <c r="E183" s="11">
        <v>7.6191929636668156</v>
      </c>
      <c r="F183" s="11">
        <f t="shared" si="128"/>
        <v>8.7962440666289439</v>
      </c>
      <c r="G183" s="200">
        <f t="shared" si="129"/>
        <v>1.8460213798421554E-2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6"/>
        <v>22 Health professionals</v>
      </c>
      <c r="B184" s="11">
        <v>10.530106298414324</v>
      </c>
      <c r="C184" s="11">
        <v>11.921425090481076</v>
      </c>
      <c r="D184" s="11">
        <f t="shared" si="127"/>
        <v>1.3913187920667518</v>
      </c>
      <c r="E184" s="11">
        <v>6.126883557120216</v>
      </c>
      <c r="F184" s="11">
        <f t="shared" si="128"/>
        <v>7.5182023491869678</v>
      </c>
      <c r="G184" s="200">
        <f t="shared" si="129"/>
        <v>3.1044914296585402E-2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6"/>
        <v>23 Teaching and other educational professionals</v>
      </c>
      <c r="B185" s="11">
        <v>4.9930122196626616</v>
      </c>
      <c r="C185" s="11">
        <v>5.8177673064813424</v>
      </c>
      <c r="D185" s="11">
        <f t="shared" si="127"/>
        <v>0.82475508681868082</v>
      </c>
      <c r="E185" s="11">
        <v>2.2865064317452135</v>
      </c>
      <c r="F185" s="11">
        <f t="shared" si="128"/>
        <v>3.1112615185638943</v>
      </c>
      <c r="G185" s="200">
        <f>IF(B185&gt;0,(1+(E185/B185))^(1/($C$6-$B$6))-1,0)</f>
        <v>2.545357214571875E-2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6"/>
        <v>24 Business, media and public service professionals</v>
      </c>
      <c r="B186" s="11">
        <v>23.412311417348466</v>
      </c>
      <c r="C186" s="11">
        <v>28.19103655002694</v>
      </c>
      <c r="D186" s="11">
        <f t="shared" si="127"/>
        <v>4.7787251326784741</v>
      </c>
      <c r="E186" s="11">
        <v>11.050387094237795</v>
      </c>
      <c r="F186" s="11">
        <f t="shared" si="128"/>
        <v>15.829112226916269</v>
      </c>
      <c r="G186" s="200">
        <f t="shared" ref="G186:G207" si="130">IF(B186&gt;0,(1+(E186/B186))^(1/($C$6-$B$6))-1,0)</f>
        <v>2.6109399482304063E-2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6"/>
        <v>31 Science, engineering and technology associate professionals</v>
      </c>
      <c r="B187" s="11">
        <v>10.691585310324964</v>
      </c>
      <c r="C187" s="11">
        <v>7.9604814636860795</v>
      </c>
      <c r="D187" s="11">
        <f t="shared" si="127"/>
        <v>-2.7311038466388844</v>
      </c>
      <c r="E187" s="11">
        <v>3.0696507860933688</v>
      </c>
      <c r="F187" s="11">
        <f t="shared" si="128"/>
        <v>0.33854693945448444</v>
      </c>
      <c r="G187" s="200">
        <f t="shared" si="130"/>
        <v>1.6968940791258103E-2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6"/>
        <v>32 Health and social care associate professionals</v>
      </c>
      <c r="B188" s="11">
        <v>9.2813408349669864</v>
      </c>
      <c r="C188" s="11">
        <v>10.300895657024734</v>
      </c>
      <c r="D188" s="11">
        <f t="shared" si="127"/>
        <v>1.0195548220577475</v>
      </c>
      <c r="E188" s="11">
        <v>5.4564746824757062</v>
      </c>
      <c r="F188" s="11">
        <f t="shared" si="128"/>
        <v>6.4760295045334537</v>
      </c>
      <c r="G188" s="200">
        <f t="shared" si="130"/>
        <v>3.1307460919046459E-2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6"/>
        <v>33 Protective service occupations</v>
      </c>
      <c r="B189" s="11">
        <v>6.1175411636457797</v>
      </c>
      <c r="C189" s="11">
        <v>8.1558408032799221</v>
      </c>
      <c r="D189" s="11">
        <f t="shared" si="127"/>
        <v>2.0382996396341424</v>
      </c>
      <c r="E189" s="11">
        <v>1.9529870884670846</v>
      </c>
      <c r="F189" s="11">
        <f t="shared" si="128"/>
        <v>3.991286728101227</v>
      </c>
      <c r="G189" s="200">
        <f t="shared" si="130"/>
        <v>1.8642215849815846E-2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6"/>
        <v>34 Culture, media and sports occupations</v>
      </c>
      <c r="B190" s="11">
        <v>5.3565671831535226</v>
      </c>
      <c r="C190" s="11">
        <v>4.7397382636367409</v>
      </c>
      <c r="D190" s="11">
        <f t="shared" si="127"/>
        <v>-0.61682891951678176</v>
      </c>
      <c r="E190" s="11">
        <v>1.8019265103484057</v>
      </c>
      <c r="F190" s="11">
        <f t="shared" ref="F190:F191" si="131">SUM(D190:E190)</f>
        <v>1.1850975908316239</v>
      </c>
      <c r="G190" s="200">
        <f t="shared" si="130"/>
        <v>1.9519819024536034E-2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6"/>
        <v>35 Business and public service associate professionals</v>
      </c>
      <c r="B191" s="11">
        <v>29.344022746378315</v>
      </c>
      <c r="C191" s="11">
        <v>26.024880576903378</v>
      </c>
      <c r="D191" s="11">
        <f t="shared" si="127"/>
        <v>-3.3191421694749366</v>
      </c>
      <c r="E191" s="11">
        <v>11.309845160570127</v>
      </c>
      <c r="F191" s="11">
        <f t="shared" si="131"/>
        <v>7.9907029910951906</v>
      </c>
      <c r="G191" s="200">
        <f t="shared" si="130"/>
        <v>2.1971570738067658E-2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6"/>
        <v>41 Administrative occupations</v>
      </c>
      <c r="B192" s="11">
        <v>47.140111040435933</v>
      </c>
      <c r="C192" s="11">
        <v>37.777424828764943</v>
      </c>
      <c r="D192" s="11">
        <f t="shared" si="127"/>
        <v>-9.3626862116709901</v>
      </c>
      <c r="E192" s="11">
        <v>19.582243808603124</v>
      </c>
      <c r="F192" s="11">
        <f t="shared" ref="F192:F195" si="132">SUM(D192:E192)</f>
        <v>10.219557596932134</v>
      </c>
      <c r="G192" s="200">
        <f t="shared" si="130"/>
        <v>2.3431353229190321E-2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6"/>
        <v>42 Secretarial and related occupations</v>
      </c>
      <c r="B193" s="11">
        <v>8.8234004009958191</v>
      </c>
      <c r="C193" s="11">
        <v>4.1476472445968167</v>
      </c>
      <c r="D193" s="11">
        <f t="shared" si="127"/>
        <v>-4.6757531563990025</v>
      </c>
      <c r="E193" s="11">
        <v>3.5361539622563223</v>
      </c>
      <c r="F193" s="11">
        <f t="shared" si="132"/>
        <v>-1.1395991941426802</v>
      </c>
      <c r="G193" s="200">
        <f t="shared" si="130"/>
        <v>2.2722447520446831E-2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6"/>
        <v>51 Skilled agricultural and related trades</v>
      </c>
      <c r="B194" s="11">
        <v>5.6953468151879534</v>
      </c>
      <c r="C194" s="11">
        <v>5.2556144047025022</v>
      </c>
      <c r="D194" s="11">
        <f t="shared" si="127"/>
        <v>-0.4397324104854512</v>
      </c>
      <c r="E194" s="11">
        <v>2.813474646355075</v>
      </c>
      <c r="F194" s="11">
        <f t="shared" si="132"/>
        <v>2.3737422358696239</v>
      </c>
      <c r="G194" s="200">
        <f t="shared" si="130"/>
        <v>2.7124958371793406E-2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6"/>
        <v>52 Skilled metal, electrical and electronic trades</v>
      </c>
      <c r="B195" s="11">
        <v>37.750789097039906</v>
      </c>
      <c r="C195" s="11">
        <v>36.588056781003246</v>
      </c>
      <c r="D195" s="11">
        <f t="shared" si="127"/>
        <v>-1.1627323160366601</v>
      </c>
      <c r="E195" s="11">
        <v>13.452251682612353</v>
      </c>
      <c r="F195" s="11">
        <f t="shared" si="132"/>
        <v>12.289519366575693</v>
      </c>
      <c r="G195" s="200">
        <f t="shared" si="130"/>
        <v>2.0527349275521134E-2</v>
      </c>
      <c r="I195" s="81"/>
      <c r="J195" s="72"/>
    </row>
    <row r="196" spans="1:14" x14ac:dyDescent="0.2">
      <c r="A196" t="str">
        <f t="shared" si="126"/>
        <v>53 Skilled construction and building trades</v>
      </c>
      <c r="B196" s="11">
        <v>17.124524480833454</v>
      </c>
      <c r="C196" s="11">
        <v>15.254094932314446</v>
      </c>
      <c r="D196" s="11">
        <f t="shared" si="127"/>
        <v>-1.8704295485190077</v>
      </c>
      <c r="E196" s="11">
        <v>6.2569332285333399</v>
      </c>
      <c r="F196" s="11">
        <f t="shared" ref="F196" si="133">SUM(D196:E196)</f>
        <v>4.3865036800143322</v>
      </c>
      <c r="G196" s="200">
        <f t="shared" si="130"/>
        <v>2.0979144498102009E-2</v>
      </c>
    </row>
    <row r="197" spans="1:14" x14ac:dyDescent="0.2">
      <c r="A197" t="str">
        <f t="shared" si="126"/>
        <v>54 Textiles, printing and other skilled trades</v>
      </c>
      <c r="B197" s="11">
        <v>8.8352314210865117</v>
      </c>
      <c r="C197" s="11">
        <v>8.1205158418549921</v>
      </c>
      <c r="D197" s="11">
        <f t="shared" si="127"/>
        <v>-0.71471557923151963</v>
      </c>
      <c r="E197" s="11">
        <v>3.5259525744866589</v>
      </c>
      <c r="F197" s="11">
        <f t="shared" ref="F197" si="134">SUM(D197:E197)</f>
        <v>2.8112369952551393</v>
      </c>
      <c r="G197" s="200">
        <f t="shared" si="130"/>
        <v>2.2640078927318674E-2</v>
      </c>
    </row>
    <row r="198" spans="1:14" x14ac:dyDescent="0.2">
      <c r="A198" t="str">
        <f t="shared" si="126"/>
        <v>61 Caring personal service occupations</v>
      </c>
      <c r="B198" s="11">
        <v>73.521764091800037</v>
      </c>
      <c r="C198" s="11">
        <v>91.748271529015256</v>
      </c>
      <c r="D198" s="11">
        <f>C198-B198</f>
        <v>18.226507437215218</v>
      </c>
      <c r="E198" s="11">
        <v>45.869534328799084</v>
      </c>
      <c r="F198" s="11">
        <f>SUM(D198:E198)</f>
        <v>64.096041766014309</v>
      </c>
      <c r="G198" s="200">
        <f t="shared" si="130"/>
        <v>3.2849674744716895E-2</v>
      </c>
    </row>
    <row r="199" spans="1:14" x14ac:dyDescent="0.2">
      <c r="A199" t="str">
        <f t="shared" si="126"/>
        <v>62 Leisure, travel and related personal service occupations</v>
      </c>
      <c r="B199" s="11">
        <v>15.604087537226874</v>
      </c>
      <c r="C199" s="11">
        <v>13.724764404331108</v>
      </c>
      <c r="D199" s="11">
        <f t="shared" ref="D199:D205" si="135">C199-B199</f>
        <v>-1.8793231328957667</v>
      </c>
      <c r="E199" s="11">
        <v>6.4322396563569217</v>
      </c>
      <c r="F199" s="11">
        <f t="shared" ref="F199:F200" si="136">SUM(D199:E199)</f>
        <v>4.5529165234611551</v>
      </c>
      <c r="G199" s="200">
        <f t="shared" si="130"/>
        <v>2.3277415297104032E-2</v>
      </c>
    </row>
    <row r="200" spans="1:14" x14ac:dyDescent="0.2">
      <c r="A200" t="str">
        <f t="shared" si="126"/>
        <v>63 Community and civil enforcement occupations</v>
      </c>
      <c r="B200" s="11">
        <v>0.48186100744233085</v>
      </c>
      <c r="C200" s="11">
        <v>0.42654825210988184</v>
      </c>
      <c r="D200" s="11">
        <f t="shared" si="135"/>
        <v>-5.5312755332449004E-2</v>
      </c>
      <c r="E200" s="11">
        <v>0.13847852921746237</v>
      </c>
      <c r="F200" s="11">
        <f t="shared" si="136"/>
        <v>8.3165773885013367E-2</v>
      </c>
      <c r="G200" s="200">
        <f t="shared" si="130"/>
        <v>1.6983355626317476E-2</v>
      </c>
    </row>
    <row r="201" spans="1:14" x14ac:dyDescent="0.2">
      <c r="A201" t="str">
        <f t="shared" si="126"/>
        <v>71 Sales occupations</v>
      </c>
      <c r="B201" s="11">
        <v>43.884896345316463</v>
      </c>
      <c r="C201" s="11">
        <v>44.840295605728933</v>
      </c>
      <c r="D201" s="11">
        <f t="shared" si="135"/>
        <v>0.95539926041247014</v>
      </c>
      <c r="E201" s="11">
        <v>19.703202101508523</v>
      </c>
      <c r="F201" s="11">
        <f t="shared" ref="F201:F202" si="137">SUM(D201:E201)</f>
        <v>20.658601361920994</v>
      </c>
      <c r="G201" s="200">
        <f t="shared" si="130"/>
        <v>2.5031906598210751E-2</v>
      </c>
    </row>
    <row r="202" spans="1:14" x14ac:dyDescent="0.2">
      <c r="A202" t="str">
        <f t="shared" si="126"/>
        <v>72 Customer service occupations</v>
      </c>
      <c r="B202" s="11">
        <v>10.863742079530279</v>
      </c>
      <c r="C202" s="11">
        <v>15.634772917864181</v>
      </c>
      <c r="D202" s="11">
        <f t="shared" si="135"/>
        <v>4.7710308383339015</v>
      </c>
      <c r="E202" s="11">
        <v>6.1937002339911391</v>
      </c>
      <c r="F202" s="11">
        <f t="shared" si="137"/>
        <v>10.964731072325041</v>
      </c>
      <c r="G202" s="200">
        <f t="shared" si="130"/>
        <v>3.0533935466244833E-2</v>
      </c>
    </row>
    <row r="203" spans="1:14" x14ac:dyDescent="0.2">
      <c r="A203" t="str">
        <f t="shared" si="126"/>
        <v>81 Process, plant and machine operatives</v>
      </c>
      <c r="B203" s="11">
        <v>20.687463794629419</v>
      </c>
      <c r="C203" s="11">
        <v>33.195673167553828</v>
      </c>
      <c r="D203" s="11">
        <f t="shared" si="135"/>
        <v>12.508209372924409</v>
      </c>
      <c r="E203" s="11">
        <v>10.941841058167284</v>
      </c>
      <c r="F203" s="11">
        <f t="shared" ref="F203:F204" si="138">SUM(D203:E203)</f>
        <v>23.450050431091693</v>
      </c>
      <c r="G203" s="200">
        <f t="shared" si="130"/>
        <v>2.8708100650855384E-2</v>
      </c>
    </row>
    <row r="204" spans="1:14" x14ac:dyDescent="0.2">
      <c r="A204" t="str">
        <f t="shared" si="126"/>
        <v>82 Transport and mobile machine drivers and operatives</v>
      </c>
      <c r="B204" s="11">
        <v>21.822078955781254</v>
      </c>
      <c r="C204" s="11">
        <v>30.380643999782961</v>
      </c>
      <c r="D204" s="11">
        <f t="shared" si="135"/>
        <v>8.5585650440017069</v>
      </c>
      <c r="E204" s="11">
        <v>13.974144584509867</v>
      </c>
      <c r="F204" s="11">
        <f t="shared" si="138"/>
        <v>22.532709628511576</v>
      </c>
      <c r="G204" s="200">
        <f t="shared" si="130"/>
        <v>3.3545037097374886E-2</v>
      </c>
    </row>
    <row r="205" spans="1:14" x14ac:dyDescent="0.2">
      <c r="A205" t="str">
        <f t="shared" si="126"/>
        <v>91 Elementary trades and related occupations</v>
      </c>
      <c r="B205" s="11">
        <v>6.783133276656474</v>
      </c>
      <c r="C205" s="11">
        <v>7.1532249228443758</v>
      </c>
      <c r="D205" s="11">
        <f t="shared" si="135"/>
        <v>0.3700916461879018</v>
      </c>
      <c r="E205" s="11">
        <v>2.3742104493669869</v>
      </c>
      <c r="F205" s="11">
        <f t="shared" ref="F205" si="139">SUM(D205:E205)</f>
        <v>2.7443020955548887</v>
      </c>
      <c r="G205" s="200">
        <f t="shared" si="130"/>
        <v>2.0209298987782232E-2</v>
      </c>
    </row>
    <row r="206" spans="1:14" x14ac:dyDescent="0.2">
      <c r="A206" t="str">
        <f t="shared" si="126"/>
        <v>92 Elementary administration and service occupations</v>
      </c>
      <c r="B206" s="11">
        <v>38.384937970705565</v>
      </c>
      <c r="C206" s="11">
        <v>39.776084729630057</v>
      </c>
      <c r="D206" s="11">
        <f t="shared" ref="D206" si="140">C206-B206</f>
        <v>1.3911467589244921</v>
      </c>
      <c r="E206" s="11">
        <v>17.997686437943102</v>
      </c>
      <c r="F206" s="11">
        <f t="shared" ref="F206" si="141">SUM(D206:E206)</f>
        <v>19.388833196867594</v>
      </c>
      <c r="G206" s="200">
        <f t="shared" ref="G206" si="142">IF(B206&gt;0,(1+(E206/B206))^(1/($C$6-$B$6))-1,0)</f>
        <v>2.5964411389141517E-2</v>
      </c>
    </row>
    <row r="207" spans="1:14" x14ac:dyDescent="0.2">
      <c r="A207" t="str">
        <f t="shared" si="126"/>
        <v>All occupations</v>
      </c>
      <c r="B207" s="11">
        <f>SUM(B181:B206)</f>
        <v>534.71951434715425</v>
      </c>
      <c r="C207" s="11">
        <f t="shared" ref="C207:F207" si="143">SUM(C181:C206)</f>
        <v>570.45544529511585</v>
      </c>
      <c r="D207" s="11">
        <f t="shared" si="143"/>
        <v>35.735930947961549</v>
      </c>
      <c r="E207" s="11">
        <f t="shared" si="143"/>
        <v>247.87179888092658</v>
      </c>
      <c r="F207" s="11">
        <f t="shared" si="143"/>
        <v>283.60772982888807</v>
      </c>
      <c r="G207" s="200">
        <f t="shared" si="130"/>
        <v>2.5716320910281976E-2</v>
      </c>
    </row>
    <row r="209" spans="1:7" ht="38.25" x14ac:dyDescent="0.2">
      <c r="A209" s="201" t="str">
        <f>CONCATENATE(name!F10," (Constrained)")</f>
        <v>RQF2 GCSE(A-C) &amp; equivalent (Constrained)</v>
      </c>
      <c r="B209" s="74">
        <f t="shared" ref="B209:G209" si="144">B122</f>
        <v>2020</v>
      </c>
      <c r="C209" s="74">
        <f t="shared" si="144"/>
        <v>2035</v>
      </c>
      <c r="D209" s="87" t="str">
        <f t="shared" si="144"/>
        <v>Net Change</v>
      </c>
      <c r="E209" s="87" t="str">
        <f t="shared" si="144"/>
        <v>Replacement Demand level</v>
      </c>
      <c r="F209" s="87" t="str">
        <f t="shared" si="144"/>
        <v>Total Requirement</v>
      </c>
      <c r="G209" s="87" t="str">
        <f t="shared" si="144"/>
        <v>Replacement Demand rate</v>
      </c>
    </row>
    <row r="210" spans="1:7" x14ac:dyDescent="0.2">
      <c r="A210" t="str">
        <f t="shared" ref="A210:A236" si="145">A123</f>
        <v>11 Corporate managers and directors</v>
      </c>
      <c r="B210" s="11">
        <v>26.199438374224332</v>
      </c>
      <c r="C210" s="11">
        <v>15.782136366795614</v>
      </c>
      <c r="D210" s="11">
        <f>C210-B210</f>
        <v>-10.417302007428718</v>
      </c>
      <c r="E210" s="11">
        <v>8.9121934787615711</v>
      </c>
      <c r="F210" s="11">
        <f>SUM(D210:E210)</f>
        <v>-1.5051085286671473</v>
      </c>
      <c r="G210" s="200">
        <f>IF(B210&gt;0,(1+(E210/B210))^(1/($C$6-$B$6))-1,0)</f>
        <v>1.9711386518947327E-2</v>
      </c>
    </row>
    <row r="211" spans="1:7" x14ac:dyDescent="0.2">
      <c r="A211" t="str">
        <f t="shared" si="145"/>
        <v>12 Other managers and proprietors</v>
      </c>
      <c r="B211" s="11">
        <v>15.160055101131771</v>
      </c>
      <c r="C211" s="11">
        <v>15.345572181831752</v>
      </c>
      <c r="D211" s="11">
        <f t="shared" ref="D211:D226" si="146">C211-B211</f>
        <v>0.18551708069998085</v>
      </c>
      <c r="E211" s="11">
        <v>8.6080313072785763</v>
      </c>
      <c r="F211" s="11">
        <f t="shared" ref="F211:F218" si="147">SUM(D211:E211)</f>
        <v>8.7935483879785572</v>
      </c>
      <c r="G211" s="200">
        <f t="shared" ref="G211:G213" si="148">IF(B211&gt;0,(1+(E211/B211))^(1/($C$6-$B$6))-1,0)</f>
        <v>3.0432534588609395E-2</v>
      </c>
    </row>
    <row r="212" spans="1:7" x14ac:dyDescent="0.2">
      <c r="A212" t="str">
        <f t="shared" si="145"/>
        <v>21 Science, research, engineering and technology professionals</v>
      </c>
      <c r="B212" s="11">
        <v>15.20871442337773</v>
      </c>
      <c r="C212" s="11">
        <v>12.232281400977415</v>
      </c>
      <c r="D212" s="11">
        <f t="shared" si="146"/>
        <v>-2.9764330224003146</v>
      </c>
      <c r="E212" s="11">
        <v>4.5380905712810051</v>
      </c>
      <c r="F212" s="11">
        <f t="shared" si="147"/>
        <v>1.5616575488806905</v>
      </c>
      <c r="G212" s="200">
        <f t="shared" si="148"/>
        <v>1.7560614275148323E-2</v>
      </c>
    </row>
    <row r="213" spans="1:7" x14ac:dyDescent="0.2">
      <c r="A213" t="str">
        <f t="shared" si="145"/>
        <v>22 Health professionals</v>
      </c>
      <c r="B213" s="11">
        <v>7.7458837676269843</v>
      </c>
      <c r="C213" s="11">
        <v>5.7994758900673267</v>
      </c>
      <c r="D213" s="11">
        <f t="shared" si="146"/>
        <v>-1.9464078775596576</v>
      </c>
      <c r="E213" s="11">
        <v>3.4399010770014105</v>
      </c>
      <c r="F213" s="11">
        <f t="shared" si="147"/>
        <v>1.4934931994417529</v>
      </c>
      <c r="G213" s="200">
        <f t="shared" si="148"/>
        <v>2.480137407701255E-2</v>
      </c>
    </row>
    <row r="214" spans="1:7" x14ac:dyDescent="0.2">
      <c r="A214" t="str">
        <f t="shared" si="145"/>
        <v>23 Teaching and other educational professionals</v>
      </c>
      <c r="B214" s="11">
        <v>3.4776474357959577</v>
      </c>
      <c r="C214" s="11">
        <v>2.3747632175261448</v>
      </c>
      <c r="D214" s="11">
        <f t="shared" si="146"/>
        <v>-1.1028842182698129</v>
      </c>
      <c r="E214" s="11">
        <v>1.3759349940625563</v>
      </c>
      <c r="F214" s="11">
        <f t="shared" si="147"/>
        <v>0.27305077579274339</v>
      </c>
      <c r="G214" s="200">
        <f>IF(B214&gt;0,(1+(E214/B214))^(1/($C$6-$B$6))-1,0)</f>
        <v>2.2472863388161457E-2</v>
      </c>
    </row>
    <row r="215" spans="1:7" x14ac:dyDescent="0.2">
      <c r="A215" t="str">
        <f t="shared" si="145"/>
        <v>24 Business, media and public service professionals</v>
      </c>
      <c r="B215" s="11">
        <v>15.323536670701657</v>
      </c>
      <c r="C215" s="11">
        <v>11.824784031083441</v>
      </c>
      <c r="D215" s="11">
        <f t="shared" si="146"/>
        <v>-3.4987526396182158</v>
      </c>
      <c r="E215" s="11">
        <v>5.7269149540455935</v>
      </c>
      <c r="F215" s="11">
        <f t="shared" si="147"/>
        <v>2.2281623144273777</v>
      </c>
      <c r="G215" s="200">
        <f t="shared" ref="G215:G236" si="149">IF(B215&gt;0,(1+(E215/B215))^(1/($C$6-$B$6))-1,0)</f>
        <v>2.13944500976051E-2</v>
      </c>
    </row>
    <row r="216" spans="1:7" x14ac:dyDescent="0.2">
      <c r="A216" t="str">
        <f t="shared" si="145"/>
        <v>31 Science, engineering and technology associate professionals</v>
      </c>
      <c r="B216" s="11">
        <v>7.1008408393359765</v>
      </c>
      <c r="C216" s="11">
        <v>5.0843411333879986</v>
      </c>
      <c r="D216" s="11">
        <f t="shared" si="146"/>
        <v>-2.0164997059479779</v>
      </c>
      <c r="E216" s="11">
        <v>2.1192509257222936</v>
      </c>
      <c r="F216" s="11">
        <f t="shared" si="147"/>
        <v>0.10275121977431567</v>
      </c>
      <c r="G216" s="200">
        <f t="shared" si="149"/>
        <v>1.7563915266973984E-2</v>
      </c>
    </row>
    <row r="217" spans="1:7" x14ac:dyDescent="0.2">
      <c r="A217" t="str">
        <f t="shared" si="145"/>
        <v>32 Health and social care associate professionals</v>
      </c>
      <c r="B217" s="11">
        <v>6.7846131226644575</v>
      </c>
      <c r="C217" s="11">
        <v>4.5450291662930775</v>
      </c>
      <c r="D217" s="11">
        <f t="shared" si="146"/>
        <v>-2.23958395637138</v>
      </c>
      <c r="E217" s="11">
        <v>3.070111232772351</v>
      </c>
      <c r="F217" s="11">
        <f t="shared" si="147"/>
        <v>0.83052727640097102</v>
      </c>
      <c r="G217" s="200">
        <f t="shared" si="149"/>
        <v>2.5198494010886696E-2</v>
      </c>
    </row>
    <row r="218" spans="1:7" x14ac:dyDescent="0.2">
      <c r="A218" t="str">
        <f t="shared" si="145"/>
        <v>33 Protective service occupations</v>
      </c>
      <c r="B218" s="11">
        <v>6.1064273714251716</v>
      </c>
      <c r="C218" s="11">
        <v>5.6908187367516083</v>
      </c>
      <c r="D218" s="11">
        <f t="shared" si="146"/>
        <v>-0.41560863467356324</v>
      </c>
      <c r="E218" s="11">
        <v>1.7835335154124503</v>
      </c>
      <c r="F218" s="11">
        <f t="shared" si="147"/>
        <v>1.3679248807388871</v>
      </c>
      <c r="G218" s="200">
        <f t="shared" si="149"/>
        <v>1.7230040064507124E-2</v>
      </c>
    </row>
    <row r="219" spans="1:7" x14ac:dyDescent="0.2">
      <c r="A219" t="str">
        <f t="shared" si="145"/>
        <v>34 Culture, media and sports occupations</v>
      </c>
      <c r="B219" s="11">
        <v>2.4441418058771855</v>
      </c>
      <c r="C219" s="11">
        <v>1.0848068218053983</v>
      </c>
      <c r="D219" s="11">
        <f t="shared" si="146"/>
        <v>-1.3593349840717872</v>
      </c>
      <c r="E219" s="11">
        <v>0.61182183073958829</v>
      </c>
      <c r="F219" s="11">
        <f t="shared" ref="F219:F220" si="150">SUM(D219:E219)</f>
        <v>-0.74751315333219892</v>
      </c>
      <c r="G219" s="200">
        <f t="shared" si="149"/>
        <v>1.5004853277651664E-2</v>
      </c>
    </row>
    <row r="220" spans="1:7" x14ac:dyDescent="0.2">
      <c r="A220" t="str">
        <f t="shared" si="145"/>
        <v>35 Business and public service associate professionals</v>
      </c>
      <c r="B220" s="11">
        <v>22.533914641153782</v>
      </c>
      <c r="C220" s="11">
        <v>14.540525368235373</v>
      </c>
      <c r="D220" s="11">
        <f t="shared" si="146"/>
        <v>-7.9933892729184084</v>
      </c>
      <c r="E220" s="11">
        <v>7.1154711905911414</v>
      </c>
      <c r="F220" s="11">
        <f t="shared" si="150"/>
        <v>-0.87791808232726698</v>
      </c>
      <c r="G220" s="200">
        <f t="shared" si="149"/>
        <v>1.8463033825521835E-2</v>
      </c>
    </row>
    <row r="221" spans="1:7" x14ac:dyDescent="0.2">
      <c r="A221" t="str">
        <f t="shared" si="145"/>
        <v>41 Administrative occupations</v>
      </c>
      <c r="B221" s="11">
        <v>51.981119649082835</v>
      </c>
      <c r="C221" s="11">
        <v>28.197634470525273</v>
      </c>
      <c r="D221" s="11">
        <f t="shared" si="146"/>
        <v>-23.783485178557562</v>
      </c>
      <c r="E221" s="11">
        <v>17.623124016324841</v>
      </c>
      <c r="F221" s="11">
        <f t="shared" ref="F221:F224" si="151">SUM(D221:E221)</f>
        <v>-6.1603611622327215</v>
      </c>
      <c r="G221" s="200">
        <f t="shared" si="149"/>
        <v>1.965363685083088E-2</v>
      </c>
    </row>
    <row r="222" spans="1:7" x14ac:dyDescent="0.2">
      <c r="A222" t="str">
        <f t="shared" si="145"/>
        <v>42 Secretarial and related occupations</v>
      </c>
      <c r="B222" s="11">
        <v>11.077162616420068</v>
      </c>
      <c r="C222" s="11">
        <v>3.7147302905203174</v>
      </c>
      <c r="D222" s="11">
        <f t="shared" si="146"/>
        <v>-7.3624323258997508</v>
      </c>
      <c r="E222" s="11">
        <v>3.7166804718726389</v>
      </c>
      <c r="F222" s="11">
        <f t="shared" si="151"/>
        <v>-3.6457518540271119</v>
      </c>
      <c r="G222" s="200">
        <f t="shared" si="149"/>
        <v>1.9475590349852689E-2</v>
      </c>
    </row>
    <row r="223" spans="1:7" x14ac:dyDescent="0.2">
      <c r="A223" t="str">
        <f t="shared" si="145"/>
        <v>51 Skilled agricultural and related trades</v>
      </c>
      <c r="B223" s="11">
        <v>8.1834707161363021</v>
      </c>
      <c r="C223" s="11">
        <v>6.9172228601124512</v>
      </c>
      <c r="D223" s="11">
        <f t="shared" si="146"/>
        <v>-1.2662478560238508</v>
      </c>
      <c r="E223" s="11">
        <v>3.9001784823707801</v>
      </c>
      <c r="F223" s="11">
        <f t="shared" si="151"/>
        <v>2.6339306263469293</v>
      </c>
      <c r="G223" s="200">
        <f t="shared" si="149"/>
        <v>2.6322945194959146E-2</v>
      </c>
    </row>
    <row r="224" spans="1:7" x14ac:dyDescent="0.2">
      <c r="A224" t="str">
        <f t="shared" si="145"/>
        <v>52 Skilled metal, electrical and electronic trades</v>
      </c>
      <c r="B224" s="11">
        <v>20.830193127251906</v>
      </c>
      <c r="C224" s="11">
        <v>14.796357812422171</v>
      </c>
      <c r="D224" s="11">
        <f t="shared" si="146"/>
        <v>-6.0338353148297355</v>
      </c>
      <c r="E224" s="11">
        <v>6.217869686771083</v>
      </c>
      <c r="F224" s="11">
        <f t="shared" si="151"/>
        <v>0.18403437194134753</v>
      </c>
      <c r="G224" s="200">
        <f t="shared" si="149"/>
        <v>1.7566633907218465E-2</v>
      </c>
    </row>
    <row r="225" spans="1:7" x14ac:dyDescent="0.2">
      <c r="A225" t="str">
        <f t="shared" si="145"/>
        <v>53 Skilled construction and building trades</v>
      </c>
      <c r="B225" s="11">
        <v>16.039297191558294</v>
      </c>
      <c r="C225" s="11">
        <v>15.352326038790562</v>
      </c>
      <c r="D225" s="11">
        <f t="shared" si="146"/>
        <v>-0.68697115276773246</v>
      </c>
      <c r="E225" s="11">
        <v>6.8021939503172142</v>
      </c>
      <c r="F225" s="11">
        <f t="shared" ref="F225" si="152">SUM(D225:E225)</f>
        <v>6.1152227975494817</v>
      </c>
      <c r="G225" s="200">
        <f t="shared" si="149"/>
        <v>2.3849072453843156E-2</v>
      </c>
    </row>
    <row r="226" spans="1:7" x14ac:dyDescent="0.2">
      <c r="A226" t="str">
        <f t="shared" si="145"/>
        <v>54 Textiles, printing and other skilled trades</v>
      </c>
      <c r="B226" s="11">
        <v>10.392380314051771</v>
      </c>
      <c r="C226" s="11">
        <v>6.8783305288248142</v>
      </c>
      <c r="D226" s="11">
        <f t="shared" si="146"/>
        <v>-3.5140497852269563</v>
      </c>
      <c r="E226" s="11">
        <v>3.3081903402434092</v>
      </c>
      <c r="F226" s="11">
        <f t="shared" ref="F226" si="153">SUM(D226:E226)</f>
        <v>-0.20585944498354714</v>
      </c>
      <c r="G226" s="200">
        <f t="shared" si="149"/>
        <v>1.8595082077323521E-2</v>
      </c>
    </row>
    <row r="227" spans="1:7" x14ac:dyDescent="0.2">
      <c r="A227" t="str">
        <f t="shared" si="145"/>
        <v>61 Caring personal service occupations</v>
      </c>
      <c r="B227" s="11">
        <v>50.482602325723718</v>
      </c>
      <c r="C227" s="11">
        <v>37.41128407755857</v>
      </c>
      <c r="D227" s="11">
        <f>C227-B227</f>
        <v>-13.071318248165149</v>
      </c>
      <c r="E227" s="11">
        <v>23.059668197687873</v>
      </c>
      <c r="F227" s="11">
        <f>SUM(D227:E227)</f>
        <v>9.9883499495227248</v>
      </c>
      <c r="G227" s="200">
        <f t="shared" si="149"/>
        <v>2.5399307925908277E-2</v>
      </c>
    </row>
    <row r="228" spans="1:7" x14ac:dyDescent="0.2">
      <c r="A228" t="str">
        <f t="shared" si="145"/>
        <v>62 Leisure, travel and related personal service occupations</v>
      </c>
      <c r="B228" s="11">
        <v>15.417628344037782</v>
      </c>
      <c r="C228" s="11">
        <v>10.073439794362278</v>
      </c>
      <c r="D228" s="11">
        <f t="shared" ref="D228:D234" si="154">C228-B228</f>
        <v>-5.3441885496755042</v>
      </c>
      <c r="E228" s="11">
        <v>5.9721679637039706</v>
      </c>
      <c r="F228" s="11">
        <f t="shared" ref="F228:F229" si="155">SUM(D228:E228)</f>
        <v>0.62797941402846646</v>
      </c>
      <c r="G228" s="200">
        <f t="shared" si="149"/>
        <v>2.2066777694462303E-2</v>
      </c>
    </row>
    <row r="229" spans="1:7" x14ac:dyDescent="0.2">
      <c r="A229" t="str">
        <f t="shared" si="145"/>
        <v>63 Community and civil enforcement occupations</v>
      </c>
      <c r="B229" s="11">
        <v>0.6700856283168577</v>
      </c>
      <c r="C229" s="11">
        <v>0.51953765743891722</v>
      </c>
      <c r="D229" s="11">
        <f t="shared" si="154"/>
        <v>-0.15054797087794047</v>
      </c>
      <c r="E229" s="11">
        <v>0.21465276891734786</v>
      </c>
      <c r="F229" s="11">
        <f t="shared" si="155"/>
        <v>6.4104798039407385E-2</v>
      </c>
      <c r="G229" s="200">
        <f t="shared" si="149"/>
        <v>1.8698433110217572E-2</v>
      </c>
    </row>
    <row r="230" spans="1:7" x14ac:dyDescent="0.2">
      <c r="A230" t="str">
        <f t="shared" si="145"/>
        <v>71 Sales occupations</v>
      </c>
      <c r="B230" s="11">
        <v>41.686139986289888</v>
      </c>
      <c r="C230" s="11">
        <v>27.831391347727539</v>
      </c>
      <c r="D230" s="11">
        <f t="shared" si="154"/>
        <v>-13.854748638562349</v>
      </c>
      <c r="E230" s="11">
        <v>16.849959779245882</v>
      </c>
      <c r="F230" s="11">
        <f t="shared" ref="F230:F231" si="156">SUM(D230:E230)</f>
        <v>2.9952111406835336</v>
      </c>
      <c r="G230" s="200">
        <f t="shared" si="149"/>
        <v>2.2889702693893677E-2</v>
      </c>
    </row>
    <row r="231" spans="1:7" x14ac:dyDescent="0.2">
      <c r="A231" t="str">
        <f t="shared" si="145"/>
        <v>72 Customer service occupations</v>
      </c>
      <c r="B231" s="11">
        <v>10.449338915103173</v>
      </c>
      <c r="C231" s="11">
        <v>10.993892091544987</v>
      </c>
      <c r="D231" s="11">
        <f t="shared" si="154"/>
        <v>0.54455317644181456</v>
      </c>
      <c r="E231" s="11">
        <v>5.8935977148921488</v>
      </c>
      <c r="F231" s="11">
        <f t="shared" si="156"/>
        <v>6.4381508913339633</v>
      </c>
      <c r="G231" s="200">
        <f t="shared" si="149"/>
        <v>3.0266120815542585E-2</v>
      </c>
    </row>
    <row r="232" spans="1:7" x14ac:dyDescent="0.2">
      <c r="A232" t="str">
        <f t="shared" si="145"/>
        <v>81 Process, plant and machine operatives</v>
      </c>
      <c r="B232" s="11">
        <v>25.906685251828858</v>
      </c>
      <c r="C232" s="11">
        <v>30.432526160417467</v>
      </c>
      <c r="D232" s="11">
        <f t="shared" si="154"/>
        <v>4.5258409085886093</v>
      </c>
      <c r="E232" s="11">
        <v>12.378969039635246</v>
      </c>
      <c r="F232" s="11">
        <f t="shared" ref="F232:F233" si="157">SUM(D232:E232)</f>
        <v>16.904809948223857</v>
      </c>
      <c r="G232" s="200">
        <f t="shared" si="149"/>
        <v>2.6380238324004823E-2</v>
      </c>
    </row>
    <row r="233" spans="1:7" x14ac:dyDescent="0.2">
      <c r="A233" t="str">
        <f t="shared" si="145"/>
        <v>82 Transport and mobile machine drivers and operatives</v>
      </c>
      <c r="B233" s="11">
        <v>32.628981522939021</v>
      </c>
      <c r="C233" s="11">
        <v>34.807413468669083</v>
      </c>
      <c r="D233" s="11">
        <f t="shared" si="154"/>
        <v>2.1784319457300612</v>
      </c>
      <c r="E233" s="11">
        <v>18.524094513683117</v>
      </c>
      <c r="F233" s="11">
        <f t="shared" si="157"/>
        <v>20.702526459413178</v>
      </c>
      <c r="G233" s="200">
        <f t="shared" si="149"/>
        <v>3.0428548343570672E-2</v>
      </c>
    </row>
    <row r="234" spans="1:7" x14ac:dyDescent="0.2">
      <c r="A234" t="str">
        <f t="shared" si="145"/>
        <v>91 Elementary trades and related occupations</v>
      </c>
      <c r="B234" s="11">
        <v>10.849296829772342</v>
      </c>
      <c r="C234" s="11">
        <v>7.5469268770677962</v>
      </c>
      <c r="D234" s="11">
        <f t="shared" si="154"/>
        <v>-3.302369952704546</v>
      </c>
      <c r="E234" s="11">
        <v>3.1875344088431947</v>
      </c>
      <c r="F234" s="11">
        <f t="shared" ref="F234" si="158">SUM(D234:E234)</f>
        <v>-0.11483554386135131</v>
      </c>
      <c r="G234" s="200">
        <f t="shared" si="149"/>
        <v>1.7320585343997497E-2</v>
      </c>
    </row>
    <row r="235" spans="1:7" x14ac:dyDescent="0.2">
      <c r="A235" t="str">
        <f t="shared" si="145"/>
        <v>92 Elementary administration and service occupations</v>
      </c>
      <c r="B235" s="11">
        <v>62.57427141915057</v>
      </c>
      <c r="C235" s="11">
        <v>55.021489124930334</v>
      </c>
      <c r="D235" s="11">
        <f t="shared" ref="D235" si="159">C235-B235</f>
        <v>-7.5527822942202363</v>
      </c>
      <c r="E235" s="11">
        <v>28.428386580703989</v>
      </c>
      <c r="F235" s="11">
        <f t="shared" ref="F235" si="160">SUM(D235:E235)</f>
        <v>20.875604286483753</v>
      </c>
      <c r="G235" s="200">
        <f t="shared" ref="G235" si="161">IF(B235&gt;0,(1+(E235/B235))^(1/($C$6-$B$6))-1,0)</f>
        <v>2.5283303504318511E-2</v>
      </c>
    </row>
    <row r="236" spans="1:7" x14ac:dyDescent="0.2">
      <c r="A236" t="str">
        <f t="shared" si="145"/>
        <v>All occupations</v>
      </c>
      <c r="B236" s="11">
        <f>SUM(B210:B235)</f>
        <v>497.25386739097837</v>
      </c>
      <c r="C236" s="11">
        <f t="shared" ref="C236:F236" si="162">SUM(C210:C235)</f>
        <v>384.79903691566773</v>
      </c>
      <c r="D236" s="11">
        <f t="shared" si="162"/>
        <v>-112.45483047531071</v>
      </c>
      <c r="E236" s="11">
        <f t="shared" si="162"/>
        <v>203.37852299288124</v>
      </c>
      <c r="F236" s="11">
        <f t="shared" si="162"/>
        <v>90.923692517570601</v>
      </c>
      <c r="G236" s="200">
        <f t="shared" si="149"/>
        <v>2.3122108627777083E-2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74">
        <f t="shared" ref="B238:G238" si="163">B151</f>
        <v>2020</v>
      </c>
      <c r="C238" s="74">
        <f t="shared" si="163"/>
        <v>2035</v>
      </c>
      <c r="D238" s="87" t="str">
        <f t="shared" si="163"/>
        <v>Net Change</v>
      </c>
      <c r="E238" s="87" t="str">
        <f t="shared" si="163"/>
        <v>Replacement Demand level</v>
      </c>
      <c r="F238" s="87" t="str">
        <f t="shared" si="163"/>
        <v>Total Requirement</v>
      </c>
      <c r="G238" s="87" t="str">
        <f t="shared" si="163"/>
        <v>Replacement Demand rate</v>
      </c>
    </row>
    <row r="239" spans="1:7" x14ac:dyDescent="0.2">
      <c r="A239" t="str">
        <f t="shared" ref="A239:A265" si="164">A152</f>
        <v>11 Corporate managers and directors</v>
      </c>
      <c r="B239" s="11">
        <v>19.332420395558426</v>
      </c>
      <c r="C239" s="11">
        <v>12.37099524291232</v>
      </c>
      <c r="D239" s="11">
        <f>C239-B239</f>
        <v>-6.9614251526461057</v>
      </c>
      <c r="E239" s="11">
        <v>6.9690181494704824</v>
      </c>
      <c r="F239" s="11">
        <f>SUM(D239:E239)</f>
        <v>7.592996824376641E-3</v>
      </c>
      <c r="G239" s="200">
        <f>IF(B239&gt;0,(1+(E239/B239))^(1/($C$6-$B$6))-1,0)</f>
        <v>2.073471384631409E-2</v>
      </c>
    </row>
    <row r="240" spans="1:7" x14ac:dyDescent="0.2">
      <c r="A240" t="str">
        <f t="shared" si="164"/>
        <v>12 Other managers and proprietors</v>
      </c>
      <c r="B240" s="11">
        <v>10.148475644988521</v>
      </c>
      <c r="C240" s="11">
        <v>7.686338831201458</v>
      </c>
      <c r="D240" s="11">
        <f t="shared" ref="D240:D255" si="165">C240-B240</f>
        <v>-2.4621368137870627</v>
      </c>
      <c r="E240" s="11">
        <v>4.4698037882129604</v>
      </c>
      <c r="F240" s="11">
        <f t="shared" ref="F240:F247" si="166">SUM(D240:E240)</f>
        <v>2.0076669744258977</v>
      </c>
      <c r="G240" s="200">
        <f t="shared" ref="G240:G242" si="167">IF(B240&gt;0,(1+(E240/B240))^(1/($C$6-$B$6))-1,0)</f>
        <v>2.462833825098576E-2</v>
      </c>
    </row>
    <row r="241" spans="1:7" x14ac:dyDescent="0.2">
      <c r="A241" t="str">
        <f t="shared" si="164"/>
        <v>21 Science, research, engineering and technology professionals</v>
      </c>
      <c r="B241" s="11">
        <v>9.3003886844387598</v>
      </c>
      <c r="C241" s="11">
        <v>5.8310060387437677</v>
      </c>
      <c r="D241" s="11">
        <f t="shared" si="165"/>
        <v>-3.4693826456949921</v>
      </c>
      <c r="E241" s="11">
        <v>2.4428778553540424</v>
      </c>
      <c r="F241" s="11">
        <f t="shared" si="166"/>
        <v>-1.0265047903409497</v>
      </c>
      <c r="G241" s="200">
        <f t="shared" si="167"/>
        <v>1.5669757855689914E-2</v>
      </c>
    </row>
    <row r="242" spans="1:7" x14ac:dyDescent="0.2">
      <c r="A242" t="str">
        <f t="shared" si="164"/>
        <v>22 Health professionals</v>
      </c>
      <c r="B242" s="11">
        <v>4.2210347614891681</v>
      </c>
      <c r="C242" s="11">
        <v>3.2419221579337649</v>
      </c>
      <c r="D242" s="11">
        <f t="shared" si="165"/>
        <v>-0.97911260355540319</v>
      </c>
      <c r="E242" s="11">
        <v>1.7649564189093951</v>
      </c>
      <c r="F242" s="11">
        <f t="shared" si="166"/>
        <v>0.78584381535399195</v>
      </c>
      <c r="G242" s="200">
        <f t="shared" si="167"/>
        <v>2.3562758995743671E-2</v>
      </c>
    </row>
    <row r="243" spans="1:7" x14ac:dyDescent="0.2">
      <c r="A243" t="str">
        <f t="shared" si="164"/>
        <v>23 Teaching and other educational professionals</v>
      </c>
      <c r="B243" s="11">
        <v>2.5871366115392584</v>
      </c>
      <c r="C243" s="11">
        <v>1.872155749348116</v>
      </c>
      <c r="D243" s="11">
        <f t="shared" si="165"/>
        <v>-0.71498086219114243</v>
      </c>
      <c r="E243" s="11">
        <v>1.0321589363060704</v>
      </c>
      <c r="F243" s="11">
        <f t="shared" si="166"/>
        <v>0.31717807411492793</v>
      </c>
      <c r="G243" s="200">
        <f>IF(B243&gt;0,(1+(E243/B243))^(1/($C$6-$B$6))-1,0)</f>
        <v>2.2634199258044108E-2</v>
      </c>
    </row>
    <row r="244" spans="1:7" x14ac:dyDescent="0.2">
      <c r="A244" t="str">
        <f t="shared" si="164"/>
        <v>24 Business, media and public service professionals</v>
      </c>
      <c r="B244" s="11">
        <v>9.8764310819350012</v>
      </c>
      <c r="C244" s="11">
        <v>6.6561335551437697</v>
      </c>
      <c r="D244" s="11">
        <f t="shared" si="165"/>
        <v>-3.2202975267912315</v>
      </c>
      <c r="E244" s="11">
        <v>3.5713668043647893</v>
      </c>
      <c r="F244" s="11">
        <f t="shared" si="166"/>
        <v>0.35106927757355777</v>
      </c>
      <c r="G244" s="200">
        <f t="shared" ref="G244:G265" si="168">IF(B244&gt;0,(1+(E244/B244))^(1/($C$6-$B$6))-1,0)</f>
        <v>2.0790788520310244E-2</v>
      </c>
    </row>
    <row r="245" spans="1:7" x14ac:dyDescent="0.2">
      <c r="A245" t="str">
        <f t="shared" si="164"/>
        <v>31 Science, engineering and technology associate professionals</v>
      </c>
      <c r="B245" s="11">
        <v>6.2121345829137935</v>
      </c>
      <c r="C245" s="11">
        <v>3.7614285833054959</v>
      </c>
      <c r="D245" s="11">
        <f t="shared" si="165"/>
        <v>-2.4507059996082976</v>
      </c>
      <c r="E245" s="11">
        <v>1.6929938909689859</v>
      </c>
      <c r="F245" s="11">
        <f t="shared" si="166"/>
        <v>-0.75771210863931171</v>
      </c>
      <c r="G245" s="200">
        <f>IF(B245&gt;0,(1+(E245/B245))^(1/($C$6-$B$6))-1,0)</f>
        <v>1.619691414784219E-2</v>
      </c>
    </row>
    <row r="246" spans="1:7" x14ac:dyDescent="0.2">
      <c r="A246" t="str">
        <f t="shared" si="164"/>
        <v>32 Health and social care associate professionals</v>
      </c>
      <c r="B246" s="11">
        <v>1.9978622916732287</v>
      </c>
      <c r="C246" s="11">
        <v>1.2253545548770686</v>
      </c>
      <c r="D246" s="11">
        <f t="shared" si="165"/>
        <v>-0.77250773679616014</v>
      </c>
      <c r="E246" s="11">
        <v>0.72039473453131719</v>
      </c>
      <c r="F246" s="11">
        <f t="shared" si="166"/>
        <v>-5.2113002264842945E-2</v>
      </c>
      <c r="G246" s="200">
        <f t="shared" si="168"/>
        <v>2.0739680452789955E-2</v>
      </c>
    </row>
    <row r="247" spans="1:7" x14ac:dyDescent="0.2">
      <c r="A247" t="str">
        <f t="shared" si="164"/>
        <v>33 Protective service occupations</v>
      </c>
      <c r="B247" s="11">
        <v>3.2146274251961078</v>
      </c>
      <c r="C247" s="11">
        <v>2.3592644978212935</v>
      </c>
      <c r="D247" s="11">
        <f t="shared" si="165"/>
        <v>-0.85536292737481423</v>
      </c>
      <c r="E247" s="11">
        <v>0.99828614887866451</v>
      </c>
      <c r="F247" s="11">
        <f t="shared" si="166"/>
        <v>0.14292322150385028</v>
      </c>
      <c r="G247" s="200">
        <f t="shared" si="168"/>
        <v>1.8193046859769302E-2</v>
      </c>
    </row>
    <row r="248" spans="1:7" x14ac:dyDescent="0.2">
      <c r="A248" t="str">
        <f t="shared" si="164"/>
        <v>34 Culture, media and sports occupations</v>
      </c>
      <c r="B248" s="11">
        <v>2.1579825766016785</v>
      </c>
      <c r="C248" s="11">
        <v>1.2564212840620215</v>
      </c>
      <c r="D248" s="11">
        <f t="shared" si="165"/>
        <v>-0.901561292539657</v>
      </c>
      <c r="E248" s="11">
        <v>0.62306547597740891</v>
      </c>
      <c r="F248" s="11">
        <f t="shared" ref="F248:F249" si="169">SUM(D248:E248)</f>
        <v>-0.27849581656224809</v>
      </c>
      <c r="G248" s="200">
        <f t="shared" si="168"/>
        <v>1.7054058719204512E-2</v>
      </c>
    </row>
    <row r="249" spans="1:7" x14ac:dyDescent="0.2">
      <c r="A249" t="str">
        <f t="shared" si="164"/>
        <v>35 Business and public service associate professionals</v>
      </c>
      <c r="B249" s="11">
        <v>13.630872494131557</v>
      </c>
      <c r="C249" s="11">
        <v>7.1277984505214302</v>
      </c>
      <c r="D249" s="11">
        <f t="shared" si="165"/>
        <v>-6.5030740436101269</v>
      </c>
      <c r="E249" s="11">
        <v>3.7230227506538149</v>
      </c>
      <c r="F249" s="11">
        <f t="shared" si="169"/>
        <v>-2.7800512929563119</v>
      </c>
      <c r="G249" s="200">
        <f t="shared" si="168"/>
        <v>1.6228930398403341E-2</v>
      </c>
    </row>
    <row r="250" spans="1:7" x14ac:dyDescent="0.2">
      <c r="A250" t="str">
        <f t="shared" si="164"/>
        <v>41 Administrative occupations</v>
      </c>
      <c r="B250" s="11">
        <v>23.355806917935499</v>
      </c>
      <c r="C250" s="11">
        <v>6.5839203695082427</v>
      </c>
      <c r="D250" s="11">
        <f t="shared" si="165"/>
        <v>-16.771886548427258</v>
      </c>
      <c r="E250" s="11">
        <v>4.8987544923374475</v>
      </c>
      <c r="F250" s="11">
        <f t="shared" ref="F250:F253" si="170">SUM(D250:E250)</f>
        <v>-11.87313205608981</v>
      </c>
      <c r="G250" s="200">
        <f t="shared" si="168"/>
        <v>1.2774861320939745E-2</v>
      </c>
    </row>
    <row r="251" spans="1:7" x14ac:dyDescent="0.2">
      <c r="A251" t="str">
        <f t="shared" si="164"/>
        <v>42 Secretarial and related occupations</v>
      </c>
      <c r="B251" s="11">
        <v>9.0285930390702145</v>
      </c>
      <c r="C251" s="11">
        <v>1.9574922902583407</v>
      </c>
      <c r="D251" s="11">
        <f t="shared" si="165"/>
        <v>-7.0711007488118742</v>
      </c>
      <c r="E251" s="11">
        <v>1.8866731571103732</v>
      </c>
      <c r="F251" s="11">
        <f t="shared" si="170"/>
        <v>-5.1844275917015015</v>
      </c>
      <c r="G251" s="200">
        <f t="shared" si="168"/>
        <v>1.2731418614146728E-2</v>
      </c>
    </row>
    <row r="252" spans="1:7" x14ac:dyDescent="0.2">
      <c r="A252" t="str">
        <f t="shared" si="164"/>
        <v>51 Skilled agricultural and related trades</v>
      </c>
      <c r="B252" s="11">
        <v>5.9954490114478309</v>
      </c>
      <c r="C252" s="11">
        <v>3.3546430490832826</v>
      </c>
      <c r="D252" s="11">
        <f t="shared" si="165"/>
        <v>-2.6408059623645483</v>
      </c>
      <c r="E252" s="11">
        <v>2.0653368029373662</v>
      </c>
      <c r="F252" s="11">
        <f t="shared" si="170"/>
        <v>-0.57546915942718213</v>
      </c>
      <c r="G252" s="200">
        <f t="shared" si="168"/>
        <v>1.9930027311224396E-2</v>
      </c>
    </row>
    <row r="253" spans="1:7" x14ac:dyDescent="0.2">
      <c r="A253" t="str">
        <f t="shared" si="164"/>
        <v>52 Skilled metal, electrical and electronic trades</v>
      </c>
      <c r="B253" s="11">
        <v>10.522196265906457</v>
      </c>
      <c r="C253" s="11">
        <v>4.8690275592509709</v>
      </c>
      <c r="D253" s="11">
        <f t="shared" si="165"/>
        <v>-5.6531687066554861</v>
      </c>
      <c r="E253" s="11">
        <v>2.8369687243419661</v>
      </c>
      <c r="F253" s="11">
        <f t="shared" si="170"/>
        <v>-2.81619998231352</v>
      </c>
      <c r="G253" s="200">
        <f t="shared" si="168"/>
        <v>1.6041688827946432E-2</v>
      </c>
    </row>
    <row r="254" spans="1:7" x14ac:dyDescent="0.2">
      <c r="A254" t="str">
        <f t="shared" si="164"/>
        <v>53 Skilled construction and building trades</v>
      </c>
      <c r="B254" s="11">
        <v>8.2204700862459923</v>
      </c>
      <c r="C254" s="11">
        <v>5.1002478075720417</v>
      </c>
      <c r="D254" s="11">
        <f t="shared" si="165"/>
        <v>-3.1202222786739506</v>
      </c>
      <c r="E254" s="11">
        <v>2.7979865831837984</v>
      </c>
      <c r="F254" s="11">
        <f t="shared" ref="F254" si="171">SUM(D254:E254)</f>
        <v>-0.32223569549015219</v>
      </c>
      <c r="G254" s="200">
        <f t="shared" si="168"/>
        <v>1.9721573980987284E-2</v>
      </c>
    </row>
    <row r="255" spans="1:7" x14ac:dyDescent="0.2">
      <c r="A255" t="str">
        <f t="shared" si="164"/>
        <v>54 Textiles, printing and other skilled trades</v>
      </c>
      <c r="B255" s="11">
        <v>8.6192550552444676</v>
      </c>
      <c r="C255" s="11">
        <v>5.9191595188197237</v>
      </c>
      <c r="D255" s="11">
        <f t="shared" si="165"/>
        <v>-2.7000955364247439</v>
      </c>
      <c r="E255" s="11">
        <v>2.6393962394746899</v>
      </c>
      <c r="F255" s="11">
        <f t="shared" ref="F255" si="172">SUM(D255:E255)</f>
        <v>-6.0699296950053938E-2</v>
      </c>
      <c r="G255" s="200">
        <f t="shared" si="168"/>
        <v>1.7968741414439604E-2</v>
      </c>
    </row>
    <row r="256" spans="1:7" x14ac:dyDescent="0.2">
      <c r="A256" t="str">
        <f t="shared" si="164"/>
        <v>61 Caring personal service occupations</v>
      </c>
      <c r="B256" s="11">
        <v>8.1037806074152972</v>
      </c>
      <c r="C256" s="11">
        <v>3.9180476562231279</v>
      </c>
      <c r="D256" s="11">
        <f>C256-B256</f>
        <v>-4.1857329511921693</v>
      </c>
      <c r="E256" s="11">
        <v>1.7500947612840698</v>
      </c>
      <c r="F256" s="11">
        <f>SUM(D256:E256)</f>
        <v>-2.4356381899080994</v>
      </c>
      <c r="G256" s="200">
        <f t="shared" si="168"/>
        <v>1.3120942050245166E-2</v>
      </c>
    </row>
    <row r="257" spans="1:7" x14ac:dyDescent="0.2">
      <c r="A257" t="str">
        <f t="shared" si="164"/>
        <v>62 Leisure, travel and related personal service occupations</v>
      </c>
      <c r="B257" s="11">
        <v>10.09804674790823</v>
      </c>
      <c r="C257" s="11">
        <v>8.320676890050855</v>
      </c>
      <c r="D257" s="11">
        <f t="shared" ref="D257:D263" si="173">C257-B257</f>
        <v>-1.7773698578573747</v>
      </c>
      <c r="E257" s="11">
        <v>4.0686682774151945</v>
      </c>
      <c r="F257" s="11">
        <f t="shared" ref="F257:F258" si="174">SUM(D257:E257)</f>
        <v>2.2912984195578199</v>
      </c>
      <c r="G257" s="200">
        <f t="shared" si="168"/>
        <v>2.2826846836518477E-2</v>
      </c>
    </row>
    <row r="258" spans="1:7" x14ac:dyDescent="0.2">
      <c r="A258" t="str">
        <f t="shared" si="164"/>
        <v>63 Community and civil enforcement occupations</v>
      </c>
      <c r="B258" s="11">
        <v>0.58722615952340285</v>
      </c>
      <c r="C258" s="11">
        <v>0.36382675255776142</v>
      </c>
      <c r="D258" s="11">
        <f t="shared" si="173"/>
        <v>-0.22339940696564142</v>
      </c>
      <c r="E258" s="11">
        <v>0.17281393947367785</v>
      </c>
      <c r="F258" s="11">
        <f t="shared" si="174"/>
        <v>-5.0585467491963576E-2</v>
      </c>
      <c r="G258" s="200">
        <f t="shared" si="168"/>
        <v>1.734613801278484E-2</v>
      </c>
    </row>
    <row r="259" spans="1:7" x14ac:dyDescent="0.2">
      <c r="A259" t="str">
        <f t="shared" si="164"/>
        <v>71 Sales occupations</v>
      </c>
      <c r="B259" s="11">
        <v>27.729304361046662</v>
      </c>
      <c r="C259" s="11">
        <v>8.0159273681839398</v>
      </c>
      <c r="D259" s="11">
        <f t="shared" si="173"/>
        <v>-19.71337699286272</v>
      </c>
      <c r="E259" s="11">
        <v>6.5303545559820293</v>
      </c>
      <c r="F259" s="11">
        <f t="shared" ref="F259:F260" si="175">SUM(D259:E259)</f>
        <v>-13.183022436880691</v>
      </c>
      <c r="G259" s="200">
        <f t="shared" si="168"/>
        <v>1.4198438017046122E-2</v>
      </c>
    </row>
    <row r="260" spans="1:7" x14ac:dyDescent="0.2">
      <c r="A260" t="str">
        <f t="shared" si="164"/>
        <v>72 Customer service occupations</v>
      </c>
      <c r="B260" s="11">
        <v>4.8694243217999551</v>
      </c>
      <c r="C260" s="11">
        <v>3.5799566681664814</v>
      </c>
      <c r="D260" s="11">
        <f t="shared" si="173"/>
        <v>-1.2894676536334737</v>
      </c>
      <c r="E260" s="11">
        <v>1.525379264006927</v>
      </c>
      <c r="F260" s="11">
        <f t="shared" si="175"/>
        <v>0.23591161037345332</v>
      </c>
      <c r="G260" s="200">
        <f t="shared" si="168"/>
        <v>1.8333363237259759E-2</v>
      </c>
    </row>
    <row r="261" spans="1:7" x14ac:dyDescent="0.2">
      <c r="A261" t="str">
        <f t="shared" si="164"/>
        <v>81 Process, plant and machine operatives</v>
      </c>
      <c r="B261" s="11">
        <v>21.310007740614683</v>
      </c>
      <c r="C261" s="11">
        <v>11.26294814236228</v>
      </c>
      <c r="D261" s="11">
        <f t="shared" si="173"/>
        <v>-10.047059598252403</v>
      </c>
      <c r="E261" s="11">
        <v>6.7228857333148468</v>
      </c>
      <c r="F261" s="11">
        <f t="shared" ref="F261:F262" si="176">SUM(D261:E261)</f>
        <v>-3.3241738649375563</v>
      </c>
      <c r="G261" s="200">
        <f t="shared" si="168"/>
        <v>1.844822267616264E-2</v>
      </c>
    </row>
    <row r="262" spans="1:7" x14ac:dyDescent="0.2">
      <c r="A262" t="str">
        <f t="shared" si="164"/>
        <v>82 Transport and mobile machine drivers and operatives</v>
      </c>
      <c r="B262" s="11">
        <v>28.124361974389828</v>
      </c>
      <c r="C262" s="11">
        <v>17.205236560612903</v>
      </c>
      <c r="D262" s="11">
        <f t="shared" si="173"/>
        <v>-10.919125413776925</v>
      </c>
      <c r="E262" s="11">
        <v>10.984670927534113</v>
      </c>
      <c r="F262" s="11">
        <f t="shared" si="176"/>
        <v>6.554551375718809E-2</v>
      </c>
      <c r="G262" s="200">
        <f t="shared" si="168"/>
        <v>2.2224517803749233E-2</v>
      </c>
    </row>
    <row r="263" spans="1:7" x14ac:dyDescent="0.2">
      <c r="A263" t="str">
        <f t="shared" si="164"/>
        <v>91 Elementary trades and related occupations</v>
      </c>
      <c r="B263" s="11">
        <v>15.235790674416139</v>
      </c>
      <c r="C263" s="11">
        <v>8.9600084439763652</v>
      </c>
      <c r="D263" s="11">
        <f t="shared" si="173"/>
        <v>-6.2757822304397735</v>
      </c>
      <c r="E263" s="11">
        <v>4.4827118852737327</v>
      </c>
      <c r="F263" s="11">
        <f t="shared" ref="F263" si="177">SUM(D263:E263)</f>
        <v>-1.7930703451660408</v>
      </c>
      <c r="G263" s="200">
        <f t="shared" si="168"/>
        <v>1.7342674546573678E-2</v>
      </c>
    </row>
    <row r="264" spans="1:7" x14ac:dyDescent="0.2">
      <c r="A264" t="str">
        <f t="shared" si="164"/>
        <v>92 Elementary administration and service occupations</v>
      </c>
      <c r="B264" s="11">
        <v>56.746439080394438</v>
      </c>
      <c r="C264" s="11">
        <v>36.052980606925281</v>
      </c>
      <c r="D264" s="11">
        <f t="shared" ref="D264" si="178">C264-B264</f>
        <v>-20.693458473469157</v>
      </c>
      <c r="E264" s="11">
        <v>19.241296631417661</v>
      </c>
      <c r="F264" s="11">
        <f t="shared" ref="F264" si="179">SUM(D264:E264)</f>
        <v>-1.4521618420514955</v>
      </c>
      <c r="G264" s="200">
        <f t="shared" ref="G264" si="180">IF(B264&gt;0,(1+(E264/B264))^(1/($C$6-$B$6))-1,0)</f>
        <v>1.9655953468050269E-2</v>
      </c>
    </row>
    <row r="265" spans="1:7" x14ac:dyDescent="0.2">
      <c r="A265" t="str">
        <f t="shared" si="164"/>
        <v>All occupations</v>
      </c>
      <c r="B265" s="11">
        <f>SUM(B239:B264)</f>
        <v>321.22551859382463</v>
      </c>
      <c r="C265" s="11">
        <f t="shared" ref="C265:F265" si="181">SUM(C239:C264)</f>
        <v>178.85291862942211</v>
      </c>
      <c r="D265" s="11">
        <f t="shared" si="181"/>
        <v>-142.3725999644025</v>
      </c>
      <c r="E265" s="11">
        <f t="shared" si="181"/>
        <v>100.61193692871583</v>
      </c>
      <c r="F265" s="11">
        <f t="shared" si="181"/>
        <v>-41.760663035686676</v>
      </c>
      <c r="G265" s="200">
        <f t="shared" si="168"/>
        <v>1.8331098258693723E-2</v>
      </c>
    </row>
    <row r="267" spans="1:7" ht="38.25" x14ac:dyDescent="0.2">
      <c r="A267" s="201" t="str">
        <f>CONCATENATE(name!F12," (Constrained)")</f>
        <v>No Qualification (Constrained)</v>
      </c>
      <c r="B267" s="74">
        <f t="shared" ref="B267:G267" si="182">B180</f>
        <v>2020</v>
      </c>
      <c r="C267" s="74">
        <f t="shared" si="182"/>
        <v>2035</v>
      </c>
      <c r="D267" s="87" t="str">
        <f t="shared" si="182"/>
        <v>Net Change</v>
      </c>
      <c r="E267" s="87" t="str">
        <f t="shared" si="182"/>
        <v>Replacement Demand level</v>
      </c>
      <c r="F267" s="87" t="str">
        <f t="shared" si="182"/>
        <v>Total Requirement</v>
      </c>
      <c r="G267" s="87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3.1376067236630178</v>
      </c>
      <c r="C268" s="11">
        <v>2.5984040364872523</v>
      </c>
      <c r="D268" s="11">
        <f>C268-B268</f>
        <v>-0.53920268717576558</v>
      </c>
      <c r="E268" s="11">
        <v>0.99104259659594085</v>
      </c>
      <c r="F268" s="11">
        <f>SUM(D268:E268)</f>
        <v>0.45183990942017527</v>
      </c>
      <c r="G268" s="200">
        <f>IF(B268&gt;0,(1+(E268/B268))^(1/($C$6-$B$6))-1,0)</f>
        <v>1.8467791650200294E-2</v>
      </c>
    </row>
    <row r="269" spans="1:7" x14ac:dyDescent="0.2">
      <c r="A269" t="str">
        <f t="shared" si="183"/>
        <v>12 Other managers and proprietors</v>
      </c>
      <c r="B269" s="11">
        <v>3.1301443634611665</v>
      </c>
      <c r="C269" s="11">
        <v>5.0939949578362258</v>
      </c>
      <c r="D269" s="11">
        <f t="shared" ref="D269:D284" si="184">C269-B269</f>
        <v>1.9638505943750593</v>
      </c>
      <c r="E269" s="11">
        <v>1.7612885829880962</v>
      </c>
      <c r="F269" s="11">
        <f t="shared" ref="F269:F276" si="185">SUM(D269:E269)</f>
        <v>3.7251391773631557</v>
      </c>
      <c r="G269" s="200">
        <f t="shared" ref="G269:G271" si="186">IF(B269&gt;0,(1+(E269/B269))^(1/($C$6-$B$6))-1,0)</f>
        <v>3.0207678342971001E-2</v>
      </c>
    </row>
    <row r="270" spans="1:7" x14ac:dyDescent="0.2">
      <c r="A270" t="str">
        <f t="shared" si="183"/>
        <v>21 Science, research, engineering and technology professionals</v>
      </c>
      <c r="B270" s="11">
        <v>1.6772991746810768</v>
      </c>
      <c r="C270" s="11">
        <v>2.0803011630277841</v>
      </c>
      <c r="D270" s="11">
        <f t="shared" si="184"/>
        <v>0.40300198834670731</v>
      </c>
      <c r="E270" s="11">
        <v>0.61509619098158297</v>
      </c>
      <c r="F270" s="11">
        <f t="shared" si="185"/>
        <v>1.0180981793282902</v>
      </c>
      <c r="G270" s="200">
        <f t="shared" si="186"/>
        <v>2.1045900337188117E-2</v>
      </c>
    </row>
    <row r="271" spans="1:7" x14ac:dyDescent="0.2">
      <c r="A271" t="str">
        <f t="shared" si="183"/>
        <v>22 Health professionals</v>
      </c>
      <c r="B271" s="11">
        <v>0.50450969539552215</v>
      </c>
      <c r="C271" s="11">
        <v>0.72627931656235667</v>
      </c>
      <c r="D271" s="11">
        <f t="shared" si="184"/>
        <v>0.22176962116683452</v>
      </c>
      <c r="E271" s="11">
        <v>0.28171038917836566</v>
      </c>
      <c r="F271" s="11">
        <f t="shared" si="185"/>
        <v>0.50348001034520018</v>
      </c>
      <c r="G271" s="200">
        <f t="shared" si="186"/>
        <v>3.0018380032730496E-2</v>
      </c>
    </row>
    <row r="272" spans="1:7" x14ac:dyDescent="0.2">
      <c r="A272" t="str">
        <f t="shared" si="183"/>
        <v>23 Teaching and other educational professionals</v>
      </c>
      <c r="B272" s="11">
        <v>0.61589309488090538</v>
      </c>
      <c r="C272" s="11">
        <v>0.7580775266882589</v>
      </c>
      <c r="D272" s="11">
        <f t="shared" si="184"/>
        <v>0.14218443180735352</v>
      </c>
      <c r="E272" s="11">
        <v>0.35046287163343404</v>
      </c>
      <c r="F272" s="11">
        <f t="shared" si="185"/>
        <v>0.49264730344078755</v>
      </c>
      <c r="G272" s="200">
        <f>IF(B272&gt;0,(1+(E272/B272))^(1/($C$6-$B$6))-1,0)</f>
        <v>3.0486056760494762E-2</v>
      </c>
    </row>
    <row r="273" spans="1:7" x14ac:dyDescent="0.2">
      <c r="A273" t="str">
        <f t="shared" si="183"/>
        <v>24 Business, media and public service professionals</v>
      </c>
      <c r="B273" s="11">
        <v>1.9193388079295064</v>
      </c>
      <c r="C273" s="11">
        <v>2.0588743323286884</v>
      </c>
      <c r="D273" s="11">
        <f t="shared" si="184"/>
        <v>0.13953552439918204</v>
      </c>
      <c r="E273" s="11">
        <v>0.84733453242334511</v>
      </c>
      <c r="F273" s="11">
        <f t="shared" si="185"/>
        <v>0.98687005682252715</v>
      </c>
      <c r="G273" s="200">
        <f t="shared" ref="G273" si="187">IF(B273&gt;0,(1+(E273/B273))^(1/($C$6-$B$6))-1,0)</f>
        <v>2.4677223227953737E-2</v>
      </c>
    </row>
    <row r="274" spans="1:7" x14ac:dyDescent="0.2">
      <c r="A274" t="str">
        <f t="shared" si="183"/>
        <v>31 Science, engineering and technology associate professionals</v>
      </c>
      <c r="B274" s="11">
        <v>1.0622292991685967</v>
      </c>
      <c r="C274" s="11">
        <v>1.2250335954197367</v>
      </c>
      <c r="D274" s="11">
        <f t="shared" si="184"/>
        <v>0.16280429625114001</v>
      </c>
      <c r="E274" s="11">
        <v>0.47650819099852904</v>
      </c>
      <c r="F274" s="11">
        <f t="shared" si="185"/>
        <v>0.63931248724966905</v>
      </c>
      <c r="G274" s="200">
        <f>IF(B274&gt;0,(1+(E274/B274))^(1/($C$6-$B$6))-1,0)</f>
        <v>2.5013890050796128E-2</v>
      </c>
    </row>
    <row r="275" spans="1:7" x14ac:dyDescent="0.2">
      <c r="A275" t="str">
        <f t="shared" si="183"/>
        <v>32 Health and social care associate professionals</v>
      </c>
      <c r="B275" s="11">
        <v>0.2928042437341184</v>
      </c>
      <c r="C275" s="11">
        <v>0.41339183400768142</v>
      </c>
      <c r="D275" s="11">
        <f t="shared" si="184"/>
        <v>0.12058759027356303</v>
      </c>
      <c r="E275" s="11">
        <v>0.16950574991665465</v>
      </c>
      <c r="F275" s="11">
        <f t="shared" si="185"/>
        <v>0.29009334019021771</v>
      </c>
      <c r="G275" s="200">
        <f t="shared" ref="G275:G292" si="188">IF(B275&gt;0,(1+(E275/B275))^(1/($C$6-$B$6))-1,0)</f>
        <v>3.0917062607614731E-2</v>
      </c>
    </row>
    <row r="276" spans="1:7" x14ac:dyDescent="0.2">
      <c r="A276" t="str">
        <f t="shared" si="183"/>
        <v>33 Protective service occupations</v>
      </c>
      <c r="B276" s="11">
        <v>0.41773733607969721</v>
      </c>
      <c r="C276" s="11">
        <v>0.18273180968772568</v>
      </c>
      <c r="D276" s="11">
        <f t="shared" si="184"/>
        <v>-0.23500552639197153</v>
      </c>
      <c r="E276" s="11">
        <v>7.7272917403306218E-2</v>
      </c>
      <c r="F276" s="11">
        <f t="shared" si="185"/>
        <v>-0.15773260898866531</v>
      </c>
      <c r="G276" s="200">
        <f t="shared" si="188"/>
        <v>1.1379298814613525E-2</v>
      </c>
    </row>
    <row r="277" spans="1:7" x14ac:dyDescent="0.2">
      <c r="A277" t="str">
        <f t="shared" si="183"/>
        <v>34 Culture, media and sports occupations</v>
      </c>
      <c r="B277" s="11">
        <v>0.70239111002273458</v>
      </c>
      <c r="C277" s="11">
        <v>0.62176732646487709</v>
      </c>
      <c r="D277" s="11">
        <f t="shared" si="184"/>
        <v>-8.0623783557857487E-2</v>
      </c>
      <c r="E277" s="11">
        <v>0.25225895879945848</v>
      </c>
      <c r="F277" s="11">
        <f t="shared" ref="F277:F278" si="189">SUM(D277:E277)</f>
        <v>0.17163517524160099</v>
      </c>
      <c r="G277" s="200">
        <f t="shared" si="188"/>
        <v>2.0667642361390737E-2</v>
      </c>
    </row>
    <row r="278" spans="1:7" x14ac:dyDescent="0.2">
      <c r="A278" t="str">
        <f t="shared" si="183"/>
        <v>35 Business and public service associate professionals</v>
      </c>
      <c r="B278" s="11">
        <v>2.3910709297334374</v>
      </c>
      <c r="C278" s="11">
        <v>1.9407087825190998</v>
      </c>
      <c r="D278" s="11">
        <f t="shared" si="184"/>
        <v>-0.45036214721433754</v>
      </c>
      <c r="E278" s="11">
        <v>0.74332152779327521</v>
      </c>
      <c r="F278" s="11">
        <f t="shared" si="189"/>
        <v>0.29295938057893767</v>
      </c>
      <c r="G278" s="200">
        <f t="shared" si="188"/>
        <v>1.8210085064627846E-2</v>
      </c>
    </row>
    <row r="279" spans="1:7" x14ac:dyDescent="0.2">
      <c r="A279" t="str">
        <f t="shared" si="183"/>
        <v>41 Administrative occupations</v>
      </c>
      <c r="B279" s="11">
        <v>4.5772702568579371</v>
      </c>
      <c r="C279" s="11">
        <v>2.5787522387252824</v>
      </c>
      <c r="D279" s="11">
        <f t="shared" si="184"/>
        <v>-1.9985180181326547</v>
      </c>
      <c r="E279" s="11">
        <v>1.257213836640916</v>
      </c>
      <c r="F279" s="11">
        <f t="shared" ref="F279:F282" si="190">SUM(D279:E279)</f>
        <v>-0.74130418149173871</v>
      </c>
      <c r="G279" s="200">
        <f t="shared" si="188"/>
        <v>1.6310455876933805E-2</v>
      </c>
    </row>
    <row r="280" spans="1:7" x14ac:dyDescent="0.2">
      <c r="A280" t="str">
        <f t="shared" si="183"/>
        <v>42 Secretarial and related occupations</v>
      </c>
      <c r="B280" s="11">
        <v>2.0489624444942627</v>
      </c>
      <c r="C280" s="11">
        <v>2.3041874826993869</v>
      </c>
      <c r="D280" s="11">
        <f t="shared" si="184"/>
        <v>0.25522503820512421</v>
      </c>
      <c r="E280" s="11">
        <v>1.1513668120911742</v>
      </c>
      <c r="F280" s="11">
        <f t="shared" si="190"/>
        <v>1.4065918502962984</v>
      </c>
      <c r="G280" s="200">
        <f t="shared" si="188"/>
        <v>3.0174299204599908E-2</v>
      </c>
    </row>
    <row r="281" spans="1:7" x14ac:dyDescent="0.2">
      <c r="A281" t="str">
        <f t="shared" si="183"/>
        <v>51 Skilled agricultural and related trades</v>
      </c>
      <c r="B281" s="11">
        <v>3.4407206432552813</v>
      </c>
      <c r="C281" s="11">
        <v>2.5286027584862314</v>
      </c>
      <c r="D281" s="11">
        <f t="shared" si="184"/>
        <v>-0.91211788476904987</v>
      </c>
      <c r="E281" s="11">
        <v>1.1288583786840125</v>
      </c>
      <c r="F281" s="11">
        <f t="shared" si="190"/>
        <v>0.21674049391496264</v>
      </c>
      <c r="G281" s="200">
        <f t="shared" si="188"/>
        <v>1.9096050748794946E-2</v>
      </c>
    </row>
    <row r="282" spans="1:7" x14ac:dyDescent="0.2">
      <c r="A282" t="str">
        <f t="shared" si="183"/>
        <v>52 Skilled metal, electrical and electronic trades</v>
      </c>
      <c r="B282" s="11">
        <v>3.5770960825427496</v>
      </c>
      <c r="C282" s="11">
        <v>2.5974405874808504</v>
      </c>
      <c r="D282" s="11">
        <f t="shared" si="184"/>
        <v>-0.9796554950618992</v>
      </c>
      <c r="E282" s="11">
        <v>1.0766483216123637</v>
      </c>
      <c r="F282" s="11">
        <f t="shared" si="190"/>
        <v>9.6992826550464484E-2</v>
      </c>
      <c r="G282" s="200">
        <f t="shared" si="188"/>
        <v>1.7696141866273551E-2</v>
      </c>
    </row>
    <row r="283" spans="1:7" x14ac:dyDescent="0.2">
      <c r="A283" t="str">
        <f t="shared" si="183"/>
        <v>53 Skilled construction and building trades</v>
      </c>
      <c r="B283" s="11">
        <v>3.3439488251859011</v>
      </c>
      <c r="C283" s="11">
        <v>1.1030521879978965</v>
      </c>
      <c r="D283" s="11">
        <f t="shared" si="184"/>
        <v>-2.2408966371880048</v>
      </c>
      <c r="E283" s="11">
        <v>0.68569553198444355</v>
      </c>
      <c r="F283" s="11">
        <f t="shared" ref="F283" si="191">SUM(D283:E283)</f>
        <v>-1.5552011052035613</v>
      </c>
      <c r="G283" s="200">
        <f t="shared" si="188"/>
        <v>1.2512685463325735E-2</v>
      </c>
    </row>
    <row r="284" spans="1:7" x14ac:dyDescent="0.2">
      <c r="A284" t="str">
        <f t="shared" si="183"/>
        <v>54 Textiles, printing and other skilled trades</v>
      </c>
      <c r="B284" s="11">
        <v>2.9939452355082508</v>
      </c>
      <c r="C284" s="11">
        <v>1.5493130153935777</v>
      </c>
      <c r="D284" s="11">
        <f t="shared" si="184"/>
        <v>-1.4446322201146731</v>
      </c>
      <c r="E284" s="11">
        <v>0.67780844270153817</v>
      </c>
      <c r="F284" s="11">
        <f t="shared" ref="F284" si="192">SUM(D284:E284)</f>
        <v>-0.7668237774131349</v>
      </c>
      <c r="G284" s="200">
        <f t="shared" si="188"/>
        <v>1.3698131002529923E-2</v>
      </c>
    </row>
    <row r="285" spans="1:7" x14ac:dyDescent="0.2">
      <c r="A285" t="str">
        <f t="shared" si="183"/>
        <v>61 Caring personal service occupations</v>
      </c>
      <c r="B285" s="11">
        <v>1.5897251077980727</v>
      </c>
      <c r="C285" s="11">
        <v>2.460905767105976</v>
      </c>
      <c r="D285" s="11">
        <f>C285-B285</f>
        <v>0.87118065930790323</v>
      </c>
      <c r="E285" s="11">
        <v>0.65505360419151115</v>
      </c>
      <c r="F285" s="11">
        <f>SUM(D285:E285)</f>
        <v>1.5262342634994144</v>
      </c>
      <c r="G285" s="200">
        <f t="shared" si="188"/>
        <v>2.326966624239013E-2</v>
      </c>
    </row>
    <row r="286" spans="1:7" x14ac:dyDescent="0.2">
      <c r="A286" t="str">
        <f t="shared" si="183"/>
        <v>62 Leisure, travel and related personal service occupations</v>
      </c>
      <c r="B286" s="11">
        <v>2.2544484343525872</v>
      </c>
      <c r="C286" s="11">
        <v>1.1807645212052753</v>
      </c>
      <c r="D286" s="11">
        <f t="shared" ref="D286:D292" si="193">C286-B286</f>
        <v>-1.0736839131473119</v>
      </c>
      <c r="E286" s="11">
        <v>0.57587884736946438</v>
      </c>
      <c r="F286" s="11">
        <f t="shared" ref="F286:F287" si="194">SUM(D286:E286)</f>
        <v>-0.49780506577784756</v>
      </c>
      <c r="G286" s="200">
        <f t="shared" si="188"/>
        <v>1.528138471608953E-2</v>
      </c>
    </row>
    <row r="287" spans="1:7" x14ac:dyDescent="0.2">
      <c r="A287" t="str">
        <f t="shared" si="183"/>
        <v>63 Community and civil enforcement occupations</v>
      </c>
      <c r="B287" s="11">
        <v>0.12367587045570863</v>
      </c>
      <c r="C287" s="11">
        <v>5.6564531767459833E-2</v>
      </c>
      <c r="D287" s="11">
        <f t="shared" si="193"/>
        <v>-6.7111338688248798E-2</v>
      </c>
      <c r="E287" s="11">
        <v>1.86261558706474E-2</v>
      </c>
      <c r="F287" s="11">
        <f t="shared" si="194"/>
        <v>-4.8485182817601398E-2</v>
      </c>
      <c r="G287" s="200">
        <f t="shared" si="188"/>
        <v>9.3963746194751785E-3</v>
      </c>
    </row>
    <row r="288" spans="1:7" x14ac:dyDescent="0.2">
      <c r="A288" t="str">
        <f t="shared" si="183"/>
        <v>71 Sales occupations</v>
      </c>
      <c r="B288" s="11">
        <v>8.2722120469202967</v>
      </c>
      <c r="C288" s="11">
        <v>4.3660878953942159</v>
      </c>
      <c r="D288" s="11">
        <f t="shared" si="193"/>
        <v>-3.9061241515260807</v>
      </c>
      <c r="E288" s="11">
        <v>1.654208334663275</v>
      </c>
      <c r="F288" s="11">
        <f t="shared" ref="F288:F289" si="195">SUM(D288:E288)</f>
        <v>-2.2519158168628057</v>
      </c>
      <c r="G288" s="200">
        <f t="shared" si="188"/>
        <v>1.2227348604769706E-2</v>
      </c>
    </row>
    <row r="289" spans="1:7" x14ac:dyDescent="0.2">
      <c r="A289" t="str">
        <f t="shared" si="183"/>
        <v>72 Customer service occupations</v>
      </c>
      <c r="B289" s="11">
        <v>1.3551899694452725</v>
      </c>
      <c r="C289" s="11">
        <v>2.4576418648760958</v>
      </c>
      <c r="D289" s="11">
        <f t="shared" si="193"/>
        <v>1.1024518954308233</v>
      </c>
      <c r="E289" s="11">
        <v>0.76704624235215602</v>
      </c>
      <c r="F289" s="11">
        <f t="shared" si="195"/>
        <v>1.8694981377829794</v>
      </c>
      <c r="G289" s="200">
        <f t="shared" si="188"/>
        <v>3.035346549159823E-2</v>
      </c>
    </row>
    <row r="290" spans="1:7" x14ac:dyDescent="0.2">
      <c r="A290" t="str">
        <f t="shared" si="183"/>
        <v>81 Process, plant and machine operatives</v>
      </c>
      <c r="B290" s="11">
        <v>6.4022523677677654</v>
      </c>
      <c r="C290" s="11">
        <v>1.6826855323655787</v>
      </c>
      <c r="D290" s="11">
        <f t="shared" si="193"/>
        <v>-4.7195668354021869</v>
      </c>
      <c r="E290" s="11">
        <v>0.8829117284786433</v>
      </c>
      <c r="F290" s="11">
        <f t="shared" ref="F290:F291" si="196">SUM(D290:E290)</f>
        <v>-3.8366551069235437</v>
      </c>
      <c r="G290" s="200">
        <f t="shared" si="188"/>
        <v>8.649869361480933E-3</v>
      </c>
    </row>
    <row r="291" spans="1:7" x14ac:dyDescent="0.2">
      <c r="A291" t="str">
        <f t="shared" si="183"/>
        <v>82 Transport and mobile machine drivers and operatives</v>
      </c>
      <c r="B291" s="11">
        <v>10.1550861727697</v>
      </c>
      <c r="C291" s="11">
        <v>5.463091941077165</v>
      </c>
      <c r="D291" s="11">
        <f t="shared" si="193"/>
        <v>-4.6919942316925347</v>
      </c>
      <c r="E291" s="11">
        <v>3.358710875920397</v>
      </c>
      <c r="F291" s="11">
        <f t="shared" si="196"/>
        <v>-1.3332833557721377</v>
      </c>
      <c r="G291" s="200">
        <f t="shared" si="188"/>
        <v>1.9231690741933427E-2</v>
      </c>
    </row>
    <row r="292" spans="1:7" x14ac:dyDescent="0.2">
      <c r="A292" t="str">
        <f t="shared" si="183"/>
        <v>91 Elementary trades and related occupations</v>
      </c>
      <c r="B292" s="11">
        <v>5.7208586718439234</v>
      </c>
      <c r="C292" s="11">
        <v>3.9547271794208672</v>
      </c>
      <c r="D292" s="11">
        <f t="shared" si="193"/>
        <v>-1.7661314924230562</v>
      </c>
      <c r="E292" s="11">
        <v>1.4823806985399366</v>
      </c>
      <c r="F292" s="11">
        <f t="shared" ref="F292" si="197">SUM(D292:E292)</f>
        <v>-0.28375079388311963</v>
      </c>
      <c r="G292" s="200">
        <f t="shared" si="188"/>
        <v>1.5479378467132099E-2</v>
      </c>
    </row>
    <row r="293" spans="1:7" x14ac:dyDescent="0.2">
      <c r="A293" t="str">
        <f t="shared" si="183"/>
        <v>92 Elementary administration and service occupations</v>
      </c>
      <c r="B293" s="11">
        <v>15.452925460792875</v>
      </c>
      <c r="C293" s="11">
        <v>6.9624689260141537</v>
      </c>
      <c r="D293" s="11">
        <f t="shared" ref="D293" si="198">C293-B293</f>
        <v>-8.4904565347787209</v>
      </c>
      <c r="E293" s="11">
        <v>2.9657029676845168</v>
      </c>
      <c r="F293" s="11">
        <f t="shared" ref="F293" si="199">SUM(D293:E293)</f>
        <v>-5.5247535670942041</v>
      </c>
      <c r="G293" s="200">
        <f>IF(B293&gt;0,(1+(E293/B293))^(1/($C$6-$B$6))-1,0)</f>
        <v>1.1773045217320588E-2</v>
      </c>
    </row>
    <row r="294" spans="1:7" x14ac:dyDescent="0.2">
      <c r="A294" s="23" t="str">
        <f t="shared" si="183"/>
        <v>All occupations</v>
      </c>
      <c r="B294" s="33">
        <f>SUM(B268:B293)</f>
        <v>87.159342368740354</v>
      </c>
      <c r="C294" s="33">
        <f>SUM(C268:C293)</f>
        <v>58.945851111039694</v>
      </c>
      <c r="D294" s="33">
        <f>SUM(D268:D293)</f>
        <v>-28.21349125770066</v>
      </c>
      <c r="E294" s="33">
        <f>SUM(E268:E293)</f>
        <v>24.903913287496991</v>
      </c>
      <c r="F294" s="33">
        <f>SUM(F268:F293)</f>
        <v>-3.3095779702036805</v>
      </c>
      <c r="G294" s="234">
        <f>IF(B294&gt;0,(1+(E294/B294))^(1/($C$6-$B$6))-1,0)</f>
        <v>1.6896188146786173E-2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78" orientation="portrait" r:id="rId1"/>
  <headerFooter alignWithMargins="0"/>
  <rowBreaks count="6" manualBreakCount="6">
    <brk id="44" min="23" max="29" man="1"/>
    <brk id="61" min="8" max="13" man="1"/>
    <brk id="62" max="6" man="1"/>
    <brk id="120" max="6" man="1"/>
    <brk id="178" max="6" man="1"/>
    <brk id="236" max="6" man="1"/>
  </rowBreaks>
  <colBreaks count="1" manualBreakCount="1">
    <brk id="8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0"/>
    <col min="15" max="15" width="44.140625" customWidth="1"/>
    <col min="16" max="17" width="16.85546875" customWidth="1"/>
  </cols>
  <sheetData>
    <row r="1" spans="1:17" ht="15.75" x14ac:dyDescent="0.25">
      <c r="A1" s="79" t="str">
        <f>CONCATENATE("Replacement Demand Figure 1  Replacement Demand by Occupation Group (SOC 2020), ",P4,", ",Info!B5)</f>
        <v>Replacement Demand Figure 1  Replacement Demand by Occupation Group (SOC 2020), 2020-2035, East Midlands</v>
      </c>
    </row>
    <row r="2" spans="1:17" x14ac:dyDescent="0.2">
      <c r="A2" s="362" t="s">
        <v>538</v>
      </c>
    </row>
    <row r="3" spans="1:17" x14ac:dyDescent="0.2">
      <c r="O3" s="45" t="s">
        <v>426</v>
      </c>
    </row>
    <row r="4" spans="1:17" x14ac:dyDescent="0.2">
      <c r="P4" s="15" t="str">
        <f>'Occ T1'!H4</f>
        <v>2020-2035</v>
      </c>
    </row>
    <row r="5" spans="1:17" x14ac:dyDescent="0.2">
      <c r="P5" s="15" t="str">
        <f>CONCATENATE('Occ T1'!H5," ",'Occ T1'!H6)</f>
        <v>Net Change</v>
      </c>
      <c r="Q5" s="15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-23.050656685368153</v>
      </c>
      <c r="Q7" s="11">
        <f>'Occ T1'!J16</f>
        <v>86.37605332492177</v>
      </c>
    </row>
    <row r="8" spans="1:17" x14ac:dyDescent="0.2">
      <c r="O8" t="str">
        <f>name!E11</f>
        <v>Process, plant and machine operatives</v>
      </c>
      <c r="P8" s="11">
        <f>'Occ T1'!H15</f>
        <v>18.042599019598953</v>
      </c>
      <c r="Q8" s="11">
        <f>'Occ T1'!J15</f>
        <v>114.13467545855636</v>
      </c>
    </row>
    <row r="9" spans="1:17" x14ac:dyDescent="0.2">
      <c r="O9" t="str">
        <f>name!E10</f>
        <v>Sales and customer service occupations</v>
      </c>
      <c r="P9" s="11">
        <f>'Occ T1'!H14</f>
        <v>-1.1510648021733232</v>
      </c>
      <c r="Q9" s="11">
        <f>'Occ T1'!J14</f>
        <v>91.684979765086894</v>
      </c>
    </row>
    <row r="10" spans="1:17" x14ac:dyDescent="0.2">
      <c r="O10" t="str">
        <f>name!E9</f>
        <v>Caring, leisure and other service occupations</v>
      </c>
      <c r="P10" s="11">
        <f>'Occ T1'!H13</f>
        <v>35.306631861317896</v>
      </c>
      <c r="Q10" s="11">
        <f>'Occ T1'!J13</f>
        <v>186.06651703221465</v>
      </c>
    </row>
    <row r="11" spans="1:17" x14ac:dyDescent="0.2">
      <c r="O11" t="str">
        <f>name!E8</f>
        <v>Skilled trades occupations</v>
      </c>
      <c r="P11" s="11">
        <f>'Occ T1'!H12</f>
        <v>-19.080389847874358</v>
      </c>
      <c r="Q11" s="11">
        <f>'Occ T1'!J12</f>
        <v>65.391407055743827</v>
      </c>
    </row>
    <row r="12" spans="1:17" x14ac:dyDescent="0.2">
      <c r="O12" t="str">
        <f>name!E7</f>
        <v>Administrative and secretarial occupations</v>
      </c>
      <c r="P12" s="11">
        <f>'Occ T1'!H11</f>
        <v>-35.199323631147621</v>
      </c>
      <c r="Q12" s="11">
        <f>'Occ T1'!J11</f>
        <v>82.649559672463766</v>
      </c>
    </row>
    <row r="13" spans="1:17" x14ac:dyDescent="0.2">
      <c r="O13" t="str">
        <f>name!E6</f>
        <v>Associate professional occupations</v>
      </c>
      <c r="P13" s="11">
        <f>'Occ T1'!H10</f>
        <v>10.454445775976069</v>
      </c>
      <c r="Q13" s="11">
        <f>'Occ T1'!J10</f>
        <v>141.65215632633783</v>
      </c>
    </row>
    <row r="14" spans="1:17" x14ac:dyDescent="0.2">
      <c r="O14" t="str">
        <f>name!E5</f>
        <v>Professional occupations</v>
      </c>
      <c r="P14" s="11">
        <f>'Occ T1'!H9</f>
        <v>86.38610585027925</v>
      </c>
      <c r="Q14" s="11">
        <f>'Occ T1'!J9</f>
        <v>333.25968189836323</v>
      </c>
    </row>
    <row r="15" spans="1:17" x14ac:dyDescent="0.2">
      <c r="O15" t="str">
        <f>name!E4</f>
        <v>Managers, directors and senior officials</v>
      </c>
      <c r="P15" s="11">
        <f>'Occ T1'!H8</f>
        <v>34.747652460325469</v>
      </c>
      <c r="Q15" s="11">
        <f>'Occ T1'!J8</f>
        <v>177.06973561067826</v>
      </c>
    </row>
    <row r="34" spans="1:17" ht="15.75" x14ac:dyDescent="0.25">
      <c r="A34" s="79" t="str">
        <f>CONCATENATE("Replacement Demand Figure 1.1  Replacement Demand by Occupation (SOC 2020), ",P35,", ",Info!B5)</f>
        <v>Replacement Demand Figure 1.1  Replacement Demand by Occupation (SOC 2020), 2020-2035, East Midlands</v>
      </c>
      <c r="O34" s="45" t="s">
        <v>426</v>
      </c>
    </row>
    <row r="35" spans="1:17" x14ac:dyDescent="0.2">
      <c r="P35" s="15" t="str">
        <f>'Occ T1'!H4</f>
        <v>2020-2035</v>
      </c>
    </row>
    <row r="36" spans="1:17" x14ac:dyDescent="0.2">
      <c r="P36" s="15" t="str">
        <f>CONCATENATE('Occ T1'!H5," ",'Occ T1'!H6)</f>
        <v>Net Change</v>
      </c>
      <c r="Q36" s="15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1.6500236073523524</v>
      </c>
      <c r="Q37" s="11">
        <f>'Occ T2'!J8</f>
        <v>89.460845065937079</v>
      </c>
    </row>
    <row r="38" spans="1:17" x14ac:dyDescent="0.2">
      <c r="O38" s="10" t="str">
        <f>name!D5</f>
        <v>12 Other managers and proprietors</v>
      </c>
      <c r="P38" s="11">
        <f>'Occ T2'!H9</f>
        <v>33.097628852973102</v>
      </c>
      <c r="Q38" s="11">
        <f>'Occ T2'!J9</f>
        <v>87.608890544741172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25.67688798472264</v>
      </c>
      <c r="Q39" s="11">
        <f>'Occ T2'!J10</f>
        <v>83.706557457257446</v>
      </c>
    </row>
    <row r="40" spans="1:17" x14ac:dyDescent="0.2">
      <c r="O40" s="10" t="str">
        <f>name!D7</f>
        <v>22 Health professionals</v>
      </c>
      <c r="P40" s="11">
        <f>'Occ T2'!H11</f>
        <v>16.975632419535273</v>
      </c>
      <c r="Q40" s="11">
        <f>'Occ T2'!J11</f>
        <v>73.242724708241454</v>
      </c>
    </row>
    <row r="41" spans="1:17" x14ac:dyDescent="0.2">
      <c r="O41" s="10" t="str">
        <f>name!D8</f>
        <v>23 Teaching and other educational professionals</v>
      </c>
      <c r="P41" s="11">
        <f>'Occ T2'!H12</f>
        <v>3.2875298033721805</v>
      </c>
      <c r="Q41" s="11">
        <f>'Occ T2'!J12</f>
        <v>48.815327863339384</v>
      </c>
    </row>
    <row r="42" spans="1:17" x14ac:dyDescent="0.2">
      <c r="O42" s="10" t="str">
        <f>name!D9</f>
        <v>24 Business, media and public service professionals</v>
      </c>
      <c r="P42" s="11">
        <f>'Occ T2'!H13</f>
        <v>40.446055642649213</v>
      </c>
      <c r="Q42" s="11">
        <f>'Occ T2'!J13</f>
        <v>127.49507186952499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-3.7594773908632746</v>
      </c>
      <c r="Q43" s="11">
        <f>'Occ T2'!J14</f>
        <v>13.908153397007666</v>
      </c>
    </row>
    <row r="44" spans="1:17" x14ac:dyDescent="0.2">
      <c r="O44" s="10" t="str">
        <f>name!D11</f>
        <v>32 Health and social care associate professionals</v>
      </c>
      <c r="P44" s="11">
        <f>'Occ T2'!H15</f>
        <v>4.8062922900845848</v>
      </c>
      <c r="Q44" s="11">
        <f>'Occ T2'!J15</f>
        <v>30.82691196093451</v>
      </c>
    </row>
    <row r="45" spans="1:17" x14ac:dyDescent="0.2">
      <c r="O45" s="10" t="str">
        <f>name!D12</f>
        <v>33 Protective service occupations</v>
      </c>
      <c r="P45" s="11">
        <f>'Occ T2'!H16</f>
        <v>10.23442948222765</v>
      </c>
      <c r="Q45" s="11">
        <f>'Occ T2'!J16</f>
        <v>20.99222990575106</v>
      </c>
    </row>
    <row r="46" spans="1:17" x14ac:dyDescent="0.2">
      <c r="O46" s="10" t="str">
        <f>name!D13</f>
        <v>34 Culture, media and sports occupations</v>
      </c>
      <c r="P46" s="11">
        <f>'Occ T2'!H17</f>
        <v>-8.9959419088181392E-2</v>
      </c>
      <c r="Q46" s="11">
        <f>'Occ T2'!J17</f>
        <v>13.954999017169705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-0.73683918638468526</v>
      </c>
      <c r="Q47" s="11">
        <f>'Occ T2'!J18</f>
        <v>61.969862045474919</v>
      </c>
    </row>
    <row r="48" spans="1:17" x14ac:dyDescent="0.2">
      <c r="O48" s="10" t="str">
        <f>name!D15</f>
        <v>41 Administrative occupations</v>
      </c>
      <c r="P48" s="11">
        <f>'Occ T2'!H19</f>
        <v>-27.620228858618731</v>
      </c>
      <c r="Q48" s="11">
        <f>'Occ T2'!J19</f>
        <v>67.228467439973059</v>
      </c>
    </row>
    <row r="49" spans="15:17" x14ac:dyDescent="0.2">
      <c r="O49" s="10" t="str">
        <f>name!D16</f>
        <v>42 Secretarial and related occupations</v>
      </c>
      <c r="P49" s="11">
        <f>'Occ T2'!H20</f>
        <v>-7.5790947725288689</v>
      </c>
      <c r="Q49" s="11">
        <f>'Occ T2'!J20</f>
        <v>15.421092232490729</v>
      </c>
    </row>
    <row r="50" spans="15:17" x14ac:dyDescent="0.2">
      <c r="O50" s="10" t="str">
        <f>name!D17</f>
        <v>51 Skilled agricultural and related trades</v>
      </c>
      <c r="P50" s="11">
        <f>'Occ T2'!H21</f>
        <v>-0.8338560063895315</v>
      </c>
      <c r="Q50" s="11">
        <f>'Occ T2'!J21</f>
        <v>17.346176718720784</v>
      </c>
    </row>
    <row r="51" spans="15:17" x14ac:dyDescent="0.2">
      <c r="O51" s="10" t="str">
        <f>name!D18</f>
        <v>52 Skilled metal, electrical and electronic trades</v>
      </c>
      <c r="P51" s="11">
        <f>'Occ T2'!H22</f>
        <v>-8.1397176405314298</v>
      </c>
      <c r="Q51" s="11">
        <f>'Occ T2'!J22</f>
        <v>23.107279611918738</v>
      </c>
    </row>
    <row r="52" spans="15:17" x14ac:dyDescent="0.2">
      <c r="O52" s="10" t="str">
        <f>name!D19</f>
        <v>53 Skilled construction and building trades</v>
      </c>
      <c r="P52" s="11">
        <f>'Occ T2'!H23</f>
        <v>-5.3721486918589818</v>
      </c>
      <c r="Q52" s="11">
        <f>'Occ T2'!J23</f>
        <v>14.532984008284366</v>
      </c>
    </row>
    <row r="53" spans="15:17" x14ac:dyDescent="0.2">
      <c r="O53" s="10" t="str">
        <f>name!D20</f>
        <v>54 Textiles, printing and other skilled trades</v>
      </c>
      <c r="P53" s="11">
        <f>'Occ T2'!H24</f>
        <v>-4.7346675090944146</v>
      </c>
      <c r="Q53" s="11">
        <f>'Occ T2'!J24</f>
        <v>10.404966716819953</v>
      </c>
    </row>
    <row r="54" spans="15:17" x14ac:dyDescent="0.2">
      <c r="O54" s="10" t="str">
        <f>name!D21</f>
        <v>61 Caring personal service occupations</v>
      </c>
      <c r="P54" s="11">
        <f>'Occ T2'!H25</f>
        <v>34.111733326376708</v>
      </c>
      <c r="Q54" s="11">
        <f>'Occ T2'!J25</f>
        <v>153.90826123171522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1.4149467715841837</v>
      </c>
      <c r="Q55" s="11">
        <f>'Occ T2'!J26</f>
        <v>31.380903699043454</v>
      </c>
    </row>
    <row r="56" spans="15:17" x14ac:dyDescent="0.2">
      <c r="O56" s="10" t="str">
        <f>name!D23</f>
        <v>63 Community and civil enforcement occupations</v>
      </c>
      <c r="P56" s="11">
        <f>'Occ T2'!H27</f>
        <v>-0.22004823664294504</v>
      </c>
      <c r="Q56" s="11">
        <f>'Occ T2'!J27</f>
        <v>0.77735210145602596</v>
      </c>
    </row>
    <row r="57" spans="15:17" x14ac:dyDescent="0.2">
      <c r="O57" s="10" t="str">
        <f>name!D24</f>
        <v>71 Sales occupations</v>
      </c>
      <c r="P57" s="11">
        <f>'Occ T2'!H28</f>
        <v>-19.012667928112734</v>
      </c>
      <c r="Q57" s="11">
        <f>'Occ T2'!J28</f>
        <v>49.247300560273757</v>
      </c>
    </row>
    <row r="58" spans="15:17" x14ac:dyDescent="0.2">
      <c r="O58" s="10" t="str">
        <f>name!D25</f>
        <v>72 Customer service occupations</v>
      </c>
      <c r="P58" s="11">
        <f>'Occ T2'!H29</f>
        <v>17.861603125939403</v>
      </c>
      <c r="Q58" s="11">
        <f>'Occ T2'!J29</f>
        <v>42.437679204813136</v>
      </c>
    </row>
    <row r="59" spans="15:17" x14ac:dyDescent="0.2">
      <c r="O59" s="10" t="str">
        <f>name!D26</f>
        <v>81 Process, plant and machine operatives</v>
      </c>
      <c r="P59" s="11">
        <f>'Occ T2'!H30</f>
        <v>15.650931746062696</v>
      </c>
      <c r="Q59" s="11">
        <f>'Occ T2'!J30</f>
        <v>54.442685029336161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2.3916672735362425</v>
      </c>
      <c r="Q60" s="11">
        <f>'Occ T2'!J31</f>
        <v>59.691990429220184</v>
      </c>
    </row>
    <row r="61" spans="15:17" x14ac:dyDescent="0.2">
      <c r="O61" s="10" t="str">
        <f>name!D28</f>
        <v>91 Elementary trades and related occupations</v>
      </c>
      <c r="P61" s="11">
        <f>'Occ T2'!H32</f>
        <v>-9.5919149612556183</v>
      </c>
      <c r="Q61" s="11">
        <f>'Occ T2'!J32</f>
        <v>5.5456776917701358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-13.458741724112542</v>
      </c>
      <c r="Q62" s="11">
        <f>'Occ T2'!J33</f>
        <v>80.830375633151633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106.45600000093464</v>
      </c>
      <c r="Q64" s="11">
        <f>'Occ T2'!J35</f>
        <v>1278.2847661443668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" width="7.140625" style="13" bestFit="1" customWidth="1"/>
    <col min="5" max="5" width="5.7109375" style="13" customWidth="1"/>
    <col min="6" max="8" width="4.7109375" style="13" bestFit="1" customWidth="1"/>
    <col min="9" max="9" width="5.7109375" style="13" customWidth="1"/>
    <col min="10" max="12" width="5.7109375" style="13" bestFit="1" customWidth="1"/>
    <col min="13" max="13" width="5.7109375" style="13" customWidth="1"/>
    <col min="14" max="16" width="5.7109375" style="13" bestFit="1" customWidth="1"/>
    <col min="17" max="17" width="5.85546875" style="13" customWidth="1"/>
    <col min="18" max="20" width="5.7109375" style="13" bestFit="1" customWidth="1"/>
    <col min="21" max="21" width="5.7109375" style="13" customWidth="1"/>
    <col min="22" max="24" width="5.7109375" style="13" bestFit="1" customWidth="1"/>
    <col min="25" max="25" width="5.7109375" style="13" customWidth="1"/>
    <col min="26" max="28" width="5.7109375" style="13" bestFit="1" customWidth="1"/>
    <col min="29" max="29" width="5.7109375" style="13" customWidth="1"/>
    <col min="30" max="32" width="5.7109375" style="13" bestFit="1" customWidth="1"/>
    <col min="33" max="33" width="5.7109375" style="13" customWidth="1"/>
    <col min="34" max="36" width="5.7109375" style="13" bestFit="1" customWidth="1"/>
    <col min="37" max="37" width="5.7109375" style="13" customWidth="1"/>
    <col min="38" max="40" width="4.7109375" style="13" bestFit="1" customWidth="1"/>
    <col min="41" max="16384" width="9.140625" style="13"/>
  </cols>
  <sheetData>
    <row r="1" spans="1:40" ht="15.75" x14ac:dyDescent="0.25">
      <c r="A1" s="18" t="str">
        <f>CONCATENATE("Basic Table 1  Employment by Industry Sector, Occupation Group and Qualification, ",B$5,"-",D$5,", ",Info!B5)</f>
        <v>Basic Table 1  Employment by Industry Sector, Occupation Group and Qualification, 2020-2035, East Midlands</v>
      </c>
    </row>
    <row r="2" spans="1:40" ht="12.75" customHeight="1" x14ac:dyDescent="0.2">
      <c r="A2" s="181" t="s">
        <v>542</v>
      </c>
    </row>
    <row r="3" spans="1:40" ht="12.75" customHeight="1" x14ac:dyDescent="0.25">
      <c r="A3" s="18"/>
      <c r="AN3" s="37" t="s">
        <v>35</v>
      </c>
    </row>
    <row r="4" spans="1:40" ht="24.75" customHeight="1" x14ac:dyDescent="0.2">
      <c r="A4" s="77"/>
      <c r="B4" s="379" t="str">
        <f>name!F3</f>
        <v>All qualifications</v>
      </c>
      <c r="C4" s="379"/>
      <c r="D4" s="379"/>
      <c r="E4" s="77"/>
      <c r="F4" s="380" t="str">
        <f>name!F4</f>
        <v>RQF8 Doctorate</v>
      </c>
      <c r="G4" s="380"/>
      <c r="H4" s="380"/>
      <c r="I4" s="77"/>
      <c r="J4" s="380" t="str">
        <f>name!F5</f>
        <v>RQF7 Other higher degree</v>
      </c>
      <c r="K4" s="380"/>
      <c r="L4" s="380"/>
      <c r="M4" s="77"/>
      <c r="N4" s="380" t="str">
        <f>name!F6</f>
        <v>RQF6 First degree</v>
      </c>
      <c r="O4" s="380"/>
      <c r="P4" s="380"/>
      <c r="Q4" s="77"/>
      <c r="R4" s="380" t="str">
        <f>name!F7</f>
        <v>RQF5 Foundation degree;Nursing;Teaching</v>
      </c>
      <c r="S4" s="380"/>
      <c r="T4" s="380"/>
      <c r="U4" s="77"/>
      <c r="V4" s="380" t="str">
        <f>name!F8</f>
        <v>RQF4 HE below degree level</v>
      </c>
      <c r="W4" s="380"/>
      <c r="X4" s="380"/>
      <c r="Y4" s="77"/>
      <c r="Z4" s="380" t="str">
        <f>name!F9</f>
        <v>RQF3 A level &amp; equivalent</v>
      </c>
      <c r="AA4" s="380"/>
      <c r="AB4" s="380"/>
      <c r="AC4" s="77"/>
      <c r="AD4" s="380" t="str">
        <f>name!F10</f>
        <v>RQF2 GCSE(A-C) &amp; equivalent</v>
      </c>
      <c r="AE4" s="380"/>
      <c r="AF4" s="380"/>
      <c r="AG4" s="77"/>
      <c r="AH4" s="380" t="str">
        <f>name!F11</f>
        <v>RQF1 GCSE(below grade C) &amp; equivalent</v>
      </c>
      <c r="AI4" s="380"/>
      <c r="AJ4" s="380"/>
      <c r="AK4" s="77"/>
      <c r="AL4" s="380" t="str">
        <f>name!F12</f>
        <v>No Qualification</v>
      </c>
      <c r="AM4" s="380"/>
      <c r="AN4" s="380"/>
    </row>
    <row r="5" spans="1:40" x14ac:dyDescent="0.2">
      <c r="A5" s="38"/>
      <c r="B5" s="41">
        <v>2020</v>
      </c>
      <c r="C5" s="41">
        <v>2025</v>
      </c>
      <c r="D5" s="41">
        <v>2035</v>
      </c>
      <c r="E5" s="38"/>
      <c r="F5" s="34">
        <f>B5</f>
        <v>2020</v>
      </c>
      <c r="G5" s="34">
        <f>C5</f>
        <v>2025</v>
      </c>
      <c r="H5" s="34">
        <f>D5</f>
        <v>2035</v>
      </c>
      <c r="I5" s="38"/>
      <c r="J5" s="34">
        <f>B5</f>
        <v>2020</v>
      </c>
      <c r="K5" s="34">
        <f>C5</f>
        <v>2025</v>
      </c>
      <c r="L5" s="34">
        <f>D5</f>
        <v>2035</v>
      </c>
      <c r="M5" s="38"/>
      <c r="N5" s="34">
        <f>B5</f>
        <v>2020</v>
      </c>
      <c r="O5" s="34">
        <f>C5</f>
        <v>2025</v>
      </c>
      <c r="P5" s="34">
        <f>D5</f>
        <v>2035</v>
      </c>
      <c r="Q5" s="38"/>
      <c r="R5" s="34">
        <f>F5</f>
        <v>2020</v>
      </c>
      <c r="S5" s="34">
        <f>G5</f>
        <v>2025</v>
      </c>
      <c r="T5" s="34">
        <f>H5</f>
        <v>2035</v>
      </c>
      <c r="U5" s="38"/>
      <c r="V5" s="34">
        <f>J5</f>
        <v>2020</v>
      </c>
      <c r="W5" s="34">
        <f>K5</f>
        <v>2025</v>
      </c>
      <c r="X5" s="34">
        <f>L5</f>
        <v>2035</v>
      </c>
      <c r="Y5" s="38"/>
      <c r="Z5" s="34">
        <f>N5</f>
        <v>2020</v>
      </c>
      <c r="AA5" s="34">
        <f>O5</f>
        <v>2025</v>
      </c>
      <c r="AB5" s="34">
        <f>P5</f>
        <v>2035</v>
      </c>
      <c r="AC5" s="38"/>
      <c r="AD5" s="34">
        <f>R5</f>
        <v>2020</v>
      </c>
      <c r="AE5" s="34">
        <f>S5</f>
        <v>2025</v>
      </c>
      <c r="AF5" s="34">
        <f>T5</f>
        <v>2035</v>
      </c>
      <c r="AG5" s="38"/>
      <c r="AH5" s="34">
        <f>V5</f>
        <v>2020</v>
      </c>
      <c r="AI5" s="34">
        <f>W5</f>
        <v>2025</v>
      </c>
      <c r="AJ5" s="34">
        <f>X5</f>
        <v>2035</v>
      </c>
      <c r="AK5" s="38"/>
      <c r="AL5" s="34">
        <f>Z5</f>
        <v>2020</v>
      </c>
      <c r="AM5" s="34">
        <f>AA5</f>
        <v>2025</v>
      </c>
      <c r="AN5" s="34">
        <f>AB5</f>
        <v>2035</v>
      </c>
    </row>
    <row r="7" spans="1:40" x14ac:dyDescent="0.2">
      <c r="A7" s="1" t="str">
        <f>name!C3</f>
        <v>All industries</v>
      </c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R7" s="76"/>
      <c r="S7" s="76"/>
      <c r="T7" s="76"/>
      <c r="V7" s="76"/>
      <c r="W7" s="76"/>
      <c r="X7" s="76"/>
      <c r="Z7" s="76"/>
      <c r="AA7" s="76"/>
      <c r="AB7" s="76"/>
      <c r="AD7" s="76"/>
      <c r="AE7" s="76"/>
      <c r="AF7" s="76"/>
      <c r="AH7" s="76"/>
      <c r="AI7" s="76"/>
      <c r="AJ7" s="76"/>
      <c r="AL7" s="76"/>
      <c r="AM7" s="76"/>
      <c r="AN7" s="76"/>
    </row>
    <row r="8" spans="1:40" x14ac:dyDescent="0.2">
      <c r="A8" s="13" t="str">
        <f>name!E3</f>
        <v>All occupations</v>
      </c>
      <c r="B8" s="305">
        <f>SUM(B9:B17)</f>
        <v>2404.2379999983377</v>
      </c>
      <c r="C8" s="305">
        <f>SUM(C9:C17)</f>
        <v>2442.8000000047005</v>
      </c>
      <c r="D8" s="305">
        <f>SUM(D9:D17)</f>
        <v>2510.6939999992692</v>
      </c>
      <c r="E8" s="304"/>
      <c r="F8" s="305">
        <f>SUM(F9:F17)</f>
        <v>30.954057953835957</v>
      </c>
      <c r="G8" s="305">
        <f>SUM(G9:G17)</f>
        <v>37.59614286816042</v>
      </c>
      <c r="H8" s="305">
        <f>SUM(H9:H17)</f>
        <v>48.860340121758831</v>
      </c>
      <c r="I8" s="304"/>
      <c r="J8" s="305">
        <f>SUM(J9:J17)</f>
        <v>212.99487870195176</v>
      </c>
      <c r="K8" s="305">
        <f>SUM(K9:K17)</f>
        <v>258.63593530804229</v>
      </c>
      <c r="L8" s="305">
        <f>SUM(L9:L17)</f>
        <v>340.01785069760456</v>
      </c>
      <c r="M8" s="304"/>
      <c r="N8" s="305">
        <f>SUM(N9:N17)</f>
        <v>457.17129301962882</v>
      </c>
      <c r="O8" s="305">
        <f>SUM(O9:O17)</f>
        <v>501.05228278537948</v>
      </c>
      <c r="P8" s="305">
        <f>SUM(P9:P17)</f>
        <v>607.10599253045643</v>
      </c>
      <c r="Q8" s="306"/>
      <c r="R8" s="305">
        <f>SUM(R9:R17)</f>
        <v>128.11968402111791</v>
      </c>
      <c r="S8" s="305">
        <f>SUM(S9:S17)</f>
        <v>131.79415220350813</v>
      </c>
      <c r="T8" s="305">
        <f>SUM(T9:T17)</f>
        <v>152.52117230598691</v>
      </c>
      <c r="U8" s="306"/>
      <c r="V8" s="305">
        <f>SUM(V9:V17)</f>
        <v>134.63984360110572</v>
      </c>
      <c r="W8" s="305">
        <f>SUM(W9:W17)</f>
        <v>142.04375859989193</v>
      </c>
      <c r="X8" s="305">
        <f>SUM(X9:X17)</f>
        <v>169.13539239221708</v>
      </c>
      <c r="Y8" s="306"/>
      <c r="Z8" s="305">
        <f>SUM(Z9:Z17)</f>
        <v>534.71951434715447</v>
      </c>
      <c r="AA8" s="305">
        <f>SUM(AA9:AA17)</f>
        <v>544.25280129794044</v>
      </c>
      <c r="AB8" s="305">
        <f>SUM(AB9:AB17)</f>
        <v>570.45544529511596</v>
      </c>
      <c r="AC8" s="306"/>
      <c r="AD8" s="305">
        <f>SUM(AD9:AD17)</f>
        <v>497.25386739097837</v>
      </c>
      <c r="AE8" s="305">
        <f>SUM(AE9:AE17)</f>
        <v>461.39481487496045</v>
      </c>
      <c r="AF8" s="305">
        <f>SUM(AF9:AF17)</f>
        <v>384.79903691566767</v>
      </c>
      <c r="AG8" s="306"/>
      <c r="AH8" s="305">
        <f>SUM(AH9:AH17)</f>
        <v>321.22551859382463</v>
      </c>
      <c r="AI8" s="305">
        <f>SUM(AI9:AI17)</f>
        <v>283.66005633997958</v>
      </c>
      <c r="AJ8" s="305">
        <f>SUM(AJ9:AJ17)</f>
        <v>178.85291862942211</v>
      </c>
      <c r="AK8" s="306"/>
      <c r="AL8" s="305">
        <f>SUM(AL9:AL17)</f>
        <v>87.159342368740369</v>
      </c>
      <c r="AM8" s="305">
        <f>SUM(AM9:AM17)</f>
        <v>82.370055726837506</v>
      </c>
      <c r="AN8" s="305">
        <f>SUM(AN9:AN17)</f>
        <v>58.94585111103968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261.59893790686124</v>
      </c>
      <c r="C9" s="304">
        <f t="shared" ref="B9:D17" si="0">SUM(C21,C33,C51,C63,C75,C93)</f>
        <v>266.63308381802011</v>
      </c>
      <c r="D9" s="304">
        <f t="shared" si="0"/>
        <v>296.34659036718631</v>
      </c>
      <c r="E9" s="304"/>
      <c r="F9" s="304">
        <f t="shared" ref="F9:H17" si="1">SUM(F21,F33,F51,F63,F75,F93)</f>
        <v>3.039878628602775</v>
      </c>
      <c r="G9" s="304">
        <f t="shared" si="1"/>
        <v>3.7303942523774518</v>
      </c>
      <c r="H9" s="304">
        <f t="shared" si="1"/>
        <v>5.1055835914796877</v>
      </c>
      <c r="I9" s="304"/>
      <c r="J9" s="304">
        <f t="shared" ref="J9:L17" si="2">SUM(J21,J33,J51,J63,J75,J93)</f>
        <v>25.819295448641288</v>
      </c>
      <c r="K9" s="304">
        <f t="shared" si="2"/>
        <v>31.005104396947619</v>
      </c>
      <c r="L9" s="304">
        <f t="shared" si="2"/>
        <v>42.483688323690913</v>
      </c>
      <c r="M9" s="304"/>
      <c r="N9" s="304">
        <f t="shared" ref="N9:P17" si="3">SUM(N21,N33,N51,N63,N75,N93)</f>
        <v>67.995245980592642</v>
      </c>
      <c r="O9" s="304">
        <f t="shared" si="3"/>
        <v>72.751192949712191</v>
      </c>
      <c r="P9" s="304">
        <f t="shared" si="3"/>
        <v>90.572213675601631</v>
      </c>
      <c r="Q9" s="306"/>
      <c r="R9" s="304">
        <f t="shared" ref="R9:T9" si="4">SUM(R21,R33,R51,R63,R75,R93)</f>
        <v>13.886303650799059</v>
      </c>
      <c r="S9" s="304">
        <f t="shared" si="4"/>
        <v>14.29877882629804</v>
      </c>
      <c r="T9" s="304">
        <f t="shared" si="4"/>
        <v>16.957421160365012</v>
      </c>
      <c r="U9" s="306"/>
      <c r="V9" s="304">
        <f t="shared" ref="V9:X9" si="5">SUM(V21,V33,V51,V63,V75,V93)</f>
        <v>20.293737401882513</v>
      </c>
      <c r="W9" s="304">
        <f t="shared" si="5"/>
        <v>20.5615575447761</v>
      </c>
      <c r="X9" s="304">
        <f t="shared" si="5"/>
        <v>24.340869745723744</v>
      </c>
      <c r="Y9" s="306"/>
      <c r="Z9" s="304">
        <f t="shared" ref="Z9:AB9" si="6">SUM(Z21,Z33,Z51,Z63,Z75,Z93)</f>
        <v>53.456336193315664</v>
      </c>
      <c r="AA9" s="304">
        <f t="shared" si="6"/>
        <v>52.248580049265328</v>
      </c>
      <c r="AB9" s="304">
        <f t="shared" si="6"/>
        <v>58.009372253260644</v>
      </c>
      <c r="AC9" s="306"/>
      <c r="AD9" s="304">
        <f>SUM(AD21,AD33,AD51,AD63,AD75,AD93)</f>
        <v>41.359493475356125</v>
      </c>
      <c r="AE9" s="304">
        <f t="shared" ref="AE9:AF9" si="7">SUM(AE21,AE33,AE51,AE63,AE75,AE93)</f>
        <v>37.333298074536224</v>
      </c>
      <c r="AF9" s="304">
        <f t="shared" si="7"/>
        <v>31.127708548627389</v>
      </c>
      <c r="AG9" s="306"/>
      <c r="AH9" s="304">
        <f t="shared" ref="AH9:AJ9" si="8">SUM(AH21,AH33,AH51,AH63,AH75,AH93)</f>
        <v>29.480896040546966</v>
      </c>
      <c r="AI9" s="304">
        <f t="shared" si="8"/>
        <v>27.202110538568206</v>
      </c>
      <c r="AJ9" s="304">
        <f t="shared" si="8"/>
        <v>20.057334074113783</v>
      </c>
      <c r="AK9" s="306"/>
      <c r="AL9" s="304">
        <f t="shared" ref="AL9:AN9" si="9">SUM(AL21,AL33,AL51,AL63,AL75,AL93)</f>
        <v>6.2677510871241875</v>
      </c>
      <c r="AM9" s="304">
        <f t="shared" si="9"/>
        <v>7.5020671855389356</v>
      </c>
      <c r="AN9" s="304">
        <f t="shared" si="9"/>
        <v>7.6923989943234741</v>
      </c>
    </row>
    <row r="10" spans="1:40" x14ac:dyDescent="0.2">
      <c r="A10" s="13" t="str">
        <f>name!E5</f>
        <v>Professional occupations</v>
      </c>
      <c r="B10" s="304">
        <f t="shared" si="0"/>
        <v>495.49614521093793</v>
      </c>
      <c r="C10" s="304">
        <f t="shared" si="0"/>
        <v>527.95954237323883</v>
      </c>
      <c r="D10" s="304">
        <f t="shared" si="0"/>
        <v>581.88225106121604</v>
      </c>
      <c r="E10" s="304"/>
      <c r="F10" s="304">
        <f t="shared" si="1"/>
        <v>22.475807812956091</v>
      </c>
      <c r="G10" s="304">
        <f t="shared" si="1"/>
        <v>27.092459946056191</v>
      </c>
      <c r="H10" s="304">
        <f t="shared" si="1"/>
        <v>34.067969320436234</v>
      </c>
      <c r="I10" s="304"/>
      <c r="J10" s="304">
        <f t="shared" si="2"/>
        <v>117.17350267852757</v>
      </c>
      <c r="K10" s="304">
        <f t="shared" si="2"/>
        <v>139.8080484482374</v>
      </c>
      <c r="L10" s="304">
        <f t="shared" si="2"/>
        <v>174.75343680925283</v>
      </c>
      <c r="M10" s="304"/>
      <c r="N10" s="304">
        <f t="shared" si="3"/>
        <v>169.11624036943869</v>
      </c>
      <c r="O10" s="304">
        <f t="shared" si="3"/>
        <v>179.3718671040989</v>
      </c>
      <c r="P10" s="304">
        <f t="shared" si="3"/>
        <v>199.30087747231818</v>
      </c>
      <c r="Q10" s="306"/>
      <c r="R10" s="304">
        <f t="shared" ref="R10:T10" si="10">SUM(R22,R34,R52,R64,R76,R94)</f>
        <v>24.086104986089907</v>
      </c>
      <c r="S10" s="304">
        <f t="shared" si="10"/>
        <v>18.973214245191762</v>
      </c>
      <c r="T10" s="304">
        <f t="shared" si="10"/>
        <v>16.396189464740146</v>
      </c>
      <c r="U10" s="306"/>
      <c r="V10" s="304">
        <f t="shared" ref="V10:X10" si="11">SUM(V22,V34,V52,V64,V76,V94)</f>
        <v>27.117922553433402</v>
      </c>
      <c r="W10" s="304">
        <f t="shared" si="11"/>
        <v>27.452447254801466</v>
      </c>
      <c r="X10" s="304">
        <f t="shared" si="11"/>
        <v>30.667120899810957</v>
      </c>
      <c r="Y10" s="306"/>
      <c r="Z10" s="304">
        <f t="shared" ref="Z10:AB10" si="12">SUM(Z22,Z34,Z52,Z64,Z76,Z94)</f>
        <v>63.068752600700826</v>
      </c>
      <c r="AA10" s="304">
        <f t="shared" si="12"/>
        <v>65.451283135542852</v>
      </c>
      <c r="AB10" s="304">
        <f t="shared" si="12"/>
        <v>71.240602715226885</v>
      </c>
      <c r="AC10" s="306"/>
      <c r="AD10" s="304">
        <f t="shared" ref="AD10:AF10" si="13">SUM(AD22,AD34,AD52,AD64,AD76,AD94)</f>
        <v>41.755782297502329</v>
      </c>
      <c r="AE10" s="304">
        <f t="shared" si="13"/>
        <v>38.376785507503413</v>
      </c>
      <c r="AF10" s="304">
        <f t="shared" si="13"/>
        <v>32.231304539654332</v>
      </c>
      <c r="AG10" s="306"/>
      <c r="AH10" s="304">
        <f t="shared" ref="AH10:AJ10" si="14">SUM(AH22,AH34,AH52,AH64,AH76,AH94)</f>
        <v>25.984991139402165</v>
      </c>
      <c r="AI10" s="304">
        <f t="shared" si="14"/>
        <v>25.327618996120709</v>
      </c>
      <c r="AJ10" s="304">
        <f t="shared" si="14"/>
        <v>17.60121750116943</v>
      </c>
      <c r="AK10" s="306"/>
      <c r="AL10" s="304">
        <f t="shared" ref="AL10:AN10" si="15">SUM(AL22,AL34,AL52,AL64,AL76,AL94)</f>
        <v>4.7170407728870085</v>
      </c>
      <c r="AM10" s="304">
        <f t="shared" si="15"/>
        <v>6.105817735686129</v>
      </c>
      <c r="AN10" s="304">
        <f t="shared" si="15"/>
        <v>5.6235323386070899</v>
      </c>
    </row>
    <row r="11" spans="1:40" x14ac:dyDescent="0.2">
      <c r="A11" s="13" t="str">
        <f>name!E6</f>
        <v>Associate professional occupations</v>
      </c>
      <c r="B11" s="304">
        <f>SUM(B23,B35,B53,B65,B77,B95)</f>
        <v>293.36127893413237</v>
      </c>
      <c r="C11" s="304">
        <f t="shared" si="0"/>
        <v>284.42037280035322</v>
      </c>
      <c r="D11" s="304">
        <f>SUM(D23,D35,D53,D65,D77,D95)</f>
        <v>303.81572471010799</v>
      </c>
      <c r="E11" s="304"/>
      <c r="F11" s="304">
        <f t="shared" si="1"/>
        <v>3.0173158057536651</v>
      </c>
      <c r="G11" s="304">
        <f t="shared" si="1"/>
        <v>3.5665856162271954</v>
      </c>
      <c r="H11" s="304">
        <f t="shared" si="1"/>
        <v>4.9855947696663687</v>
      </c>
      <c r="I11" s="304"/>
      <c r="J11" s="304">
        <f t="shared" si="2"/>
        <v>32.070069942125471</v>
      </c>
      <c r="K11" s="304">
        <f t="shared" si="2"/>
        <v>37.312152579212025</v>
      </c>
      <c r="L11" s="304">
        <f t="shared" si="2"/>
        <v>49.908029397690214</v>
      </c>
      <c r="M11" s="304"/>
      <c r="N11" s="304">
        <f t="shared" si="3"/>
        <v>78.80375702434894</v>
      </c>
      <c r="O11" s="304">
        <f t="shared" si="3"/>
        <v>81.594654150186869</v>
      </c>
      <c r="P11" s="304">
        <f t="shared" si="3"/>
        <v>96.931022415883021</v>
      </c>
      <c r="Q11" s="306"/>
      <c r="R11" s="304">
        <f t="shared" ref="R11:T11" si="16">SUM(R23,R35,R53,R65,R77,R95)</f>
        <v>21.828548517939851</v>
      </c>
      <c r="S11" s="304">
        <f t="shared" si="16"/>
        <v>20.966187195968434</v>
      </c>
      <c r="T11" s="304">
        <f t="shared" si="16"/>
        <v>23.098250383999545</v>
      </c>
      <c r="U11" s="306"/>
      <c r="V11" s="304">
        <f t="shared" ref="V11:X11" si="17">SUM(V23,V35,V53,V65,V77,V95)</f>
        <v>19.800880335783397</v>
      </c>
      <c r="W11" s="304">
        <f t="shared" si="17"/>
        <v>18.477075973733029</v>
      </c>
      <c r="X11" s="304">
        <f t="shared" si="17"/>
        <v>20.651569033178077</v>
      </c>
      <c r="Y11" s="306"/>
      <c r="Z11" s="304">
        <f t="shared" ref="Z11:AB11" si="18">SUM(Z23,Z35,Z53,Z65,Z77,Z95)</f>
        <v>60.791057238469548</v>
      </c>
      <c r="AA11" s="304">
        <f t="shared" si="18"/>
        <v>56.395440661564948</v>
      </c>
      <c r="AB11" s="304">
        <f t="shared" si="18"/>
        <v>57.181836764530843</v>
      </c>
      <c r="AC11" s="306"/>
      <c r="AD11" s="304">
        <f t="shared" ref="AD11:AF11" si="19">SUM(AD23,AD35,AD53,AD65,AD77,AD95)</f>
        <v>44.969937780456533</v>
      </c>
      <c r="AE11" s="304">
        <f t="shared" si="19"/>
        <v>38.166380253967404</v>
      </c>
      <c r="AF11" s="304">
        <f t="shared" si="19"/>
        <v>30.945521226473439</v>
      </c>
      <c r="AG11" s="306"/>
      <c r="AH11" s="304">
        <f t="shared" ref="AH11:AJ11" si="20">SUM(AH23,AH35,AH53,AH65,AH77,AH95)</f>
        <v>27.213479370516403</v>
      </c>
      <c r="AI11" s="304">
        <f t="shared" si="20"/>
        <v>23.050291987941783</v>
      </c>
      <c r="AJ11" s="304">
        <f t="shared" si="20"/>
        <v>15.730267370587317</v>
      </c>
      <c r="AK11" s="306"/>
      <c r="AL11" s="304">
        <f t="shared" ref="AL11:AN11" si="21">SUM(AL23,AL35,AL53,AL65,AL77,AL95)</f>
        <v>4.8662329187385849</v>
      </c>
      <c r="AM11" s="304">
        <f t="shared" si="21"/>
        <v>4.8916043815515486</v>
      </c>
      <c r="AN11" s="304">
        <f t="shared" si="21"/>
        <v>4.3836333480991216</v>
      </c>
    </row>
    <row r="12" spans="1:40" x14ac:dyDescent="0.2">
      <c r="A12" s="13" t="str">
        <f>name!E7</f>
        <v>Administrative and secretarial occupations</v>
      </c>
      <c r="B12" s="304">
        <f t="shared" si="0"/>
        <v>251.95376092648081</v>
      </c>
      <c r="C12" s="304">
        <f t="shared" si="0"/>
        <v>236.66769336702657</v>
      </c>
      <c r="D12" s="304">
        <f t="shared" si="0"/>
        <v>216.75443729533276</v>
      </c>
      <c r="E12" s="304"/>
      <c r="F12" s="304">
        <f t="shared" si="1"/>
        <v>1.033921462961555</v>
      </c>
      <c r="G12" s="304">
        <f t="shared" si="1"/>
        <v>1.2810998369193605</v>
      </c>
      <c r="H12" s="304">
        <f t="shared" si="1"/>
        <v>1.8103849619349375</v>
      </c>
      <c r="I12" s="304"/>
      <c r="J12" s="304">
        <f t="shared" si="2"/>
        <v>13.702299951035471</v>
      </c>
      <c r="K12" s="304">
        <f t="shared" si="2"/>
        <v>17.285678590411752</v>
      </c>
      <c r="L12" s="304">
        <f t="shared" si="2"/>
        <v>23.277573076410512</v>
      </c>
      <c r="M12" s="304"/>
      <c r="N12" s="304">
        <f t="shared" si="3"/>
        <v>45.051403954247746</v>
      </c>
      <c r="O12" s="304">
        <f t="shared" si="3"/>
        <v>50.479091149314669</v>
      </c>
      <c r="P12" s="304">
        <f t="shared" si="3"/>
        <v>61.46619922133133</v>
      </c>
      <c r="Q12" s="306"/>
      <c r="R12" s="304">
        <f t="shared" ref="R12:T12" si="22">SUM(R24,R36,R54,R66,R78,R96)</f>
        <v>17.915750741882036</v>
      </c>
      <c r="S12" s="304">
        <f t="shared" si="22"/>
        <v>19.874454833974802</v>
      </c>
      <c r="T12" s="304">
        <f t="shared" si="22"/>
        <v>23.349046069751438</v>
      </c>
      <c r="U12" s="306"/>
      <c r="V12" s="304">
        <f t="shared" ref="V12:X12" si="23">SUM(V24,V36,V54,V66,V78,V96)</f>
        <v>16.217958451061428</v>
      </c>
      <c r="W12" s="304">
        <f t="shared" si="23"/>
        <v>17.223559119814894</v>
      </c>
      <c r="X12" s="304">
        <f t="shared" si="23"/>
        <v>19.589444750305955</v>
      </c>
      <c r="Y12" s="306"/>
      <c r="Z12" s="304">
        <f t="shared" ref="Z12:AA12" si="24">SUM(Z24,Z36,Z54,Z66,Z78,Z96)</f>
        <v>55.963511441431727</v>
      </c>
      <c r="AA12" s="304">
        <f t="shared" si="24"/>
        <v>51.139618104687997</v>
      </c>
      <c r="AB12" s="304">
        <f>SUM(AB24,AB36,AB54,AB66,AB78,AB96)</f>
        <v>41.925072073361783</v>
      </c>
      <c r="AC12" s="306"/>
      <c r="AD12" s="304">
        <f t="shared" ref="AD12:AE12" si="25">SUM(AD24,AD36,AD54,AD66,AD78,AD96)</f>
        <v>63.058282265502903</v>
      </c>
      <c r="AE12" s="304">
        <f t="shared" si="25"/>
        <v>50.721469766011012</v>
      </c>
      <c r="AF12" s="304">
        <f>SUM(AF24,AF36,AF54,AF66,AF78,AF96)</f>
        <v>31.912364761045581</v>
      </c>
      <c r="AG12" s="306"/>
      <c r="AH12" s="304">
        <f t="shared" ref="AH12:AI12" si="26">SUM(AH24,AH36,AH54,AH66,AH78,AH96)</f>
        <v>32.384399957005712</v>
      </c>
      <c r="AI12" s="304">
        <f t="shared" si="26"/>
        <v>22.219548821082242</v>
      </c>
      <c r="AJ12" s="304">
        <f>SUM(AJ24,AJ36,AJ54,AJ66,AJ78,AJ96)</f>
        <v>8.5414126597665856</v>
      </c>
      <c r="AK12" s="306"/>
      <c r="AL12" s="304">
        <f t="shared" ref="AL12:AM12" si="27">SUM(AL24,AL36,AL54,AL66,AL78,AL96)</f>
        <v>6.626232701352202</v>
      </c>
      <c r="AM12" s="304">
        <f t="shared" si="27"/>
        <v>6.4431731448098244</v>
      </c>
      <c r="AN12" s="304">
        <f>SUM(AN24,AN36,AN54,AN66,AN78,AN96)</f>
        <v>4.8829397214246688</v>
      </c>
    </row>
    <row r="13" spans="1:40" x14ac:dyDescent="0.2">
      <c r="A13" s="13" t="str">
        <f>name!E8</f>
        <v>Skilled trades occupations</v>
      </c>
      <c r="B13" s="304">
        <f t="shared" si="0"/>
        <v>208.80515502871916</v>
      </c>
      <c r="C13" s="304">
        <f t="shared" si="0"/>
        <v>203.78046369985998</v>
      </c>
      <c r="D13" s="304">
        <f t="shared" si="0"/>
        <v>189.72476518084505</v>
      </c>
      <c r="E13" s="304"/>
      <c r="F13" s="304">
        <f t="shared" si="1"/>
        <v>0.30955046312413798</v>
      </c>
      <c r="G13" s="304">
        <f t="shared" si="1"/>
        <v>0.40368869966159088</v>
      </c>
      <c r="H13" s="304">
        <f t="shared" si="1"/>
        <v>0.54703964029617302</v>
      </c>
      <c r="I13" s="304"/>
      <c r="J13" s="304">
        <f t="shared" si="2"/>
        <v>3.5428052089746851</v>
      </c>
      <c r="K13" s="304">
        <f t="shared" si="2"/>
        <v>4.7346691488767583</v>
      </c>
      <c r="L13" s="304">
        <f t="shared" si="2"/>
        <v>6.7872956877383173</v>
      </c>
      <c r="M13" s="304"/>
      <c r="N13" s="304">
        <f t="shared" si="3"/>
        <v>14.987378551661934</v>
      </c>
      <c r="O13" s="304">
        <f t="shared" si="3"/>
        <v>17.428000133354814</v>
      </c>
      <c r="P13" s="304">
        <f t="shared" si="3"/>
        <v>22.392286098975458</v>
      </c>
      <c r="Q13" s="306"/>
      <c r="R13" s="304">
        <f t="shared" ref="R13:T13" si="28">SUM(R25,R37,R55,R67,R79,R97)</f>
        <v>6.1619485046748963</v>
      </c>
      <c r="S13" s="304">
        <f t="shared" si="28"/>
        <v>6.6582092617563537</v>
      </c>
      <c r="T13" s="304">
        <f t="shared" si="28"/>
        <v>8.2432720086004796</v>
      </c>
      <c r="U13" s="306"/>
      <c r="V13" s="304">
        <f t="shared" ref="V13:X13" si="29">SUM(V25,V37,V55,V67,V79,V97)</f>
        <v>12.239157931800397</v>
      </c>
      <c r="W13" s="304">
        <f t="shared" si="29"/>
        <v>13.0903780976106</v>
      </c>
      <c r="X13" s="304">
        <f t="shared" si="29"/>
        <v>15.57086606112486</v>
      </c>
      <c r="Y13" s="306"/>
      <c r="Z13" s="304">
        <f t="shared" ref="Z13:AB13" si="30">SUM(Z25,Z37,Z55,Z67,Z79,Z97)</f>
        <v>69.405891814147907</v>
      </c>
      <c r="AA13" s="304">
        <f t="shared" si="30"/>
        <v>69.303383322527452</v>
      </c>
      <c r="AB13" s="304">
        <f t="shared" si="30"/>
        <v>65.218281959875227</v>
      </c>
      <c r="AC13" s="306"/>
      <c r="AD13" s="304">
        <f t="shared" ref="AD13:AF13" si="31">SUM(AD25,AD37,AD55,AD67,AD79,AD97)</f>
        <v>55.445341348998284</v>
      </c>
      <c r="AE13" s="304">
        <f t="shared" si="31"/>
        <v>51.154605215917734</v>
      </c>
      <c r="AF13" s="304">
        <f t="shared" si="31"/>
        <v>43.944237240149981</v>
      </c>
      <c r="AG13" s="306"/>
      <c r="AH13" s="304">
        <f t="shared" ref="AH13:AJ13" si="32">SUM(AH25,AH37,AH55,AH67,AH79,AH97)</f>
        <v>33.357370418844752</v>
      </c>
      <c r="AI13" s="304">
        <f t="shared" si="32"/>
        <v>28.096982462700179</v>
      </c>
      <c r="AJ13" s="304">
        <f t="shared" si="32"/>
        <v>19.243077934726017</v>
      </c>
      <c r="AK13" s="306"/>
      <c r="AL13" s="304">
        <f t="shared" ref="AL13:AN13" si="33">SUM(AL25,AL37,AL55,AL67,AL79,AL97)</f>
        <v>13.355710786492182</v>
      </c>
      <c r="AM13" s="304">
        <f t="shared" si="33"/>
        <v>12.910547357454474</v>
      </c>
      <c r="AN13" s="304">
        <f t="shared" si="33"/>
        <v>7.7784085493585513</v>
      </c>
    </row>
    <row r="14" spans="1:40" x14ac:dyDescent="0.2">
      <c r="A14" s="13" t="str">
        <f>name!E9</f>
        <v>Caring, leisure and other service occupations</v>
      </c>
      <c r="B14" s="304">
        <f t="shared" si="0"/>
        <v>256.70113447063727</v>
      </c>
      <c r="C14" s="304">
        <f t="shared" si="0"/>
        <v>272.49511517294439</v>
      </c>
      <c r="D14" s="304">
        <f t="shared" si="0"/>
        <v>292.00776633195522</v>
      </c>
      <c r="E14" s="304"/>
      <c r="F14" s="304">
        <f t="shared" si="1"/>
        <v>0.18196121721749453</v>
      </c>
      <c r="G14" s="304">
        <f t="shared" si="1"/>
        <v>0.26314265453554819</v>
      </c>
      <c r="H14" s="304">
        <f t="shared" si="1"/>
        <v>0.39627228779958268</v>
      </c>
      <c r="I14" s="304"/>
      <c r="J14" s="304">
        <f t="shared" si="2"/>
        <v>8.6319938865259118</v>
      </c>
      <c r="K14" s="304">
        <f t="shared" si="2"/>
        <v>11.907091010245367</v>
      </c>
      <c r="L14" s="304">
        <f t="shared" si="2"/>
        <v>17.146798052426831</v>
      </c>
      <c r="M14" s="304"/>
      <c r="N14" s="304">
        <f t="shared" si="3"/>
        <v>30.713066243755318</v>
      </c>
      <c r="O14" s="304">
        <f t="shared" si="3"/>
        <v>38.60644081853841</v>
      </c>
      <c r="P14" s="304">
        <f t="shared" si="3"/>
        <v>51.840582461087763</v>
      </c>
      <c r="Q14" s="306"/>
      <c r="R14" s="304">
        <f>SUM(R26,R38,R56,R68,R80,R98)</f>
        <v>22.583182300371824</v>
      </c>
      <c r="S14" s="304">
        <f t="shared" ref="S14:T14" si="34">SUM(S26,S38,S56,S68,S80,S98)</f>
        <v>25.512177795869931</v>
      </c>
      <c r="T14" s="304">
        <f t="shared" si="34"/>
        <v>29.541958202522203</v>
      </c>
      <c r="U14" s="306"/>
      <c r="V14" s="304">
        <f t="shared" ref="V14:X14" si="35">SUM(V26,V38,V56,V68,V80,V98)</f>
        <v>15.655998960765681</v>
      </c>
      <c r="W14" s="304">
        <f t="shared" si="35"/>
        <v>18.018186142841714</v>
      </c>
      <c r="X14" s="304">
        <f t="shared" si="35"/>
        <v>22.877523494392314</v>
      </c>
      <c r="Y14" s="306"/>
      <c r="Z14" s="304">
        <f t="shared" ref="Z14:AB14" si="36">SUM(Z26,Z38,Z56,Z68,Z80,Z98)</f>
        <v>89.607712636469358</v>
      </c>
      <c r="AA14" s="304">
        <f t="shared" si="36"/>
        <v>95.86730825823318</v>
      </c>
      <c r="AB14" s="304">
        <f t="shared" si="36"/>
        <v>105.89958418545626</v>
      </c>
      <c r="AC14" s="306"/>
      <c r="AD14" s="304">
        <f t="shared" ref="AD14:AF14" si="37">SUM(AD26,AD38,AD56,AD68,AD80,AD98)</f>
        <v>66.570316298078382</v>
      </c>
      <c r="AE14" s="304">
        <f t="shared" si="37"/>
        <v>61.515952239607486</v>
      </c>
      <c r="AF14" s="304">
        <f t="shared" si="37"/>
        <v>48.004261529359795</v>
      </c>
      <c r="AG14" s="306"/>
      <c r="AH14" s="304">
        <f t="shared" ref="AH14:AJ14" si="38">SUM(AH26,AH38,AH56,AH68,AH80,AH98)</f>
        <v>18.789053514846948</v>
      </c>
      <c r="AI14" s="304">
        <f t="shared" si="38"/>
        <v>16.462303449365734</v>
      </c>
      <c r="AJ14" s="304">
        <f t="shared" si="38"/>
        <v>12.602551298831743</v>
      </c>
      <c r="AK14" s="306"/>
      <c r="AL14" s="304">
        <f t="shared" ref="AL14:AN14" si="39">SUM(AL26,AL38,AL56,AL68,AL80,AL98)</f>
        <v>3.967849412606367</v>
      </c>
      <c r="AM14" s="304">
        <f t="shared" si="39"/>
        <v>4.3425128037070131</v>
      </c>
      <c r="AN14" s="304">
        <f t="shared" si="39"/>
        <v>3.6982348200787136</v>
      </c>
    </row>
    <row r="15" spans="1:40" x14ac:dyDescent="0.2">
      <c r="A15" s="13" t="str">
        <f>name!E10</f>
        <v>Sales and customer service occupations</v>
      </c>
      <c r="B15" s="304">
        <f t="shared" si="0"/>
        <v>198.18210564551717</v>
      </c>
      <c r="C15" s="304">
        <f t="shared" si="0"/>
        <v>198.25611745835883</v>
      </c>
      <c r="D15" s="304">
        <f t="shared" si="0"/>
        <v>197.03104084334421</v>
      </c>
      <c r="E15" s="304"/>
      <c r="F15" s="304">
        <f t="shared" si="1"/>
        <v>0.41780358442236487</v>
      </c>
      <c r="G15" s="304">
        <f t="shared" si="1"/>
        <v>0.55149482334377542</v>
      </c>
      <c r="H15" s="304">
        <f t="shared" si="1"/>
        <v>0.74852134586684771</v>
      </c>
      <c r="I15" s="304"/>
      <c r="J15" s="304">
        <f t="shared" si="2"/>
        <v>5.8303947298202967</v>
      </c>
      <c r="K15" s="304">
        <f t="shared" si="2"/>
        <v>7.7330423455508193</v>
      </c>
      <c r="L15" s="304">
        <f t="shared" si="2"/>
        <v>11.474018065565682</v>
      </c>
      <c r="M15" s="304"/>
      <c r="N15" s="304">
        <f t="shared" si="3"/>
        <v>25.471752842896336</v>
      </c>
      <c r="O15" s="304">
        <f t="shared" si="3"/>
        <v>30.05666211213536</v>
      </c>
      <c r="P15" s="304">
        <f t="shared" si="3"/>
        <v>41.214766890347022</v>
      </c>
      <c r="Q15" s="306"/>
      <c r="R15" s="304">
        <f t="shared" ref="R15:T15" si="40">SUM(R27,R39,R57,R69,R81,R99)</f>
        <v>8.9846259361718932</v>
      </c>
      <c r="S15" s="304">
        <f t="shared" si="40"/>
        <v>10.412547690994405</v>
      </c>
      <c r="T15" s="304">
        <f t="shared" si="40"/>
        <v>14.324480521813172</v>
      </c>
      <c r="U15" s="306"/>
      <c r="V15" s="304">
        <f t="shared" ref="V15:X15" si="41">SUM(V27,V39,V57,V69,V81,V99)</f>
        <v>8.3672805267543442</v>
      </c>
      <c r="W15" s="304">
        <f t="shared" si="41"/>
        <v>9.3224278980345154</v>
      </c>
      <c r="X15" s="304">
        <f t="shared" si="41"/>
        <v>11.549288260265088</v>
      </c>
      <c r="Y15" s="306"/>
      <c r="Z15" s="304">
        <f t="shared" ref="Z15:AB15" si="42">SUM(Z27,Z39,Z57,Z69,Z81,Z99)</f>
        <v>54.748638424846696</v>
      </c>
      <c r="AA15" s="304">
        <f t="shared" si="42"/>
        <v>55.648560183983463</v>
      </c>
      <c r="AB15" s="304">
        <f t="shared" si="42"/>
        <v>60.475068523593166</v>
      </c>
      <c r="AC15" s="306"/>
      <c r="AD15" s="304">
        <f t="shared" ref="AD15:AF15" si="43">SUM(AD27,AD39,AD57,AD69,AD81,AD99)</f>
        <v>52.135478901393064</v>
      </c>
      <c r="AE15" s="304">
        <f t="shared" si="43"/>
        <v>47.441385567131782</v>
      </c>
      <c r="AF15" s="304">
        <f t="shared" si="43"/>
        <v>38.825283439272525</v>
      </c>
      <c r="AG15" s="306"/>
      <c r="AH15" s="304">
        <f t="shared" ref="AH15:AJ15" si="44">SUM(AH27,AH39,AH57,AH69,AH81,AH99)</f>
        <v>32.598728682846598</v>
      </c>
      <c r="AI15" s="304">
        <f t="shared" si="44"/>
        <v>28.103562057250947</v>
      </c>
      <c r="AJ15" s="304">
        <f t="shared" si="44"/>
        <v>11.595884036350419</v>
      </c>
      <c r="AK15" s="306"/>
      <c r="AL15" s="304">
        <f t="shared" ref="AL15:AN15" si="45">SUM(AL27,AL39,AL57,AL69,AL81,AL99)</f>
        <v>9.627402016365572</v>
      </c>
      <c r="AM15" s="304">
        <f t="shared" si="45"/>
        <v>8.9864347799337807</v>
      </c>
      <c r="AN15" s="304">
        <f t="shared" si="45"/>
        <v>6.8237297602703118</v>
      </c>
    </row>
    <row r="16" spans="1:40" x14ac:dyDescent="0.2">
      <c r="A16" s="13" t="str">
        <f>name!E11</f>
        <v>Process, plant and machine operatives</v>
      </c>
      <c r="B16" s="304">
        <f t="shared" si="0"/>
        <v>188.14770130626547</v>
      </c>
      <c r="C16" s="304">
        <f t="shared" si="0"/>
        <v>209.72785783508888</v>
      </c>
      <c r="D16" s="304">
        <f t="shared" si="0"/>
        <v>206.190300325864</v>
      </c>
      <c r="E16" s="304"/>
      <c r="F16" s="304">
        <f t="shared" si="1"/>
        <v>0.32972023285584134</v>
      </c>
      <c r="G16" s="304">
        <f t="shared" si="1"/>
        <v>0.50243868005776549</v>
      </c>
      <c r="H16" s="304">
        <f t="shared" si="1"/>
        <v>0.89363101787988231</v>
      </c>
      <c r="I16" s="304"/>
      <c r="J16" s="304">
        <f t="shared" si="2"/>
        <v>2.1815035867448271</v>
      </c>
      <c r="K16" s="304">
        <f t="shared" si="2"/>
        <v>3.3859481202626047</v>
      </c>
      <c r="L16" s="304">
        <f t="shared" si="2"/>
        <v>5.873178726200095</v>
      </c>
      <c r="M16" s="304"/>
      <c r="N16" s="304">
        <f t="shared" si="3"/>
        <v>7.8810806706487808</v>
      </c>
      <c r="O16" s="304">
        <f t="shared" si="3"/>
        <v>10.499200080126274</v>
      </c>
      <c r="P16" s="304">
        <f t="shared" si="3"/>
        <v>16.185990841936924</v>
      </c>
      <c r="Q16" s="306"/>
      <c r="R16" s="304">
        <f t="shared" ref="R16:T16" si="46">SUM(R28,R40,R58,R70,R82,R100)</f>
        <v>3.9202372986548872</v>
      </c>
      <c r="S16" s="304">
        <f t="shared" si="46"/>
        <v>4.993179190405022</v>
      </c>
      <c r="T16" s="304">
        <f t="shared" si="46"/>
        <v>6.8191431237635367</v>
      </c>
      <c r="U16" s="306"/>
      <c r="V16" s="304">
        <f t="shared" ref="V16:X16" si="47">SUM(V28,V40,V58,V70,V82,V100)</f>
        <v>6.798241736640624</v>
      </c>
      <c r="W16" s="304">
        <f t="shared" si="47"/>
        <v>8.8095751452728202</v>
      </c>
      <c r="X16" s="304">
        <f t="shared" si="47"/>
        <v>11.988137643242368</v>
      </c>
      <c r="Y16" s="306"/>
      <c r="Z16" s="304">
        <f t="shared" ref="Z16:AB16" si="48">SUM(Z28,Z40,Z58,Z70,Z82,Z100)</f>
        <v>42.509542750410688</v>
      </c>
      <c r="AA16" s="304">
        <f t="shared" si="48"/>
        <v>53.651406116665925</v>
      </c>
      <c r="AB16" s="304">
        <f t="shared" si="48"/>
        <v>63.576317167336732</v>
      </c>
      <c r="AC16" s="306"/>
      <c r="AD16" s="304">
        <f t="shared" ref="AD16:AF16" si="49">SUM(AD28,AD40,AD58,AD70,AD82,AD100)</f>
        <v>58.535666774767833</v>
      </c>
      <c r="AE16" s="304">
        <f t="shared" si="49"/>
        <v>66.673618101324436</v>
      </c>
      <c r="AF16" s="304">
        <f t="shared" si="49"/>
        <v>65.239939629086507</v>
      </c>
      <c r="AG16" s="306"/>
      <c r="AH16" s="304">
        <f t="shared" ref="AH16:AJ16" si="50">SUM(AH28,AH40,AH58,AH70,AH82,AH100)</f>
        <v>49.434369715004522</v>
      </c>
      <c r="AI16" s="304">
        <f t="shared" si="50"/>
        <v>47.03402043304132</v>
      </c>
      <c r="AJ16" s="304">
        <f t="shared" si="50"/>
        <v>28.468184702975186</v>
      </c>
      <c r="AK16" s="306"/>
      <c r="AL16" s="304">
        <f t="shared" ref="AL16:AN16" si="51">SUM(AL28,AL40,AL58,AL70,AL82,AL100)</f>
        <v>16.557338540537469</v>
      </c>
      <c r="AM16" s="304">
        <f t="shared" si="51"/>
        <v>14.178471967932696</v>
      </c>
      <c r="AN16" s="304">
        <f t="shared" si="51"/>
        <v>7.1457774734427355</v>
      </c>
    </row>
    <row r="17" spans="1:40" x14ac:dyDescent="0.2">
      <c r="A17" s="13" t="str">
        <f>name!E12</f>
        <v>Elementary occupations</v>
      </c>
      <c r="B17" s="304">
        <f t="shared" si="0"/>
        <v>249.99178056878648</v>
      </c>
      <c r="C17" s="304">
        <f t="shared" si="0"/>
        <v>242.85975347980948</v>
      </c>
      <c r="D17" s="304">
        <f t="shared" si="0"/>
        <v>226.94112388341765</v>
      </c>
      <c r="E17" s="304"/>
      <c r="F17" s="304">
        <f t="shared" si="1"/>
        <v>0.14809874594203024</v>
      </c>
      <c r="G17" s="304">
        <f t="shared" si="1"/>
        <v>0.20483835898153746</v>
      </c>
      <c r="H17" s="304">
        <f t="shared" si="1"/>
        <v>0.30534318639911762</v>
      </c>
      <c r="I17" s="304"/>
      <c r="J17" s="304">
        <f t="shared" si="2"/>
        <v>4.0430132695562309</v>
      </c>
      <c r="K17" s="304">
        <f t="shared" si="2"/>
        <v>5.4642006682979689</v>
      </c>
      <c r="L17" s="304">
        <f t="shared" si="2"/>
        <v>8.313832558629116</v>
      </c>
      <c r="M17" s="304"/>
      <c r="N17" s="304">
        <f t="shared" si="3"/>
        <v>17.151367382038394</v>
      </c>
      <c r="O17" s="304">
        <f t="shared" si="3"/>
        <v>20.26517428791194</v>
      </c>
      <c r="P17" s="304">
        <f t="shared" si="3"/>
        <v>27.202053452975122</v>
      </c>
      <c r="Q17" s="306"/>
      <c r="R17" s="304">
        <f t="shared" ref="R17:T17" si="52">SUM(R29,R41,R59,R71,R83,R101)</f>
        <v>8.7529820845335351</v>
      </c>
      <c r="S17" s="304">
        <f t="shared" si="52"/>
        <v>10.105403163049392</v>
      </c>
      <c r="T17" s="304">
        <f t="shared" si="52"/>
        <v>13.791411370431383</v>
      </c>
      <c r="U17" s="306"/>
      <c r="V17" s="304">
        <f t="shared" ref="V17:X17" si="53">SUM(V29,V41,V59,V71,V83,V101)</f>
        <v>8.148665702983946</v>
      </c>
      <c r="W17" s="304">
        <f t="shared" si="53"/>
        <v>9.0885514230068143</v>
      </c>
      <c r="X17" s="304">
        <f t="shared" si="53"/>
        <v>11.900572504173697</v>
      </c>
      <c r="Y17" s="306"/>
      <c r="Z17" s="304">
        <f t="shared" ref="Z17:AB17" si="54">SUM(Z29,Z41,Z59,Z71,Z83,Z101)</f>
        <v>45.168071247362029</v>
      </c>
      <c r="AA17" s="304">
        <f t="shared" si="54"/>
        <v>44.547221465469306</v>
      </c>
      <c r="AB17" s="304">
        <f t="shared" si="54"/>
        <v>46.929309652474416</v>
      </c>
      <c r="AC17" s="306"/>
      <c r="AD17" s="304">
        <f t="shared" ref="AD17:AF17" si="55">SUM(AD29,AD41,AD59,AD71,AD83,AD101)</f>
        <v>73.423568248922962</v>
      </c>
      <c r="AE17" s="304">
        <f t="shared" si="55"/>
        <v>70.011320148960976</v>
      </c>
      <c r="AF17" s="304">
        <f t="shared" si="55"/>
        <v>62.568416001998088</v>
      </c>
      <c r="AG17" s="306"/>
      <c r="AH17" s="304">
        <f t="shared" ref="AH17:AJ17" si="56">SUM(AH29,AH41,AH59,AH71,AH83,AH101)</f>
        <v>71.982229754810533</v>
      </c>
      <c r="AI17" s="304">
        <f t="shared" si="56"/>
        <v>66.163617593908469</v>
      </c>
      <c r="AJ17" s="304">
        <f t="shared" si="56"/>
        <v>45.012989050901638</v>
      </c>
      <c r="AK17" s="306"/>
      <c r="AL17" s="304">
        <f t="shared" ref="AL17:AN17" si="57">SUM(AL29,AL41,AL59,AL71,AL83,AL101)</f>
        <v>21.173784132636801</v>
      </c>
      <c r="AM17" s="304">
        <f t="shared" si="57"/>
        <v>17.0094263702231</v>
      </c>
      <c r="AN17" s="304">
        <f t="shared" si="57"/>
        <v>10.917196105435018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72.964999999731859</v>
      </c>
      <c r="C20" s="305">
        <f>SUM(C21:C29)</f>
        <v>72.076999999945656</v>
      </c>
      <c r="D20" s="305">
        <f>SUM(D21:D29)</f>
        <v>70.973999999644917</v>
      </c>
      <c r="E20" s="304"/>
      <c r="F20" s="305">
        <f>SUM(F21:F29)</f>
        <v>0.67931915698138046</v>
      </c>
      <c r="G20" s="305">
        <f>SUM(G21:G29)</f>
        <v>0.82802970157613776</v>
      </c>
      <c r="H20" s="305">
        <f>SUM(H21:H29)</f>
        <v>1.1070034857491411</v>
      </c>
      <c r="I20" s="304"/>
      <c r="J20" s="305">
        <f>SUM(J21:J29)</f>
        <v>3.9072781153611245</v>
      </c>
      <c r="K20" s="305">
        <f>SUM(K21:K29)</f>
        <v>4.6355552868025782</v>
      </c>
      <c r="L20" s="305">
        <f>SUM(L21:L29)</f>
        <v>6.1044696422199376</v>
      </c>
      <c r="M20" s="304"/>
      <c r="N20" s="305">
        <f>SUM(N21:N29)</f>
        <v>13.093313073462603</v>
      </c>
      <c r="O20" s="305">
        <f>SUM(O21:O29)</f>
        <v>13.782566347718562</v>
      </c>
      <c r="P20" s="305">
        <f>SUM(P21:P29)</f>
        <v>16.24727357926103</v>
      </c>
      <c r="Q20" s="306"/>
      <c r="R20" s="305">
        <f>SUM(R21:R29)</f>
        <v>2.8165466673136867</v>
      </c>
      <c r="S20" s="305">
        <f>SUM(S21:S29)</f>
        <v>2.9326609314206484</v>
      </c>
      <c r="T20" s="305">
        <f>SUM(T21:T29)</f>
        <v>3.4378568730803662</v>
      </c>
      <c r="U20" s="306"/>
      <c r="V20" s="305">
        <f>SUM(V21:V29)</f>
        <v>6.2120883764668484</v>
      </c>
      <c r="W20" s="305">
        <f>SUM(W21:W29)</f>
        <v>6.3308497893719577</v>
      </c>
      <c r="X20" s="305">
        <f>SUM(X21:X29)</f>
        <v>7.2077763325042437</v>
      </c>
      <c r="Y20" s="306"/>
      <c r="Z20" s="305">
        <f>SUM(Z21:Z29)</f>
        <v>15.571554557566225</v>
      </c>
      <c r="AA20" s="305">
        <f>SUM(AA21:AA29)</f>
        <v>15.199507850929555</v>
      </c>
      <c r="AB20" s="305">
        <f>SUM(AB21:AB29)</f>
        <v>14.891435114136764</v>
      </c>
      <c r="AC20" s="306"/>
      <c r="AD20" s="305">
        <f>SUM(AD21:AD29)</f>
        <v>14.925636403696682</v>
      </c>
      <c r="AE20" s="305">
        <f>SUM(AE21:AE29)</f>
        <v>13.749771120047539</v>
      </c>
      <c r="AF20" s="305">
        <f>SUM(AF21:AF29)</f>
        <v>11.971492594644591</v>
      </c>
      <c r="AG20" s="306"/>
      <c r="AH20" s="305">
        <f>SUM(AH21:AH29)</f>
        <v>10.310620058032779</v>
      </c>
      <c r="AI20" s="305">
        <f>SUM(AI21:AI29)</f>
        <v>8.1803489737139579</v>
      </c>
      <c r="AJ20" s="305">
        <f>SUM(AJ21:AJ29)</f>
        <v>4.7106666792998393</v>
      </c>
      <c r="AK20" s="306"/>
      <c r="AL20" s="305">
        <f>SUM(AL21:AL29)</f>
        <v>5.448643590850522</v>
      </c>
      <c r="AM20" s="305">
        <f>SUM(AM21:AM29)</f>
        <v>6.4377099983647188</v>
      </c>
      <c r="AN20" s="305">
        <f>SUM(AN21:AN29)</f>
        <v>5.296025698748986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7.6014954176315079</v>
      </c>
      <c r="C21" s="304">
        <f t="shared" ref="C21:D21" si="59">SUM(G21,K21,O21,S21,W21,AA21,AE21,AI21,AM21)</f>
        <v>8.2577104750782127</v>
      </c>
      <c r="D21" s="304">
        <f t="shared" si="59"/>
        <v>8.8587876114097117</v>
      </c>
      <c r="E21" s="304"/>
      <c r="F21" s="304">
        <v>0.14120370383257716</v>
      </c>
      <c r="G21" s="304">
        <v>0.16345714340840065</v>
      </c>
      <c r="H21" s="304">
        <v>0.19440643424451001</v>
      </c>
      <c r="I21" s="304"/>
      <c r="J21" s="304">
        <v>0.74171028817315254</v>
      </c>
      <c r="K21" s="304">
        <v>0.81352883254095054</v>
      </c>
      <c r="L21" s="304">
        <v>0.98153107082184166</v>
      </c>
      <c r="M21" s="304"/>
      <c r="N21" s="304">
        <v>1.602432735290281</v>
      </c>
      <c r="O21" s="304">
        <v>1.7130238284536705</v>
      </c>
      <c r="P21" s="304">
        <v>1.9803894048196362</v>
      </c>
      <c r="Q21" s="306"/>
      <c r="R21" s="304">
        <v>0.40048079736675757</v>
      </c>
      <c r="S21" s="304">
        <v>0.45836672004797874</v>
      </c>
      <c r="T21" s="304">
        <v>0.52571330354267509</v>
      </c>
      <c r="U21" s="306"/>
      <c r="V21" s="304">
        <v>0.51191025187654249</v>
      </c>
      <c r="W21" s="304">
        <v>0.50848690820378251</v>
      </c>
      <c r="X21" s="304">
        <v>0.54521606891940022</v>
      </c>
      <c r="Y21" s="306"/>
      <c r="Z21" s="304">
        <v>1.7409165837471519</v>
      </c>
      <c r="AA21" s="304">
        <v>2.1501422575473548</v>
      </c>
      <c r="AB21" s="304">
        <v>2.6940671146935573</v>
      </c>
      <c r="AC21" s="306"/>
      <c r="AD21" s="304">
        <v>1.2328396681138831</v>
      </c>
      <c r="AE21" s="304">
        <v>1.240431929524308</v>
      </c>
      <c r="AF21" s="304">
        <v>0.99969401062200691</v>
      </c>
      <c r="AG21" s="306"/>
      <c r="AH21" s="304">
        <v>0.84581971571449444</v>
      </c>
      <c r="AI21" s="304">
        <v>0.76435607673288619</v>
      </c>
      <c r="AJ21" s="304">
        <v>0.44883586125076913</v>
      </c>
      <c r="AK21" s="306"/>
      <c r="AL21" s="304">
        <v>0.38418167351666832</v>
      </c>
      <c r="AM21" s="304">
        <v>0.44591677861888063</v>
      </c>
      <c r="AN21" s="304">
        <v>0.48893434249531553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9.8258826957084917</v>
      </c>
      <c r="C22" s="304">
        <f t="shared" ref="C22:C29" si="61">SUM(G22,K22,O22,S22,W22,AA22,AE22,AI22,AM22)</f>
        <v>10.440493689147489</v>
      </c>
      <c r="D22" s="304">
        <f t="shared" ref="D22:D29" si="62">SUM(H22,L22,P22,T22,X22,AB22,AF22,AJ22,AN22)</f>
        <v>11.653635725335434</v>
      </c>
      <c r="E22" s="304"/>
      <c r="F22" s="304">
        <v>0.31305643547339146</v>
      </c>
      <c r="G22" s="304">
        <v>0.40807998306012133</v>
      </c>
      <c r="H22" s="304">
        <v>0.58059757460233852</v>
      </c>
      <c r="I22" s="304"/>
      <c r="J22" s="304">
        <v>1.6660374666914952</v>
      </c>
      <c r="K22" s="304">
        <v>2.1024573810351765</v>
      </c>
      <c r="L22" s="304">
        <v>2.8581605226899884</v>
      </c>
      <c r="M22" s="304"/>
      <c r="N22" s="304">
        <v>3.1573733226074174</v>
      </c>
      <c r="O22" s="304">
        <v>3.1590065631089685</v>
      </c>
      <c r="P22" s="304">
        <v>3.3283102695483597</v>
      </c>
      <c r="Q22" s="306"/>
      <c r="R22" s="304">
        <v>0.31467306153856034</v>
      </c>
      <c r="S22" s="304">
        <v>0.32746287073110464</v>
      </c>
      <c r="T22" s="304">
        <v>0.36529565131131042</v>
      </c>
      <c r="U22" s="306"/>
      <c r="V22" s="304">
        <v>1.2839588748652671</v>
      </c>
      <c r="W22" s="304">
        <v>1.3115204090026846</v>
      </c>
      <c r="X22" s="304">
        <v>1.4937126557439064</v>
      </c>
      <c r="Y22" s="306"/>
      <c r="Z22" s="304">
        <v>1.2310712281620981</v>
      </c>
      <c r="AA22" s="304">
        <v>1.223325263770122</v>
      </c>
      <c r="AB22" s="304">
        <v>1.2173747236866095</v>
      </c>
      <c r="AC22" s="306"/>
      <c r="AD22" s="304">
        <v>0.99162342095453793</v>
      </c>
      <c r="AE22" s="304">
        <v>0.97147126750229473</v>
      </c>
      <c r="AF22" s="304">
        <v>1.047592168572959</v>
      </c>
      <c r="AG22" s="306"/>
      <c r="AH22" s="304">
        <v>0.63321714263159545</v>
      </c>
      <c r="AI22" s="304">
        <v>0.63052990246001583</v>
      </c>
      <c r="AJ22" s="304">
        <v>0.47190091613853646</v>
      </c>
      <c r="AK22" s="306"/>
      <c r="AL22" s="304">
        <v>0.23487174278412984</v>
      </c>
      <c r="AM22" s="304">
        <v>0.30664004847700221</v>
      </c>
      <c r="AN22" s="304">
        <v>0.29069124304142618</v>
      </c>
    </row>
    <row r="23" spans="1:40" x14ac:dyDescent="0.2">
      <c r="A23" s="13" t="str">
        <f t="shared" si="58"/>
        <v>Associate professional occupations</v>
      </c>
      <c r="B23" s="304">
        <f t="shared" si="60"/>
        <v>5.997916115597806</v>
      </c>
      <c r="C23" s="304">
        <f t="shared" si="61"/>
        <v>5.5859353989136027</v>
      </c>
      <c r="D23" s="304">
        <f t="shared" si="62"/>
        <v>6.0053360636851192</v>
      </c>
      <c r="E23" s="304"/>
      <c r="F23" s="304">
        <v>0.12090619776714508</v>
      </c>
      <c r="G23" s="304">
        <v>0.13416045443023381</v>
      </c>
      <c r="H23" s="304">
        <v>0.18136420868002218</v>
      </c>
      <c r="I23" s="304"/>
      <c r="J23" s="304">
        <v>0.55236125740425535</v>
      </c>
      <c r="K23" s="304">
        <v>0.6333605514970736</v>
      </c>
      <c r="L23" s="304">
        <v>0.87200705025447034</v>
      </c>
      <c r="M23" s="304"/>
      <c r="N23" s="304">
        <v>1.445965048684235</v>
      </c>
      <c r="O23" s="304">
        <v>1.3311969545268594</v>
      </c>
      <c r="P23" s="304">
        <v>1.4495198050293854</v>
      </c>
      <c r="Q23" s="306"/>
      <c r="R23" s="304">
        <v>0.16988027160659319</v>
      </c>
      <c r="S23" s="304">
        <v>0.15406693428735316</v>
      </c>
      <c r="T23" s="304">
        <v>0.18595098302861315</v>
      </c>
      <c r="U23" s="306"/>
      <c r="V23" s="304">
        <v>0.7471737539661486</v>
      </c>
      <c r="W23" s="304">
        <v>0.75788439806542529</v>
      </c>
      <c r="X23" s="304">
        <v>0.94370670840790394</v>
      </c>
      <c r="Y23" s="306"/>
      <c r="Z23" s="304">
        <v>1.433601415643259</v>
      </c>
      <c r="AA23" s="304">
        <v>1.2320344941520132</v>
      </c>
      <c r="AB23" s="304">
        <v>1.2291792379311068</v>
      </c>
      <c r="AC23" s="306"/>
      <c r="AD23" s="304">
        <v>0.76821615465159765</v>
      </c>
      <c r="AE23" s="304">
        <v>0.58668799014131168</v>
      </c>
      <c r="AF23" s="304">
        <v>0.48202566036202099</v>
      </c>
      <c r="AG23" s="306"/>
      <c r="AH23" s="304">
        <v>0.53757944481369302</v>
      </c>
      <c r="AI23" s="304">
        <v>0.48159875747806336</v>
      </c>
      <c r="AJ23" s="304">
        <v>0.3828568950421527</v>
      </c>
      <c r="AK23" s="306"/>
      <c r="AL23" s="304">
        <v>0.22223257106087746</v>
      </c>
      <c r="AM23" s="304">
        <v>0.27494486433527004</v>
      </c>
      <c r="AN23" s="304">
        <v>0.27872551494944409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4.5972559627746996</v>
      </c>
      <c r="C24" s="304">
        <f t="shared" si="61"/>
        <v>4.1315465236905178</v>
      </c>
      <c r="D24" s="304">
        <f t="shared" si="62"/>
        <v>3.3403051482876571</v>
      </c>
      <c r="E24" s="304"/>
      <c r="F24" s="304">
        <v>1.5161994812405218E-2</v>
      </c>
      <c r="G24" s="304">
        <v>1.5555961776586216E-2</v>
      </c>
      <c r="H24" s="304">
        <v>1.7481497961916108E-2</v>
      </c>
      <c r="I24" s="304"/>
      <c r="J24" s="304">
        <v>0.20715400396154812</v>
      </c>
      <c r="K24" s="304">
        <v>0.23005217506680189</v>
      </c>
      <c r="L24" s="304">
        <v>0.29927053006902377</v>
      </c>
      <c r="M24" s="304"/>
      <c r="N24" s="304">
        <v>0.74155303861569688</v>
      </c>
      <c r="O24" s="304">
        <v>0.7533408424311836</v>
      </c>
      <c r="P24" s="304">
        <v>0.78340289188428802</v>
      </c>
      <c r="Q24" s="306"/>
      <c r="R24" s="304">
        <v>0.13999117307286049</v>
      </c>
      <c r="S24" s="304">
        <v>0.12836316125018626</v>
      </c>
      <c r="T24" s="304">
        <v>0.13199055086744543</v>
      </c>
      <c r="U24" s="306"/>
      <c r="V24" s="304">
        <v>0.40005217611134403</v>
      </c>
      <c r="W24" s="304">
        <v>0.4007861466309155</v>
      </c>
      <c r="X24" s="304">
        <v>0.405939325445558</v>
      </c>
      <c r="Y24" s="306"/>
      <c r="Z24" s="304">
        <v>1.0639194607515219</v>
      </c>
      <c r="AA24" s="304">
        <v>0.83822725907335582</v>
      </c>
      <c r="AB24" s="304">
        <v>0.53062551131228597</v>
      </c>
      <c r="AC24" s="306"/>
      <c r="AD24" s="304">
        <v>1.1000132239924989</v>
      </c>
      <c r="AE24" s="304">
        <v>0.83254719084730255</v>
      </c>
      <c r="AF24" s="304">
        <v>0.54404269657152338</v>
      </c>
      <c r="AG24" s="306"/>
      <c r="AH24" s="304">
        <v>0.63164058177153093</v>
      </c>
      <c r="AI24" s="304">
        <v>0.59345248469330791</v>
      </c>
      <c r="AJ24" s="304">
        <v>0.37497720348741287</v>
      </c>
      <c r="AK24" s="306"/>
      <c r="AL24" s="304">
        <v>0.29777030968529211</v>
      </c>
      <c r="AM24" s="304">
        <v>0.33922130192087768</v>
      </c>
      <c r="AN24" s="304">
        <v>0.25257494068820346</v>
      </c>
    </row>
    <row r="25" spans="1:40" x14ac:dyDescent="0.2">
      <c r="A25" s="13" t="str">
        <f t="shared" si="58"/>
        <v>Skilled trades occupations</v>
      </c>
      <c r="B25" s="304">
        <f t="shared" si="60"/>
        <v>25.869731656513036</v>
      </c>
      <c r="C25" s="304">
        <f t="shared" si="61"/>
        <v>23.930213355654644</v>
      </c>
      <c r="D25" s="304">
        <f t="shared" si="62"/>
        <v>21.634358781762877</v>
      </c>
      <c r="E25" s="304"/>
      <c r="F25" s="304">
        <v>6.3319875403348005E-2</v>
      </c>
      <c r="G25" s="304">
        <v>7.5278437231979106E-2</v>
      </c>
      <c r="H25" s="304">
        <v>9.2697801307573088E-2</v>
      </c>
      <c r="I25" s="304"/>
      <c r="J25" s="304">
        <v>0.29703854104009375</v>
      </c>
      <c r="K25" s="304">
        <v>0.30280148001664958</v>
      </c>
      <c r="L25" s="304">
        <v>0.3977033559582287</v>
      </c>
      <c r="M25" s="304"/>
      <c r="N25" s="304">
        <v>4.2473622653826659</v>
      </c>
      <c r="O25" s="304">
        <v>4.7364970648547713</v>
      </c>
      <c r="P25" s="304">
        <v>6.2803218040167081</v>
      </c>
      <c r="Q25" s="306"/>
      <c r="R25" s="304">
        <v>1.0134744498791102</v>
      </c>
      <c r="S25" s="304">
        <v>1.0125446452242421</v>
      </c>
      <c r="T25" s="304">
        <v>1.1804442326195472</v>
      </c>
      <c r="U25" s="306"/>
      <c r="V25" s="304">
        <v>2.2486404607629424</v>
      </c>
      <c r="W25" s="304">
        <v>2.2482570317055215</v>
      </c>
      <c r="X25" s="304">
        <v>2.6353997948614518</v>
      </c>
      <c r="Y25" s="306"/>
      <c r="Z25" s="304">
        <v>5.6187700816797364</v>
      </c>
      <c r="AA25" s="304">
        <v>4.8935847099534122</v>
      </c>
      <c r="AB25" s="304">
        <v>3.8393921657223506</v>
      </c>
      <c r="AC25" s="306"/>
      <c r="AD25" s="304">
        <v>6.252883993879208</v>
      </c>
      <c r="AE25" s="304">
        <v>5.697224088954953</v>
      </c>
      <c r="AF25" s="304">
        <v>5.0088461812630012</v>
      </c>
      <c r="AG25" s="306"/>
      <c r="AH25" s="304">
        <v>3.8610120968886168</v>
      </c>
      <c r="AI25" s="304">
        <v>2.7386481126670166</v>
      </c>
      <c r="AJ25" s="304">
        <v>1.0813973155432635</v>
      </c>
      <c r="AK25" s="306"/>
      <c r="AL25" s="304">
        <v>2.2672298915973128</v>
      </c>
      <c r="AM25" s="304">
        <v>2.2253777850461001</v>
      </c>
      <c r="AN25" s="304">
        <v>1.1181561304707508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2.0631722044501801</v>
      </c>
      <c r="C26" s="304">
        <f t="shared" si="61"/>
        <v>2.1520947824833567</v>
      </c>
      <c r="D26" s="304">
        <f t="shared" si="62"/>
        <v>2.1693915898035119</v>
      </c>
      <c r="E26" s="304"/>
      <c r="F26" s="304">
        <v>9.1686105599016344E-3</v>
      </c>
      <c r="G26" s="304">
        <v>1.1300039691755026E-2</v>
      </c>
      <c r="H26" s="304">
        <v>1.4079961326680854E-2</v>
      </c>
      <c r="I26" s="304"/>
      <c r="J26" s="304">
        <v>7.3665324102894322E-2</v>
      </c>
      <c r="K26" s="304">
        <v>8.9138888569889663E-2</v>
      </c>
      <c r="L26" s="304">
        <v>0.11324674469368259</v>
      </c>
      <c r="M26" s="304"/>
      <c r="N26" s="304">
        <v>0.5406593083863851</v>
      </c>
      <c r="O26" s="304">
        <v>0.50771374714628881</v>
      </c>
      <c r="P26" s="304">
        <v>0.49693272646184283</v>
      </c>
      <c r="Q26" s="306"/>
      <c r="R26" s="304">
        <v>0.1335006639784192</v>
      </c>
      <c r="S26" s="304">
        <v>0.14673965714349843</v>
      </c>
      <c r="T26" s="304">
        <v>0.18493325784263376</v>
      </c>
      <c r="U26" s="306"/>
      <c r="V26" s="304">
        <v>9.3166369161584509E-2</v>
      </c>
      <c r="W26" s="304">
        <v>9.9835964846872058E-2</v>
      </c>
      <c r="X26" s="304">
        <v>0.10428863712059597</v>
      </c>
      <c r="Y26" s="306"/>
      <c r="Z26" s="304">
        <v>0.26301912377833497</v>
      </c>
      <c r="AA26" s="304">
        <v>0.25006964514499419</v>
      </c>
      <c r="AB26" s="304">
        <v>0.26563931557302861</v>
      </c>
      <c r="AC26" s="306"/>
      <c r="AD26" s="304">
        <v>0.27305204165842362</v>
      </c>
      <c r="AE26" s="304">
        <v>0.22825598455212195</v>
      </c>
      <c r="AF26" s="304">
        <v>0.15201096231070857</v>
      </c>
      <c r="AG26" s="306"/>
      <c r="AH26" s="304">
        <v>0.4430350328634664</v>
      </c>
      <c r="AI26" s="304">
        <v>0.45021988911278243</v>
      </c>
      <c r="AJ26" s="304">
        <v>0.39054673475143603</v>
      </c>
      <c r="AK26" s="306"/>
      <c r="AL26" s="304">
        <v>0.23390572996077011</v>
      </c>
      <c r="AM26" s="304">
        <v>0.36882096627515443</v>
      </c>
      <c r="AN26" s="304">
        <v>0.44771324972290261</v>
      </c>
    </row>
    <row r="27" spans="1:40" x14ac:dyDescent="0.2">
      <c r="A27" s="13" t="str">
        <f t="shared" si="58"/>
        <v>Sales and customer service occupations</v>
      </c>
      <c r="B27" s="304">
        <f t="shared" si="60"/>
        <v>3.3880575508703412</v>
      </c>
      <c r="C27" s="304">
        <f t="shared" si="61"/>
        <v>3.5148242745157505</v>
      </c>
      <c r="D27" s="304">
        <f t="shared" si="62"/>
        <v>3.6640250970177899</v>
      </c>
      <c r="E27" s="304"/>
      <c r="F27" s="304">
        <v>1.5329211737318701E-2</v>
      </c>
      <c r="G27" s="304">
        <v>1.850273702711927E-2</v>
      </c>
      <c r="H27" s="304">
        <v>2.4172586435621125E-2</v>
      </c>
      <c r="I27" s="304"/>
      <c r="J27" s="304">
        <v>9.2493780639196804E-2</v>
      </c>
      <c r="K27" s="304">
        <v>0.10606835584969068</v>
      </c>
      <c r="L27" s="304">
        <v>0.12301415826727563</v>
      </c>
      <c r="M27" s="304"/>
      <c r="N27" s="304">
        <v>0.57310617302501532</v>
      </c>
      <c r="O27" s="304">
        <v>0.64507515158549111</v>
      </c>
      <c r="P27" s="304">
        <v>0.83699692720901941</v>
      </c>
      <c r="Q27" s="306"/>
      <c r="R27" s="304">
        <v>0.30383290585422784</v>
      </c>
      <c r="S27" s="304">
        <v>0.32091193176307803</v>
      </c>
      <c r="T27" s="304">
        <v>0.42738897828748396</v>
      </c>
      <c r="U27" s="306"/>
      <c r="V27" s="304">
        <v>0.15808662521951017</v>
      </c>
      <c r="W27" s="304">
        <v>0.16399793294574586</v>
      </c>
      <c r="X27" s="304">
        <v>0.17945067861791617</v>
      </c>
      <c r="Y27" s="306"/>
      <c r="Z27" s="304">
        <v>0.74880357296692379</v>
      </c>
      <c r="AA27" s="304">
        <v>0.86800361325342379</v>
      </c>
      <c r="AB27" s="304">
        <v>1.0360213011088575</v>
      </c>
      <c r="AC27" s="306"/>
      <c r="AD27" s="304">
        <v>0.50362572626829938</v>
      </c>
      <c r="AE27" s="304">
        <v>0.48341175217829491</v>
      </c>
      <c r="AF27" s="304">
        <v>0.42711832881517264</v>
      </c>
      <c r="AG27" s="306"/>
      <c r="AH27" s="304">
        <v>0.84441100612239028</v>
      </c>
      <c r="AI27" s="304">
        <v>0.74900327679196388</v>
      </c>
      <c r="AJ27" s="304">
        <v>0.47188387928043884</v>
      </c>
      <c r="AK27" s="306"/>
      <c r="AL27" s="304">
        <v>0.1483685490374593</v>
      </c>
      <c r="AM27" s="304">
        <v>0.15984952312094239</v>
      </c>
      <c r="AN27" s="304">
        <v>0.13797825899600441</v>
      </c>
    </row>
    <row r="28" spans="1:40" x14ac:dyDescent="0.2">
      <c r="A28" s="13" t="str">
        <f t="shared" si="58"/>
        <v>Process, plant and machine operatives</v>
      </c>
      <c r="B28" s="304">
        <f t="shared" si="60"/>
        <v>6.5010286844730532</v>
      </c>
      <c r="C28" s="304">
        <f t="shared" si="61"/>
        <v>7.0111256966761584</v>
      </c>
      <c r="D28" s="304">
        <f t="shared" si="62"/>
        <v>6.9305025284669473</v>
      </c>
      <c r="E28" s="304"/>
      <c r="F28" s="304">
        <v>1.0366318970507578E-3</v>
      </c>
      <c r="G28" s="304">
        <v>1.5335819800902438E-3</v>
      </c>
      <c r="H28" s="304">
        <v>2.0086963326256331E-3</v>
      </c>
      <c r="I28" s="304"/>
      <c r="J28" s="304">
        <v>7.3815598407338132E-2</v>
      </c>
      <c r="K28" s="304">
        <v>9.6530129005810539E-2</v>
      </c>
      <c r="L28" s="304">
        <v>0.12702203678748036</v>
      </c>
      <c r="M28" s="304"/>
      <c r="N28" s="304">
        <v>0.26803054567446161</v>
      </c>
      <c r="O28" s="304">
        <v>0.34804817139869176</v>
      </c>
      <c r="P28" s="304">
        <v>0.46001760240885425</v>
      </c>
      <c r="Q28" s="306"/>
      <c r="R28" s="304">
        <v>9.8749677872262201E-2</v>
      </c>
      <c r="S28" s="304">
        <v>0.12894948453694843</v>
      </c>
      <c r="T28" s="304">
        <v>0.1734092842979203</v>
      </c>
      <c r="U28" s="306"/>
      <c r="V28" s="304">
        <v>0.22970139378797844</v>
      </c>
      <c r="W28" s="304">
        <v>0.27291173992469292</v>
      </c>
      <c r="X28" s="304">
        <v>0.30986843569802081</v>
      </c>
      <c r="Y28" s="306"/>
      <c r="Z28" s="304">
        <v>1.9396971548319168</v>
      </c>
      <c r="AA28" s="304">
        <v>2.2340749042195878</v>
      </c>
      <c r="AB28" s="304">
        <v>2.6675025120804694</v>
      </c>
      <c r="AC28" s="306"/>
      <c r="AD28" s="304">
        <v>2.09772393757736</v>
      </c>
      <c r="AE28" s="304">
        <v>2.2125185754714733</v>
      </c>
      <c r="AF28" s="304">
        <v>2.0766214124591706</v>
      </c>
      <c r="AG28" s="306"/>
      <c r="AH28" s="304">
        <v>1.0235359625855147</v>
      </c>
      <c r="AI28" s="304">
        <v>0.71184992896836508</v>
      </c>
      <c r="AJ28" s="304">
        <v>0.33142924091346682</v>
      </c>
      <c r="AK28" s="306"/>
      <c r="AL28" s="304">
        <v>0.7687377818391703</v>
      </c>
      <c r="AM28" s="304">
        <v>1.0047091811704985</v>
      </c>
      <c r="AN28" s="304">
        <v>0.78262330748893805</v>
      </c>
    </row>
    <row r="29" spans="1:40" x14ac:dyDescent="0.2">
      <c r="A29" s="13" t="str">
        <f t="shared" si="58"/>
        <v>Elementary occupations</v>
      </c>
      <c r="B29" s="304">
        <f t="shared" si="60"/>
        <v>7.1204597117127371</v>
      </c>
      <c r="C29" s="304">
        <f t="shared" si="61"/>
        <v>7.0530558037859219</v>
      </c>
      <c r="D29" s="304">
        <f t="shared" si="62"/>
        <v>6.7176574538758516</v>
      </c>
      <c r="E29" s="304"/>
      <c r="F29" s="304">
        <v>1.3649549824240863E-4</v>
      </c>
      <c r="G29" s="304">
        <v>1.6136296985203057E-4</v>
      </c>
      <c r="H29" s="304">
        <v>1.947248578538493E-4</v>
      </c>
      <c r="I29" s="304"/>
      <c r="J29" s="304">
        <v>0.20300185494114992</v>
      </c>
      <c r="K29" s="304">
        <v>0.26161749322053518</v>
      </c>
      <c r="L29" s="304">
        <v>0.33251417267794431</v>
      </c>
      <c r="M29" s="304"/>
      <c r="N29" s="304">
        <v>0.51683063579644484</v>
      </c>
      <c r="O29" s="304">
        <v>0.58866402421263708</v>
      </c>
      <c r="P29" s="304">
        <v>0.63138214788293789</v>
      </c>
      <c r="Q29" s="306"/>
      <c r="R29" s="304">
        <v>0.24196366614489578</v>
      </c>
      <c r="S29" s="304">
        <v>0.25525552643625887</v>
      </c>
      <c r="T29" s="304">
        <v>0.26273063128273677</v>
      </c>
      <c r="U29" s="306"/>
      <c r="V29" s="304">
        <v>0.53939847071552993</v>
      </c>
      <c r="W29" s="304">
        <v>0.56716925804631724</v>
      </c>
      <c r="X29" s="304">
        <v>0.59019402768949147</v>
      </c>
      <c r="Y29" s="306"/>
      <c r="Z29" s="304">
        <v>1.5317559360052828</v>
      </c>
      <c r="AA29" s="304">
        <v>1.5100457038152919</v>
      </c>
      <c r="AB29" s="304">
        <v>1.4116332320284954</v>
      </c>
      <c r="AC29" s="306"/>
      <c r="AD29" s="304">
        <v>1.7056582366008726</v>
      </c>
      <c r="AE29" s="304">
        <v>1.497222340875479</v>
      </c>
      <c r="AF29" s="304">
        <v>1.2335411736680284</v>
      </c>
      <c r="AG29" s="306"/>
      <c r="AH29" s="304">
        <v>1.4903690746414768</v>
      </c>
      <c r="AI29" s="304">
        <v>1.0606905448095574</v>
      </c>
      <c r="AJ29" s="304">
        <v>0.75683863289236297</v>
      </c>
      <c r="AK29" s="306"/>
      <c r="AL29" s="304">
        <v>0.89134534136884225</v>
      </c>
      <c r="AM29" s="304">
        <v>1.3122295493999934</v>
      </c>
      <c r="AN29" s="304">
        <v>1.498628710896001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278.38900000048045</v>
      </c>
      <c r="C32" s="305">
        <f>SUM(C33:C41)</f>
        <v>270.23900000215787</v>
      </c>
      <c r="D32" s="305">
        <f>SUM(D33:D41)</f>
        <v>257.66000000057994</v>
      </c>
      <c r="E32" s="304"/>
      <c r="F32" s="305">
        <f>SUM(F33:F41)</f>
        <v>2.4229611284624748</v>
      </c>
      <c r="G32" s="305">
        <f>SUM(G33:G41)</f>
        <v>2.8728729998684011</v>
      </c>
      <c r="H32" s="305">
        <f>SUM(H33:H41)</f>
        <v>3.6317744708473079</v>
      </c>
      <c r="I32" s="304"/>
      <c r="J32" s="305">
        <f>SUM(J33:J41)</f>
        <v>13.841854784280025</v>
      </c>
      <c r="K32" s="305">
        <f>SUM(K33:K41)</f>
        <v>16.747363594807673</v>
      </c>
      <c r="L32" s="305">
        <f>SUM(L33:L41)</f>
        <v>21.807422606540843</v>
      </c>
      <c r="M32" s="304"/>
      <c r="N32" s="305">
        <f>SUM(N33:N41)</f>
        <v>39.682403360965068</v>
      </c>
      <c r="O32" s="305">
        <f>SUM(O33:O41)</f>
        <v>41.676968975758285</v>
      </c>
      <c r="P32" s="305">
        <f>SUM(P33:P41)</f>
        <v>47.415735298512274</v>
      </c>
      <c r="Q32" s="306"/>
      <c r="R32" s="305">
        <f>SUM(R33:R41)</f>
        <v>10.631828554536089</v>
      </c>
      <c r="S32" s="305">
        <f>SUM(S33:S41)</f>
        <v>11.491600614388263</v>
      </c>
      <c r="T32" s="305">
        <f>SUM(T33:T41)</f>
        <v>13.867018763819893</v>
      </c>
      <c r="U32" s="306"/>
      <c r="V32" s="305">
        <f>SUM(V33:V41)</f>
        <v>21.710414689949847</v>
      </c>
      <c r="W32" s="305">
        <f>SUM(W33:W41)</f>
        <v>21.983922699529128</v>
      </c>
      <c r="X32" s="305">
        <f>SUM(X33:X41)</f>
        <v>23.962237881163219</v>
      </c>
      <c r="Y32" s="306"/>
      <c r="Z32" s="305">
        <f>SUM(Z33:Z41)</f>
        <v>69.403521788299045</v>
      </c>
      <c r="AA32" s="305">
        <f>SUM(AA33:AA41)</f>
        <v>70.538553856556504</v>
      </c>
      <c r="AB32" s="305">
        <f>SUM(AB33:AB41)</f>
        <v>70.418994133623087</v>
      </c>
      <c r="AC32" s="306"/>
      <c r="AD32" s="305">
        <f>SUM(AD33:AD41)</f>
        <v>61.010994573101279</v>
      </c>
      <c r="AE32" s="305">
        <f>SUM(AE33:AE41)</f>
        <v>56.134781910406964</v>
      </c>
      <c r="AF32" s="305">
        <f>SUM(AF33:AF41)</f>
        <v>45.394358965762969</v>
      </c>
      <c r="AG32" s="306"/>
      <c r="AH32" s="305">
        <f>SUM(AH33:AH41)</f>
        <v>47.067232783017872</v>
      </c>
      <c r="AI32" s="305">
        <f>SUM(AI33:AI41)</f>
        <v>39.426257739533845</v>
      </c>
      <c r="AJ32" s="305">
        <f>SUM(AJ33:AJ41)</f>
        <v>24.430728757322932</v>
      </c>
      <c r="AK32" s="306"/>
      <c r="AL32" s="305">
        <f>SUM(AL33:AL41)</f>
        <v>12.617788337868728</v>
      </c>
      <c r="AM32" s="305">
        <f>SUM(AM33:AM41)</f>
        <v>9.3666776113088392</v>
      </c>
      <c r="AN32" s="305">
        <f>SUM(AN33:AN41)</f>
        <v>6.7317291229873675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33.128987578788255</v>
      </c>
      <c r="C33" s="304">
        <f t="shared" ref="C33:C41" si="64">SUM(G33,K33,O33,S33,W33,AA33,AE33,AI33,AM33)</f>
        <v>31.291851309154644</v>
      </c>
      <c r="D33" s="304">
        <f t="shared" ref="D33:D40" si="65">SUM(H33,L33,P33,T33,X33,AB33,AF33,AJ33,AN33)</f>
        <v>31.451886399480777</v>
      </c>
      <c r="E33" s="304"/>
      <c r="F33" s="304">
        <v>0.37590266739558631</v>
      </c>
      <c r="G33" s="304">
        <v>0.38881709071591397</v>
      </c>
      <c r="H33" s="304">
        <v>0.42223517114288811</v>
      </c>
      <c r="I33" s="304"/>
      <c r="J33" s="304">
        <v>2.888102809578776</v>
      </c>
      <c r="K33" s="304">
        <v>3.2972211277796415</v>
      </c>
      <c r="L33" s="304">
        <v>3.9232632604203754</v>
      </c>
      <c r="M33" s="304"/>
      <c r="N33" s="304">
        <v>8.9006653278238179</v>
      </c>
      <c r="O33" s="304">
        <v>9.0234681217911703</v>
      </c>
      <c r="P33" s="304">
        <v>9.9799819809850625</v>
      </c>
      <c r="Q33" s="306"/>
      <c r="R33" s="304">
        <v>1.9399054229403956</v>
      </c>
      <c r="S33" s="304">
        <v>1.9964253140157366</v>
      </c>
      <c r="T33" s="304">
        <v>2.3209150141624404</v>
      </c>
      <c r="U33" s="306"/>
      <c r="V33" s="304">
        <v>4.1208733094097303</v>
      </c>
      <c r="W33" s="304">
        <v>3.8850069523694297</v>
      </c>
      <c r="X33" s="304">
        <v>4.1204851421612778</v>
      </c>
      <c r="Y33" s="306"/>
      <c r="Z33" s="304">
        <v>6.4045715437841579</v>
      </c>
      <c r="AA33" s="304">
        <v>5.7767516078939574</v>
      </c>
      <c r="AB33" s="304">
        <v>5.4831877951640031</v>
      </c>
      <c r="AC33" s="306"/>
      <c r="AD33" s="304">
        <v>4.9879521497970662</v>
      </c>
      <c r="AE33" s="304">
        <v>4.0825059958192025</v>
      </c>
      <c r="AF33" s="304">
        <v>3.2175558788839105</v>
      </c>
      <c r="AG33" s="306"/>
      <c r="AH33" s="304">
        <v>2.920382812287313</v>
      </c>
      <c r="AI33" s="304">
        <v>2.135838974000615</v>
      </c>
      <c r="AJ33" s="304">
        <v>1.3041440214273434</v>
      </c>
      <c r="AK33" s="306"/>
      <c r="AL33" s="304">
        <v>0.59063153577140781</v>
      </c>
      <c r="AM33" s="304">
        <v>0.70581612476898037</v>
      </c>
      <c r="AN33" s="304">
        <v>0.68011813513347175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43.479933466609594</v>
      </c>
      <c r="C34" s="304">
        <f t="shared" si="64"/>
        <v>45.123080549416144</v>
      </c>
      <c r="D34" s="304">
        <f t="shared" si="65"/>
        <v>48.142842998727339</v>
      </c>
      <c r="E34" s="304"/>
      <c r="F34" s="304">
        <v>1.5129547996155333</v>
      </c>
      <c r="G34" s="304">
        <v>1.8888357999933822</v>
      </c>
      <c r="H34" s="304">
        <v>2.4823114657522081</v>
      </c>
      <c r="I34" s="304"/>
      <c r="J34" s="304">
        <v>5.3953068191169695</v>
      </c>
      <c r="K34" s="304">
        <v>6.6347410593997385</v>
      </c>
      <c r="L34" s="304">
        <v>8.4296624424136368</v>
      </c>
      <c r="M34" s="304"/>
      <c r="N34" s="304">
        <v>11.640070371828383</v>
      </c>
      <c r="O34" s="304">
        <v>11.988944700901897</v>
      </c>
      <c r="P34" s="304">
        <v>12.898370970034794</v>
      </c>
      <c r="Q34" s="306"/>
      <c r="R34" s="304">
        <v>1.5661946133202098</v>
      </c>
      <c r="S34" s="304">
        <v>1.7200403256508379</v>
      </c>
      <c r="T34" s="304">
        <v>2.1519658767672301</v>
      </c>
      <c r="U34" s="306"/>
      <c r="V34" s="304">
        <v>5.730838150148041</v>
      </c>
      <c r="W34" s="304">
        <v>5.8104620450260684</v>
      </c>
      <c r="X34" s="304">
        <v>6.3601853309241099</v>
      </c>
      <c r="Y34" s="306"/>
      <c r="Z34" s="304">
        <v>9.464953187856965</v>
      </c>
      <c r="AA34" s="304">
        <v>9.7002474841735857</v>
      </c>
      <c r="AB34" s="304">
        <v>9.949495137298463</v>
      </c>
      <c r="AC34" s="306"/>
      <c r="AD34" s="304">
        <v>4.494795734054347</v>
      </c>
      <c r="AE34" s="304">
        <v>3.8756832244303259</v>
      </c>
      <c r="AF34" s="304">
        <v>2.9214547427158815</v>
      </c>
      <c r="AG34" s="306"/>
      <c r="AH34" s="304">
        <v>3.156306825311523</v>
      </c>
      <c r="AI34" s="304">
        <v>2.81350878140297</v>
      </c>
      <c r="AJ34" s="304">
        <v>2.2626319025365849</v>
      </c>
      <c r="AK34" s="306"/>
      <c r="AL34" s="304">
        <v>0.51851296535761715</v>
      </c>
      <c r="AM34" s="304">
        <v>0.69061712843734124</v>
      </c>
      <c r="AN34" s="304">
        <v>0.68676513028443853</v>
      </c>
    </row>
    <row r="35" spans="1:40" x14ac:dyDescent="0.2">
      <c r="A35" s="13" t="str">
        <f t="shared" si="63"/>
        <v>Associate professional occupations</v>
      </c>
      <c r="B35" s="304">
        <f t="shared" si="66"/>
        <v>33.528348760561684</v>
      </c>
      <c r="C35" s="304">
        <f t="shared" si="64"/>
        <v>30.049315325200727</v>
      </c>
      <c r="D35" s="304">
        <f t="shared" si="65"/>
        <v>30.069171729059789</v>
      </c>
      <c r="E35" s="304"/>
      <c r="F35" s="304">
        <v>0.30643338426833761</v>
      </c>
      <c r="G35" s="304">
        <v>0.32692963002828501</v>
      </c>
      <c r="H35" s="304">
        <v>0.39874613089221761</v>
      </c>
      <c r="I35" s="304"/>
      <c r="J35" s="304">
        <v>2.4199982894080549</v>
      </c>
      <c r="K35" s="304">
        <v>2.5435945290136894</v>
      </c>
      <c r="L35" s="304">
        <v>3.0137527329282996</v>
      </c>
      <c r="M35" s="304"/>
      <c r="N35" s="304">
        <v>7.6349648787127862</v>
      </c>
      <c r="O35" s="304">
        <v>7.543641335813823</v>
      </c>
      <c r="P35" s="304">
        <v>8.2100569951882605</v>
      </c>
      <c r="Q35" s="306"/>
      <c r="R35" s="304">
        <v>2.2041533963194224</v>
      </c>
      <c r="S35" s="304">
        <v>2.2788270257715992</v>
      </c>
      <c r="T35" s="304">
        <v>2.7119124476015797</v>
      </c>
      <c r="U35" s="306"/>
      <c r="V35" s="304">
        <v>3.1258470749202378</v>
      </c>
      <c r="W35" s="304">
        <v>2.667869116089062</v>
      </c>
      <c r="X35" s="304">
        <v>2.7236718179971033</v>
      </c>
      <c r="Y35" s="306"/>
      <c r="Z35" s="304">
        <v>8.62305529605195</v>
      </c>
      <c r="AA35" s="304">
        <v>7.7614207977711978</v>
      </c>
      <c r="AB35" s="304">
        <v>7.7538518593263124</v>
      </c>
      <c r="AC35" s="306"/>
      <c r="AD35" s="304">
        <v>5.549105828705108</v>
      </c>
      <c r="AE35" s="304">
        <v>4.3743429778377623</v>
      </c>
      <c r="AF35" s="304">
        <v>3.4172293852633424</v>
      </c>
      <c r="AG35" s="306"/>
      <c r="AH35" s="304">
        <v>3.2139052681100457</v>
      </c>
      <c r="AI35" s="304">
        <v>2.058216165871706</v>
      </c>
      <c r="AJ35" s="304">
        <v>1.3409083628679703</v>
      </c>
      <c r="AK35" s="306"/>
      <c r="AL35" s="304">
        <v>0.45088534406574032</v>
      </c>
      <c r="AM35" s="304">
        <v>0.49447374700359925</v>
      </c>
      <c r="AN35" s="304">
        <v>0.49904199699470103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24.8060243772746</v>
      </c>
      <c r="C36" s="304">
        <f t="shared" si="64"/>
        <v>22.157521278005326</v>
      </c>
      <c r="D36" s="304">
        <f t="shared" si="65"/>
        <v>20.33322668914931</v>
      </c>
      <c r="E36" s="304"/>
      <c r="F36" s="304">
        <v>7.6044575206743237E-2</v>
      </c>
      <c r="G36" s="304">
        <v>8.5102610947890164E-2</v>
      </c>
      <c r="H36" s="304">
        <v>9.9554722249150143E-2</v>
      </c>
      <c r="I36" s="304"/>
      <c r="J36" s="304">
        <v>0.97965811800647129</v>
      </c>
      <c r="K36" s="304">
        <v>1.1291745200778922</v>
      </c>
      <c r="L36" s="304">
        <v>1.3951714187893851</v>
      </c>
      <c r="M36" s="304"/>
      <c r="N36" s="304">
        <v>3.8652060532182357</v>
      </c>
      <c r="O36" s="304">
        <v>4.0178503373380128</v>
      </c>
      <c r="P36" s="304">
        <v>4.4032166686879988</v>
      </c>
      <c r="Q36" s="306"/>
      <c r="R36" s="304">
        <v>1.3310177845405182</v>
      </c>
      <c r="S36" s="304">
        <v>1.4252338401328752</v>
      </c>
      <c r="T36" s="304">
        <v>1.7232316802239234</v>
      </c>
      <c r="U36" s="306"/>
      <c r="V36" s="304">
        <v>1.7325863273783462</v>
      </c>
      <c r="W36" s="304">
        <v>1.7416573062215897</v>
      </c>
      <c r="X36" s="304">
        <v>1.9536007942343612</v>
      </c>
      <c r="Y36" s="306"/>
      <c r="Z36" s="304">
        <v>6.1661516637355218</v>
      </c>
      <c r="AA36" s="304">
        <v>5.7115144042024859</v>
      </c>
      <c r="AB36" s="304">
        <v>5.6147769968725942</v>
      </c>
      <c r="AC36" s="306"/>
      <c r="AD36" s="304">
        <v>7.4506356642254756</v>
      </c>
      <c r="AE36" s="304">
        <v>5.8157924379919779</v>
      </c>
      <c r="AF36" s="304">
        <v>3.9255866924831038</v>
      </c>
      <c r="AG36" s="306"/>
      <c r="AH36" s="304">
        <v>2.8635059206066078</v>
      </c>
      <c r="AI36" s="304">
        <v>1.8956718170407378</v>
      </c>
      <c r="AJ36" s="304">
        <v>0.94035952558540037</v>
      </c>
      <c r="AK36" s="306"/>
      <c r="AL36" s="304">
        <v>0.3412182703566819</v>
      </c>
      <c r="AM36" s="304">
        <v>0.33552400405186228</v>
      </c>
      <c r="AN36" s="304">
        <v>0.27772819002339166</v>
      </c>
    </row>
    <row r="37" spans="1:40" x14ac:dyDescent="0.2">
      <c r="A37" s="13" t="str">
        <f t="shared" si="63"/>
        <v>Skilled trades occupations</v>
      </c>
      <c r="B37" s="304">
        <f t="shared" si="66"/>
        <v>49.854177740715244</v>
      </c>
      <c r="C37" s="304">
        <f t="shared" si="64"/>
        <v>45.471043722868224</v>
      </c>
      <c r="D37" s="304">
        <f t="shared" si="65"/>
        <v>37.882329458568094</v>
      </c>
      <c r="E37" s="304"/>
      <c r="F37" s="304">
        <v>6.1313776497556559E-2</v>
      </c>
      <c r="G37" s="304">
        <v>7.8856222876970403E-2</v>
      </c>
      <c r="H37" s="304">
        <v>0.10033369259829081</v>
      </c>
      <c r="I37" s="304"/>
      <c r="J37" s="304">
        <v>0.90667915396676046</v>
      </c>
      <c r="K37" s="304">
        <v>1.2195333553172405</v>
      </c>
      <c r="L37" s="304">
        <v>1.6469605999972641</v>
      </c>
      <c r="M37" s="304"/>
      <c r="N37" s="304">
        <v>2.4570243401592213</v>
      </c>
      <c r="O37" s="304">
        <v>2.7765839776031993</v>
      </c>
      <c r="P37" s="304">
        <v>3.220960825869521</v>
      </c>
      <c r="Q37" s="306"/>
      <c r="R37" s="304">
        <v>1.0597597919786117</v>
      </c>
      <c r="S37" s="304">
        <v>1.1256223661065492</v>
      </c>
      <c r="T37" s="304">
        <v>1.2706033913157468</v>
      </c>
      <c r="U37" s="306"/>
      <c r="V37" s="304">
        <v>3.4226791723729812</v>
      </c>
      <c r="W37" s="304">
        <v>3.4462181007597326</v>
      </c>
      <c r="X37" s="304">
        <v>3.4931557476734612</v>
      </c>
      <c r="Y37" s="306"/>
      <c r="Z37" s="304">
        <v>18.655102385171492</v>
      </c>
      <c r="AA37" s="304">
        <v>17.806046867923509</v>
      </c>
      <c r="AB37" s="304">
        <v>15.538733778882474</v>
      </c>
      <c r="AC37" s="306"/>
      <c r="AD37" s="304">
        <v>12.038353703293648</v>
      </c>
      <c r="AE37" s="304">
        <v>10.229465833702418</v>
      </c>
      <c r="AF37" s="304">
        <v>6.9571376729612799</v>
      </c>
      <c r="AG37" s="306"/>
      <c r="AH37" s="304">
        <v>8.7440463698158624</v>
      </c>
      <c r="AI37" s="304">
        <v>6.9295455925852538</v>
      </c>
      <c r="AJ37" s="304">
        <v>4.3547496152875445</v>
      </c>
      <c r="AK37" s="306"/>
      <c r="AL37" s="304">
        <v>2.5092190474591143</v>
      </c>
      <c r="AM37" s="304">
        <v>1.8591714059933433</v>
      </c>
      <c r="AN37" s="304">
        <v>1.299694133982515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3.1973940179353018</v>
      </c>
      <c r="C38" s="304">
        <f t="shared" si="64"/>
        <v>3.4349042429334125</v>
      </c>
      <c r="D38" s="304">
        <f t="shared" si="65"/>
        <v>3.5329855668318952</v>
      </c>
      <c r="E38" s="304"/>
      <c r="F38" s="304">
        <v>1.9488338889404096E-2</v>
      </c>
      <c r="G38" s="304">
        <v>2.2461948704913502E-2</v>
      </c>
      <c r="H38" s="304">
        <v>2.9319522862089355E-2</v>
      </c>
      <c r="I38" s="304"/>
      <c r="J38" s="304">
        <v>4.1063303985815182E-2</v>
      </c>
      <c r="K38" s="304">
        <v>4.8165848928883294E-2</v>
      </c>
      <c r="L38" s="304">
        <v>5.3999180705279357E-2</v>
      </c>
      <c r="M38" s="304"/>
      <c r="N38" s="304">
        <v>0.47882655487625297</v>
      </c>
      <c r="O38" s="304">
        <v>0.52468360703457617</v>
      </c>
      <c r="P38" s="304">
        <v>0.58204902265556346</v>
      </c>
      <c r="Q38" s="306"/>
      <c r="R38" s="304">
        <v>0.11660804561462181</v>
      </c>
      <c r="S38" s="304">
        <v>0.11864927127933975</v>
      </c>
      <c r="T38" s="304">
        <v>0.1247812159120877</v>
      </c>
      <c r="U38" s="306"/>
      <c r="V38" s="304">
        <v>0.32222260777086564</v>
      </c>
      <c r="W38" s="304">
        <v>0.37128716222308566</v>
      </c>
      <c r="X38" s="304">
        <v>0.4311513310105079</v>
      </c>
      <c r="Y38" s="306"/>
      <c r="Z38" s="304">
        <v>0.52582996136484617</v>
      </c>
      <c r="AA38" s="304">
        <v>0.52503102027614623</v>
      </c>
      <c r="AB38" s="304">
        <v>0.52597109966697664</v>
      </c>
      <c r="AC38" s="306"/>
      <c r="AD38" s="304">
        <v>0.64414239644980353</v>
      </c>
      <c r="AE38" s="304">
        <v>0.61187447475585222</v>
      </c>
      <c r="AF38" s="304">
        <v>0.51262392495278197</v>
      </c>
      <c r="AG38" s="306"/>
      <c r="AH38" s="304">
        <v>0.87842591096866385</v>
      </c>
      <c r="AI38" s="304">
        <v>0.97034395801397633</v>
      </c>
      <c r="AJ38" s="304">
        <v>0.99155608217936875</v>
      </c>
      <c r="AK38" s="306"/>
      <c r="AL38" s="304">
        <v>0.17078689801502867</v>
      </c>
      <c r="AM38" s="304">
        <v>0.24240695171663895</v>
      </c>
      <c r="AN38" s="304">
        <v>0.28153418688724013</v>
      </c>
    </row>
    <row r="39" spans="1:40" x14ac:dyDescent="0.2">
      <c r="A39" s="13" t="str">
        <f t="shared" si="63"/>
        <v>Sales and customer service occupations</v>
      </c>
      <c r="B39" s="304">
        <f t="shared" si="66"/>
        <v>8.5686450252855444</v>
      </c>
      <c r="C39" s="304">
        <f t="shared" si="64"/>
        <v>8.4434225415811408</v>
      </c>
      <c r="D39" s="304">
        <f t="shared" si="65"/>
        <v>8.2738280835830444</v>
      </c>
      <c r="E39" s="304"/>
      <c r="F39" s="304">
        <v>3.6420096500734252E-2</v>
      </c>
      <c r="G39" s="304">
        <v>4.3329180074986401E-2</v>
      </c>
      <c r="H39" s="304">
        <v>5.1212462809706261E-2</v>
      </c>
      <c r="I39" s="304"/>
      <c r="J39" s="304">
        <v>0.38079274211137243</v>
      </c>
      <c r="K39" s="304">
        <v>0.48705487114397084</v>
      </c>
      <c r="L39" s="304">
        <v>0.6025363380809603</v>
      </c>
      <c r="M39" s="304"/>
      <c r="N39" s="304">
        <v>1.8249393071317102</v>
      </c>
      <c r="O39" s="304">
        <v>2.0258004339316877</v>
      </c>
      <c r="P39" s="304">
        <v>2.3546116739579488</v>
      </c>
      <c r="Q39" s="306"/>
      <c r="R39" s="304">
        <v>0.51914787948022201</v>
      </c>
      <c r="S39" s="304">
        <v>0.6155662770160103</v>
      </c>
      <c r="T39" s="304">
        <v>0.73831666858434464</v>
      </c>
      <c r="U39" s="306"/>
      <c r="V39" s="304">
        <v>0.58891099891946552</v>
      </c>
      <c r="W39" s="304">
        <v>0.67527239474682765</v>
      </c>
      <c r="X39" s="304">
        <v>0.78929479573497474</v>
      </c>
      <c r="Y39" s="306"/>
      <c r="Z39" s="304">
        <v>1.9814568730233744</v>
      </c>
      <c r="AA39" s="304">
        <v>1.7653079518389325</v>
      </c>
      <c r="AB39" s="304">
        <v>1.4857334657791892</v>
      </c>
      <c r="AC39" s="306"/>
      <c r="AD39" s="304">
        <v>1.7760779773042035</v>
      </c>
      <c r="AE39" s="304">
        <v>1.6375950210296946</v>
      </c>
      <c r="AF39" s="304">
        <v>1.4749182822047477</v>
      </c>
      <c r="AG39" s="306"/>
      <c r="AH39" s="304">
        <v>1.0425488073181337</v>
      </c>
      <c r="AI39" s="304">
        <v>0.74490770668591832</v>
      </c>
      <c r="AJ39" s="304">
        <v>0.36354374353992264</v>
      </c>
      <c r="AK39" s="306"/>
      <c r="AL39" s="304">
        <v>0.41835034349632894</v>
      </c>
      <c r="AM39" s="304">
        <v>0.44858870511311111</v>
      </c>
      <c r="AN39" s="304">
        <v>0.41366065289124987</v>
      </c>
    </row>
    <row r="40" spans="1:40" x14ac:dyDescent="0.2">
      <c r="A40" s="13" t="str">
        <f t="shared" si="63"/>
        <v>Process, plant and machine operatives</v>
      </c>
      <c r="B40" s="304">
        <f t="shared" si="66"/>
        <v>53.908810409143399</v>
      </c>
      <c r="C40" s="304">
        <f t="shared" si="64"/>
        <v>59.938248168596957</v>
      </c>
      <c r="D40" s="304">
        <f t="shared" si="65"/>
        <v>56.630168029493369</v>
      </c>
      <c r="E40" s="304"/>
      <c r="F40" s="304">
        <v>9.1891162343486037E-3</v>
      </c>
      <c r="G40" s="304">
        <v>1.1732219420894698E-2</v>
      </c>
      <c r="H40" s="304">
        <v>1.3904736776713366E-2</v>
      </c>
      <c r="I40" s="304"/>
      <c r="J40" s="304">
        <v>0.60317570076006832</v>
      </c>
      <c r="K40" s="304">
        <v>1.1198955743505266</v>
      </c>
      <c r="L40" s="304">
        <v>2.3864605885703187</v>
      </c>
      <c r="M40" s="304"/>
      <c r="N40" s="304">
        <v>1.564520035268177</v>
      </c>
      <c r="O40" s="304">
        <v>2.3685257900535213</v>
      </c>
      <c r="P40" s="304">
        <v>3.990721083124424</v>
      </c>
      <c r="Q40" s="306"/>
      <c r="R40" s="305">
        <v>0.9420206159005462</v>
      </c>
      <c r="S40" s="305">
        <v>1.2478500520499545</v>
      </c>
      <c r="T40" s="305">
        <v>1.5557215203783379</v>
      </c>
      <c r="U40" s="306"/>
      <c r="V40" s="305">
        <v>1.896423923182297</v>
      </c>
      <c r="W40" s="305">
        <v>2.5806266064144503</v>
      </c>
      <c r="X40" s="305">
        <v>3.0829211710163777</v>
      </c>
      <c r="Y40" s="306"/>
      <c r="Z40" s="305">
        <v>13.809495438135791</v>
      </c>
      <c r="AA40" s="305">
        <v>18.198316281817593</v>
      </c>
      <c r="AB40" s="305">
        <v>20.736980519618662</v>
      </c>
      <c r="AC40" s="306"/>
      <c r="AD40" s="305">
        <v>16.935134598234281</v>
      </c>
      <c r="AE40" s="305">
        <v>19.369365468638069</v>
      </c>
      <c r="AF40" s="305">
        <v>17.725870473712828</v>
      </c>
      <c r="AG40" s="306"/>
      <c r="AH40" s="305">
        <v>13.590342535194814</v>
      </c>
      <c r="AI40" s="305">
        <v>12.72937595536307</v>
      </c>
      <c r="AJ40" s="305">
        <v>5.6426461757846038</v>
      </c>
      <c r="AK40" s="306"/>
      <c r="AL40" s="305">
        <v>4.5585084462330698</v>
      </c>
      <c r="AM40" s="305">
        <v>2.3125602204888738</v>
      </c>
      <c r="AN40" s="305">
        <v>1.4949417605111039</v>
      </c>
    </row>
    <row r="41" spans="1:40" x14ac:dyDescent="0.2">
      <c r="A41" s="38" t="str">
        <f t="shared" si="63"/>
        <v>Elementary occupations</v>
      </c>
      <c r="B41" s="307">
        <f t="shared" si="66"/>
        <v>27.916678624166813</v>
      </c>
      <c r="C41" s="307">
        <f t="shared" si="64"/>
        <v>24.32961286440133</v>
      </c>
      <c r="D41" s="307">
        <f>SUM(H41,L41,P41,T41,X41,AB41,AF41,AJ41,AN41)</f>
        <v>21.343561045686286</v>
      </c>
      <c r="E41" s="307"/>
      <c r="F41" s="307">
        <v>2.5214373854231319E-2</v>
      </c>
      <c r="G41" s="307">
        <v>2.6808297105164976E-2</v>
      </c>
      <c r="H41" s="307">
        <v>3.4156565764044133E-2</v>
      </c>
      <c r="I41" s="307"/>
      <c r="J41" s="307">
        <v>0.22707784734573841</v>
      </c>
      <c r="K41" s="307">
        <v>0.26798270879609176</v>
      </c>
      <c r="L41" s="307">
        <v>0.35561604463532343</v>
      </c>
      <c r="M41" s="307"/>
      <c r="N41" s="307">
        <v>1.3161864919464894</v>
      </c>
      <c r="O41" s="307">
        <v>1.4074706712903986</v>
      </c>
      <c r="P41" s="307">
        <v>1.7757660780087079</v>
      </c>
      <c r="Q41" s="308"/>
      <c r="R41" s="307">
        <v>0.9530210044415397</v>
      </c>
      <c r="S41" s="307">
        <v>0.96338614236536046</v>
      </c>
      <c r="T41" s="307">
        <v>1.2695709488742031</v>
      </c>
      <c r="U41" s="308"/>
      <c r="V41" s="307">
        <v>0.77003312584788197</v>
      </c>
      <c r="W41" s="307">
        <v>0.8055230156788783</v>
      </c>
      <c r="X41" s="307">
        <v>1.0077717504110464</v>
      </c>
      <c r="Y41" s="308"/>
      <c r="Z41" s="307">
        <v>3.7729054391749477</v>
      </c>
      <c r="AA41" s="307">
        <v>3.2939174406590834</v>
      </c>
      <c r="AB41" s="307">
        <v>3.3302634810144163</v>
      </c>
      <c r="AC41" s="308"/>
      <c r="AD41" s="307">
        <v>7.1347965210373383</v>
      </c>
      <c r="AE41" s="307">
        <v>6.1381564762016634</v>
      </c>
      <c r="AF41" s="307">
        <v>5.2419819125850946</v>
      </c>
      <c r="AG41" s="308"/>
      <c r="AH41" s="307">
        <v>10.657768333404906</v>
      </c>
      <c r="AI41" s="307">
        <v>9.1488487885696035</v>
      </c>
      <c r="AJ41" s="307">
        <v>7.2301893281141947</v>
      </c>
      <c r="AK41" s="308"/>
      <c r="AL41" s="307">
        <v>3.059675487113739</v>
      </c>
      <c r="AM41" s="307">
        <v>2.2775193237350893</v>
      </c>
      <c r="AN41" s="307">
        <v>1.0982449362792561</v>
      </c>
    </row>
    <row r="42" spans="1:40" x14ac:dyDescent="0.2">
      <c r="B42" s="31"/>
      <c r="C42" s="31"/>
      <c r="D42" s="31"/>
    </row>
    <row r="43" spans="1:40" ht="15.75" x14ac:dyDescent="0.25">
      <c r="A43" s="18" t="str">
        <f>CONCATENATE(A1," (Continued)")</f>
        <v>Basic Table 1  Employment by Industry Sector, Occupation Group and Qualification, 2020-2035, East Midlands (Continued)</v>
      </c>
    </row>
    <row r="44" spans="1:40" ht="12.75" customHeight="1" x14ac:dyDescent="0.25">
      <c r="A44" s="18"/>
    </row>
    <row r="45" spans="1:40" ht="12.75" customHeight="1" x14ac:dyDescent="0.25">
      <c r="A45" s="18"/>
    </row>
    <row r="46" spans="1:40" ht="26.25" customHeight="1" x14ac:dyDescent="0.2">
      <c r="A46" s="77"/>
      <c r="B46" s="77"/>
      <c r="C46" s="78" t="str">
        <f>B4</f>
        <v>All qualifications</v>
      </c>
      <c r="D46" s="77"/>
      <c r="E46" s="77"/>
      <c r="F46" s="77"/>
      <c r="G46" s="78" t="str">
        <f>F4</f>
        <v>RQF8 Doctorate</v>
      </c>
      <c r="H46" s="77"/>
      <c r="I46" s="77"/>
      <c r="J46" s="77"/>
      <c r="K46" s="78" t="str">
        <f>J4</f>
        <v>RQF7 Other higher degree</v>
      </c>
      <c r="L46" s="77"/>
      <c r="M46" s="77"/>
      <c r="N46" s="379" t="str">
        <f>N4</f>
        <v>RQF6 First degree</v>
      </c>
      <c r="O46" s="379"/>
      <c r="P46" s="379"/>
      <c r="Q46" s="77"/>
      <c r="R46" s="379" t="str">
        <f>R4</f>
        <v>RQF5 Foundation degree;Nursing;Teaching</v>
      </c>
      <c r="S46" s="379"/>
      <c r="T46" s="379"/>
      <c r="U46" s="77"/>
      <c r="V46" s="379" t="str">
        <f>V4</f>
        <v>RQF4 HE below degree level</v>
      </c>
      <c r="W46" s="379"/>
      <c r="X46" s="379"/>
      <c r="Y46" s="77"/>
      <c r="Z46" s="379" t="str">
        <f>Z4</f>
        <v>RQF3 A level &amp; equivalent</v>
      </c>
      <c r="AA46" s="379"/>
      <c r="AB46" s="379"/>
      <c r="AC46" s="77"/>
      <c r="AD46" s="379" t="str">
        <f>AD4</f>
        <v>RQF2 GCSE(A-C) &amp; equivalent</v>
      </c>
      <c r="AE46" s="379"/>
      <c r="AF46" s="379"/>
      <c r="AG46" s="77"/>
      <c r="AH46" s="379" t="str">
        <f>AH4</f>
        <v>RQF1 GCSE(below grade C) &amp; equivalent</v>
      </c>
      <c r="AI46" s="379"/>
      <c r="AJ46" s="379"/>
      <c r="AK46" s="77"/>
      <c r="AL46" s="379" t="str">
        <f>AL4</f>
        <v>No Qualification</v>
      </c>
      <c r="AM46" s="379"/>
      <c r="AN46" s="379"/>
    </row>
    <row r="47" spans="1:40" x14ac:dyDescent="0.2">
      <c r="A47" s="38"/>
      <c r="B47" s="41">
        <f>B5</f>
        <v>2020</v>
      </c>
      <c r="C47" s="41">
        <f>C5</f>
        <v>2025</v>
      </c>
      <c r="D47" s="41">
        <f>D5</f>
        <v>2035</v>
      </c>
      <c r="E47" s="38"/>
      <c r="F47" s="34">
        <f>B47</f>
        <v>2020</v>
      </c>
      <c r="G47" s="34">
        <f>C47</f>
        <v>2025</v>
      </c>
      <c r="H47" s="34">
        <f>D47</f>
        <v>2035</v>
      </c>
      <c r="I47" s="38"/>
      <c r="J47" s="34">
        <f>B47</f>
        <v>2020</v>
      </c>
      <c r="K47" s="34">
        <f>C47</f>
        <v>2025</v>
      </c>
      <c r="L47" s="34">
        <f>D47</f>
        <v>2035</v>
      </c>
      <c r="M47" s="38"/>
      <c r="N47" s="34">
        <f>B47</f>
        <v>2020</v>
      </c>
      <c r="O47" s="34">
        <f>C47</f>
        <v>2025</v>
      </c>
      <c r="P47" s="34">
        <f>D47</f>
        <v>2035</v>
      </c>
      <c r="Q47" s="38"/>
      <c r="R47" s="34">
        <f>F47</f>
        <v>2020</v>
      </c>
      <c r="S47" s="34">
        <f>G47</f>
        <v>2025</v>
      </c>
      <c r="T47" s="34">
        <f>H47</f>
        <v>2035</v>
      </c>
      <c r="U47" s="38"/>
      <c r="V47" s="34">
        <f>J47</f>
        <v>2020</v>
      </c>
      <c r="W47" s="34">
        <f>K47</f>
        <v>2025</v>
      </c>
      <c r="X47" s="34">
        <f>L47</f>
        <v>2035</v>
      </c>
      <c r="Y47" s="38"/>
      <c r="Z47" s="34">
        <f>N47</f>
        <v>2020</v>
      </c>
      <c r="AA47" s="34">
        <f>O47</f>
        <v>2025</v>
      </c>
      <c r="AB47" s="34">
        <f>P47</f>
        <v>2035</v>
      </c>
      <c r="AC47" s="38"/>
      <c r="AD47" s="34">
        <f>R47</f>
        <v>2020</v>
      </c>
      <c r="AE47" s="34">
        <f>S47</f>
        <v>2025</v>
      </c>
      <c r="AF47" s="34">
        <f>T47</f>
        <v>2035</v>
      </c>
      <c r="AG47" s="38"/>
      <c r="AH47" s="34">
        <f>V47</f>
        <v>2020</v>
      </c>
      <c r="AI47" s="34">
        <f>W47</f>
        <v>2025</v>
      </c>
      <c r="AJ47" s="34">
        <f>X47</f>
        <v>2035</v>
      </c>
      <c r="AK47" s="38"/>
      <c r="AL47" s="34">
        <f>Z47</f>
        <v>2020</v>
      </c>
      <c r="AM47" s="34">
        <f>AA47</f>
        <v>2025</v>
      </c>
      <c r="AN47" s="34">
        <f>AB47</f>
        <v>2035</v>
      </c>
    </row>
    <row r="48" spans="1:40" x14ac:dyDescent="0.2">
      <c r="B48" s="31"/>
      <c r="C48" s="31"/>
      <c r="D48" s="31"/>
    </row>
    <row r="49" spans="1:40" x14ac:dyDescent="0.2">
      <c r="A49" s="1" t="str">
        <f>name!C6</f>
        <v>Construction</v>
      </c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</row>
    <row r="50" spans="1:40" x14ac:dyDescent="0.2">
      <c r="A50" s="13" t="str">
        <f t="shared" ref="A50:A59" si="67">A8</f>
        <v>All occupations</v>
      </c>
      <c r="B50" s="305">
        <f>SUM(B51:B59)</f>
        <v>147.90699999913394</v>
      </c>
      <c r="C50" s="305">
        <f>SUM(C51:C59)</f>
        <v>151.27099999665498</v>
      </c>
      <c r="D50" s="305">
        <f>SUM(D51:D59)</f>
        <v>158.14499999768611</v>
      </c>
      <c r="E50" s="304"/>
      <c r="F50" s="305">
        <f>SUM(F51:F59)</f>
        <v>0.45814967527031397</v>
      </c>
      <c r="G50" s="305">
        <f>SUM(G51:G59)</f>
        <v>0.57065614142165133</v>
      </c>
      <c r="H50" s="305">
        <f>SUM(H51:H59)</f>
        <v>0.83963662211166767</v>
      </c>
      <c r="I50" s="304"/>
      <c r="J50" s="305">
        <f>SUM(J51:J59)</f>
        <v>7.1023047911877288</v>
      </c>
      <c r="K50" s="305">
        <f>SUM(K51:K59)</f>
        <v>9.1534734724417781</v>
      </c>
      <c r="L50" s="305">
        <f>SUM(L51:L59)</f>
        <v>13.277741491453245</v>
      </c>
      <c r="M50" s="304"/>
      <c r="N50" s="305">
        <f>SUM(N51:N59)</f>
        <v>15.346767552805133</v>
      </c>
      <c r="O50" s="305">
        <f>SUM(O51:O59)</f>
        <v>16.350284308549945</v>
      </c>
      <c r="P50" s="305">
        <f>SUM(P51:P59)</f>
        <v>20.007223403730155</v>
      </c>
      <c r="Q50" s="304"/>
      <c r="R50" s="305">
        <f>SUM(R51:R59)</f>
        <v>4.8103912078067621</v>
      </c>
      <c r="S50" s="305">
        <f>SUM(S51:S59)</f>
        <v>4.982660634373012</v>
      </c>
      <c r="T50" s="305">
        <f>SUM(T51:T59)</f>
        <v>6.3558386501290807</v>
      </c>
      <c r="U50" s="304"/>
      <c r="V50" s="305">
        <f>SUM(V51:V59)</f>
        <v>10.136611768094916</v>
      </c>
      <c r="W50" s="305">
        <f>SUM(W51:W59)</f>
        <v>10.19471145115773</v>
      </c>
      <c r="X50" s="305">
        <f>SUM(X51:X59)</f>
        <v>12.116968795044023</v>
      </c>
      <c r="Y50" s="304"/>
      <c r="Z50" s="305">
        <f>SUM(Z51:Z59)</f>
        <v>45.06386297539418</v>
      </c>
      <c r="AA50" s="305">
        <f>SUM(AA51:AA59)</f>
        <v>47.829794887578593</v>
      </c>
      <c r="AB50" s="305">
        <f>SUM(AB51:AB59)</f>
        <v>53.180593102833292</v>
      </c>
      <c r="AC50" s="304"/>
      <c r="AD50" s="305">
        <f>SUM(AD51:AD59)</f>
        <v>35.532196947860157</v>
      </c>
      <c r="AE50" s="305">
        <f>SUM(AE51:AE59)</f>
        <v>35.421978323590963</v>
      </c>
      <c r="AF50" s="305">
        <f>SUM(AF51:AF59)</f>
        <v>34.117980124213588</v>
      </c>
      <c r="AG50" s="304"/>
      <c r="AH50" s="305">
        <f>SUM(AH51:AH59)</f>
        <v>23.148278175748338</v>
      </c>
      <c r="AI50" s="305">
        <f>SUM(AI51:AI59)</f>
        <v>21.106431620918645</v>
      </c>
      <c r="AJ50" s="305">
        <f>SUM(AJ51:AJ59)</f>
        <v>15.390922167249832</v>
      </c>
      <c r="AK50" s="304"/>
      <c r="AL50" s="305">
        <f>SUM(AL51:AL59)</f>
        <v>6.3084369049664071</v>
      </c>
      <c r="AM50" s="305">
        <f>SUM(AM51:AM59)</f>
        <v>5.6610091566226197</v>
      </c>
      <c r="AN50" s="305">
        <f>SUM(AN51:AN59)</f>
        <v>2.8580956409212357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17.71758955629188</v>
      </c>
      <c r="C51" s="304">
        <f t="shared" ref="C51:D51" si="68">SUM(G51,K51,O51,S51,W51,AA51,AE51,AI51,AM51)</f>
        <v>17.08000495604993</v>
      </c>
      <c r="D51" s="304">
        <f t="shared" si="68"/>
        <v>19.483189934963466</v>
      </c>
      <c r="E51" s="304"/>
      <c r="F51" s="304">
        <v>6.597077900202182E-2</v>
      </c>
      <c r="G51" s="304">
        <v>8.860565276319822E-2</v>
      </c>
      <c r="H51" s="304">
        <v>0.13708155874155795</v>
      </c>
      <c r="I51" s="304"/>
      <c r="J51" s="304">
        <v>1.5055296007568899</v>
      </c>
      <c r="K51" s="304">
        <v>1.8575847203454472</v>
      </c>
      <c r="L51" s="304">
        <v>2.7458230921630236</v>
      </c>
      <c r="M51" s="304"/>
      <c r="N51" s="304">
        <v>3.0765647651947354</v>
      </c>
      <c r="O51" s="304">
        <v>3.1189236017923685</v>
      </c>
      <c r="P51" s="304">
        <v>3.8782986655124665</v>
      </c>
      <c r="Q51" s="304"/>
      <c r="R51" s="304">
        <v>0.76217034996040434</v>
      </c>
      <c r="S51" s="304">
        <v>0.68779189221608317</v>
      </c>
      <c r="T51" s="304">
        <v>0.72414183329469428</v>
      </c>
      <c r="U51" s="304"/>
      <c r="V51" s="304">
        <v>1.9282184687790804</v>
      </c>
      <c r="W51" s="304">
        <v>1.8198130427981625</v>
      </c>
      <c r="X51" s="304">
        <v>2.1816505313876382</v>
      </c>
      <c r="Y51" s="304"/>
      <c r="Z51" s="304">
        <v>4.81839787363573</v>
      </c>
      <c r="AA51" s="304">
        <v>4.5550520203103213</v>
      </c>
      <c r="AB51" s="304">
        <v>5.5097154022154049</v>
      </c>
      <c r="AC51" s="304"/>
      <c r="AD51" s="304">
        <v>3.0436832751473371</v>
      </c>
      <c r="AE51" s="304">
        <v>2.5979308084527641</v>
      </c>
      <c r="AF51" s="304">
        <v>2.3815724831209262</v>
      </c>
      <c r="AG51" s="304"/>
      <c r="AH51" s="304">
        <v>1.933430033542781</v>
      </c>
      <c r="AI51" s="304">
        <v>1.6775660989040009</v>
      </c>
      <c r="AJ51" s="304">
        <v>1.3190978090884298</v>
      </c>
      <c r="AK51" s="304"/>
      <c r="AL51" s="304">
        <v>0.58362441027290091</v>
      </c>
      <c r="AM51" s="304">
        <v>0.67673711846758444</v>
      </c>
      <c r="AN51" s="304">
        <v>0.60580855943932377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27.028108739556529</v>
      </c>
      <c r="C52" s="304">
        <f t="shared" ref="C52:C59" si="70">SUM(G52,K52,O52,S52,W52,AA52,AE52,AI52,AM52)</f>
        <v>28.7031071942606</v>
      </c>
      <c r="D52" s="304">
        <f t="shared" ref="D52:D59" si="71">SUM(H52,L52,P52,T52,X52,AB52,AF52,AJ52,AN52)</f>
        <v>33.293651580847346</v>
      </c>
      <c r="E52" s="304"/>
      <c r="F52" s="304">
        <v>0.21366635429120021</v>
      </c>
      <c r="G52" s="304">
        <v>0.25315318864702968</v>
      </c>
      <c r="H52" s="304">
        <v>0.32749020280813046</v>
      </c>
      <c r="I52" s="304"/>
      <c r="J52" s="304">
        <v>3.3155108558149053</v>
      </c>
      <c r="K52" s="304">
        <v>4.3610313488658727</v>
      </c>
      <c r="L52" s="304">
        <v>6.2532309376523498</v>
      </c>
      <c r="M52" s="304"/>
      <c r="N52" s="304">
        <v>5.6942259490253564</v>
      </c>
      <c r="O52" s="304">
        <v>5.7172779238850202</v>
      </c>
      <c r="P52" s="304">
        <v>6.2790851332057462</v>
      </c>
      <c r="Q52" s="304"/>
      <c r="R52" s="304">
        <v>0.7001105142076206</v>
      </c>
      <c r="S52" s="304">
        <v>0.57356011238006388</v>
      </c>
      <c r="T52" s="304">
        <v>0.69928175766972889</v>
      </c>
      <c r="U52" s="304"/>
      <c r="V52" s="304">
        <v>2.2418444165082074</v>
      </c>
      <c r="W52" s="304">
        <v>1.8492798060540587</v>
      </c>
      <c r="X52" s="304">
        <v>1.4208748191275344</v>
      </c>
      <c r="Y52" s="304"/>
      <c r="Z52" s="304">
        <v>8.0454691650540919</v>
      </c>
      <c r="AA52" s="304">
        <v>9.1419270588430255</v>
      </c>
      <c r="AB52" s="304">
        <v>12.117980697287283</v>
      </c>
      <c r="AC52" s="304"/>
      <c r="AD52" s="304">
        <v>4.4891639947257387</v>
      </c>
      <c r="AE52" s="304">
        <v>4.443704249974803</v>
      </c>
      <c r="AF52" s="304">
        <v>4.4247990158055366</v>
      </c>
      <c r="AG52" s="304"/>
      <c r="AH52" s="304">
        <v>1.7769851422477267</v>
      </c>
      <c r="AI52" s="304">
        <v>1.6975877950088694</v>
      </c>
      <c r="AJ52" s="304">
        <v>1.2772315001430752</v>
      </c>
      <c r="AK52" s="304"/>
      <c r="AL52" s="304">
        <v>0.55113234768167918</v>
      </c>
      <c r="AM52" s="304">
        <v>0.66558571060185712</v>
      </c>
      <c r="AN52" s="304">
        <v>0.49367751714795516</v>
      </c>
    </row>
    <row r="53" spans="1:40" x14ac:dyDescent="0.2">
      <c r="A53" s="13" t="str">
        <f t="shared" si="67"/>
        <v>Associate professional occupations</v>
      </c>
      <c r="B53" s="304">
        <f t="shared" si="69"/>
        <v>12.589143112419897</v>
      </c>
      <c r="C53" s="304">
        <f t="shared" si="70"/>
        <v>11.706982642097124</v>
      </c>
      <c r="D53" s="304">
        <f t="shared" si="71"/>
        <v>13.022989280631762</v>
      </c>
      <c r="E53" s="304"/>
      <c r="F53" s="304">
        <v>2.2508629237231365E-2</v>
      </c>
      <c r="G53" s="304">
        <v>2.6987746098943541E-2</v>
      </c>
      <c r="H53" s="304">
        <v>4.1521223460648564E-2</v>
      </c>
      <c r="I53" s="304"/>
      <c r="J53" s="304">
        <v>0.9058021952328027</v>
      </c>
      <c r="K53" s="304">
        <v>1.0821836790537984</v>
      </c>
      <c r="L53" s="304">
        <v>1.6235862834702297</v>
      </c>
      <c r="M53" s="304"/>
      <c r="N53" s="304">
        <v>2.0108882107221118</v>
      </c>
      <c r="O53" s="304">
        <v>1.9732530666404358</v>
      </c>
      <c r="P53" s="304">
        <v>2.3685738782186658</v>
      </c>
      <c r="Q53" s="304"/>
      <c r="R53" s="304">
        <v>0.84135173562093835</v>
      </c>
      <c r="S53" s="304">
        <v>0.87602164349176836</v>
      </c>
      <c r="T53" s="304">
        <v>1.1465975603369096</v>
      </c>
      <c r="U53" s="304"/>
      <c r="V53" s="304">
        <v>1.7125211377875029</v>
      </c>
      <c r="W53" s="304">
        <v>1.5387915053910268</v>
      </c>
      <c r="X53" s="304">
        <v>1.8715260060109542</v>
      </c>
      <c r="Y53" s="304"/>
      <c r="Z53" s="304">
        <v>2.6484587956767647</v>
      </c>
      <c r="AA53" s="304">
        <v>2.1625096103715857</v>
      </c>
      <c r="AB53" s="304">
        <v>2.1215644547123702</v>
      </c>
      <c r="AC53" s="304"/>
      <c r="AD53" s="304">
        <v>2.4079793217101222</v>
      </c>
      <c r="AE53" s="304">
        <v>2.1555017142666455</v>
      </c>
      <c r="AF53" s="304">
        <v>2.2070712149600329</v>
      </c>
      <c r="AG53" s="304"/>
      <c r="AH53" s="304">
        <v>1.8084862899927439</v>
      </c>
      <c r="AI53" s="304">
        <v>1.6918502490736445</v>
      </c>
      <c r="AJ53" s="304">
        <v>1.4591478487522356</v>
      </c>
      <c r="AK53" s="304"/>
      <c r="AL53" s="304">
        <v>0.23114679643967762</v>
      </c>
      <c r="AM53" s="304">
        <v>0.19988342770927656</v>
      </c>
      <c r="AN53" s="304">
        <v>0.18340081070971487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13.915667794179278</v>
      </c>
      <c r="C54" s="304">
        <f t="shared" si="70"/>
        <v>13.592296765940505</v>
      </c>
      <c r="D54" s="304">
        <f t="shared" si="71"/>
        <v>13.624259330578074</v>
      </c>
      <c r="E54" s="304"/>
      <c r="F54" s="304">
        <v>0.1042050365711252</v>
      </c>
      <c r="G54" s="304">
        <v>0.11570129765759238</v>
      </c>
      <c r="H54" s="304">
        <v>0.19613794166067594</v>
      </c>
      <c r="I54" s="304"/>
      <c r="J54" s="304">
        <v>0.70263126776512896</v>
      </c>
      <c r="K54" s="304">
        <v>0.93059393596284579</v>
      </c>
      <c r="L54" s="304">
        <v>1.3566446885638819</v>
      </c>
      <c r="M54" s="304"/>
      <c r="N54" s="304">
        <v>2.2421463942943474</v>
      </c>
      <c r="O54" s="304">
        <v>2.6553935406681539</v>
      </c>
      <c r="P54" s="304">
        <v>3.6390669083643754</v>
      </c>
      <c r="Q54" s="304"/>
      <c r="R54" s="304">
        <v>1.2728923443535092</v>
      </c>
      <c r="S54" s="304">
        <v>1.3050480166363621</v>
      </c>
      <c r="T54" s="304">
        <v>1.7189574477547958</v>
      </c>
      <c r="U54" s="304"/>
      <c r="V54" s="304">
        <v>0.71600960082452503</v>
      </c>
      <c r="W54" s="304">
        <v>0.7101712581612023</v>
      </c>
      <c r="X54" s="304">
        <v>1.0089068991690409</v>
      </c>
      <c r="Y54" s="304"/>
      <c r="Z54" s="304">
        <v>2.5836129384449094</v>
      </c>
      <c r="AA54" s="304">
        <v>2.2195654879088442</v>
      </c>
      <c r="AB54" s="304">
        <v>1.844409646203139</v>
      </c>
      <c r="AC54" s="304"/>
      <c r="AD54" s="304">
        <v>2.2596568192354258</v>
      </c>
      <c r="AE54" s="304">
        <v>1.6485100198279401</v>
      </c>
      <c r="AF54" s="304">
        <v>0.91145164657306299</v>
      </c>
      <c r="AG54" s="304"/>
      <c r="AH54" s="304">
        <v>3.4677733239456674</v>
      </c>
      <c r="AI54" s="304">
        <v>3.6576260627267594</v>
      </c>
      <c r="AJ54" s="304">
        <v>2.7658755413462024</v>
      </c>
      <c r="AK54" s="304"/>
      <c r="AL54" s="304">
        <v>0.56674006874464034</v>
      </c>
      <c r="AM54" s="304">
        <v>0.34968714639080445</v>
      </c>
      <c r="AN54" s="304">
        <v>0.18280861094289991</v>
      </c>
    </row>
    <row r="55" spans="1:40" x14ac:dyDescent="0.2">
      <c r="A55" s="13" t="str">
        <f t="shared" si="67"/>
        <v>Skilled trades occupations</v>
      </c>
      <c r="B55" s="304">
        <f t="shared" si="69"/>
        <v>49.242480961208841</v>
      </c>
      <c r="C55" s="304">
        <f t="shared" si="70"/>
        <v>50.051945671594098</v>
      </c>
      <c r="D55" s="304">
        <f t="shared" si="71"/>
        <v>47.5970783486692</v>
      </c>
      <c r="E55" s="304"/>
      <c r="F55" s="304">
        <v>6.3614226498458371E-3</v>
      </c>
      <c r="G55" s="304">
        <v>8.3168503701552335E-3</v>
      </c>
      <c r="H55" s="304">
        <v>1.1197445756108662E-2</v>
      </c>
      <c r="I55" s="304"/>
      <c r="J55" s="304">
        <v>0.27892562092003254</v>
      </c>
      <c r="K55" s="304">
        <v>0.38707317902351401</v>
      </c>
      <c r="L55" s="304">
        <v>0.54175258887349043</v>
      </c>
      <c r="M55" s="304"/>
      <c r="N55" s="304">
        <v>1.3809134576803508</v>
      </c>
      <c r="O55" s="304">
        <v>1.7240187666985589</v>
      </c>
      <c r="P55" s="304">
        <v>2.3303533465562669</v>
      </c>
      <c r="Q55" s="304"/>
      <c r="R55" s="304">
        <v>0.81848690610833985</v>
      </c>
      <c r="S55" s="304">
        <v>0.98987093002914706</v>
      </c>
      <c r="T55" s="304">
        <v>1.2907175044044952</v>
      </c>
      <c r="U55" s="304"/>
      <c r="V55" s="304">
        <v>2.4058607901933882</v>
      </c>
      <c r="W55" s="304">
        <v>2.8469092005022802</v>
      </c>
      <c r="X55" s="304">
        <v>3.8876524133656298</v>
      </c>
      <c r="Y55" s="304"/>
      <c r="Z55" s="304">
        <v>18.940212641521249</v>
      </c>
      <c r="AA55" s="304">
        <v>19.612786991097703</v>
      </c>
      <c r="AB55" s="304">
        <v>18.651917998688262</v>
      </c>
      <c r="AC55" s="304"/>
      <c r="AD55" s="304">
        <v>15.126379799943434</v>
      </c>
      <c r="AE55" s="304">
        <v>15.237503033463883</v>
      </c>
      <c r="AF55" s="304">
        <v>14.748485139935191</v>
      </c>
      <c r="AG55" s="304"/>
      <c r="AH55" s="304">
        <v>7.6420610386490484</v>
      </c>
      <c r="AI55" s="304">
        <v>6.7861551335252113</v>
      </c>
      <c r="AJ55" s="304">
        <v>5.4979679999299282</v>
      </c>
      <c r="AK55" s="304"/>
      <c r="AL55" s="304">
        <v>2.64327928354315</v>
      </c>
      <c r="AM55" s="304">
        <v>2.4593115868836422</v>
      </c>
      <c r="AN55" s="304">
        <v>0.63703391115982932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0.50577077125677705</v>
      </c>
      <c r="C56" s="304">
        <f t="shared" si="70"/>
        <v>0.52735211150834505</v>
      </c>
      <c r="D56" s="304">
        <f t="shared" si="71"/>
        <v>0.60001734247578487</v>
      </c>
      <c r="E56" s="304"/>
      <c r="F56" s="304">
        <v>3.2527323777602229E-4</v>
      </c>
      <c r="G56" s="304">
        <v>3.433238598165549E-4</v>
      </c>
      <c r="H56" s="304">
        <v>5.5623365596843772E-4</v>
      </c>
      <c r="I56" s="304"/>
      <c r="J56" s="304">
        <v>1.5660903534678423E-2</v>
      </c>
      <c r="K56" s="304">
        <v>1.9027738391060579E-2</v>
      </c>
      <c r="L56" s="304">
        <v>2.3098847447255492E-2</v>
      </c>
      <c r="M56" s="304"/>
      <c r="N56" s="304">
        <v>2.1981919230497766E-2</v>
      </c>
      <c r="O56" s="304">
        <v>2.4090267396951841E-2</v>
      </c>
      <c r="P56" s="304">
        <v>3.0793268965128712E-2</v>
      </c>
      <c r="Q56" s="304"/>
      <c r="R56" s="304">
        <v>4.1103359895780702E-3</v>
      </c>
      <c r="S56" s="304">
        <v>4.8610416824356661E-3</v>
      </c>
      <c r="T56" s="304">
        <v>5.8289113798740385E-3</v>
      </c>
      <c r="U56" s="304"/>
      <c r="V56" s="304">
        <v>1.2875842444768424E-2</v>
      </c>
      <c r="W56" s="304">
        <v>1.3628716200263702E-2</v>
      </c>
      <c r="X56" s="304">
        <v>1.6045946110330583E-2</v>
      </c>
      <c r="Y56" s="304"/>
      <c r="Z56" s="304">
        <v>0.16820554594781997</v>
      </c>
      <c r="AA56" s="304">
        <v>0.20727162418267683</v>
      </c>
      <c r="AB56" s="304">
        <v>0.28121383462955907</v>
      </c>
      <c r="AC56" s="304"/>
      <c r="AD56" s="304">
        <v>3.9313691332103537E-2</v>
      </c>
      <c r="AE56" s="304">
        <v>3.7754358465048571E-2</v>
      </c>
      <c r="AF56" s="304">
        <v>4.3869964273583049E-2</v>
      </c>
      <c r="AG56" s="304"/>
      <c r="AH56" s="304">
        <v>0.14457067449744768</v>
      </c>
      <c r="AI56" s="304">
        <v>0.1118399932428117</v>
      </c>
      <c r="AJ56" s="304">
        <v>9.455306478001245E-2</v>
      </c>
      <c r="AK56" s="304"/>
      <c r="AL56" s="304">
        <v>9.8726585042107198E-2</v>
      </c>
      <c r="AM56" s="304">
        <v>0.10853504808727969</v>
      </c>
      <c r="AN56" s="304">
        <v>0.10405727123407307</v>
      </c>
    </row>
    <row r="57" spans="1:40" x14ac:dyDescent="0.2">
      <c r="A57" s="13" t="str">
        <f t="shared" si="67"/>
        <v>Sales and customer service occupations</v>
      </c>
      <c r="B57" s="304">
        <f t="shared" si="69"/>
        <v>3.6051103374148523</v>
      </c>
      <c r="C57" s="304">
        <f t="shared" si="70"/>
        <v>4.088609265307718</v>
      </c>
      <c r="D57" s="304">
        <f t="shared" si="71"/>
        <v>4.3423720585591408</v>
      </c>
      <c r="E57" s="304"/>
      <c r="F57" s="304">
        <v>7.0692395200663786E-3</v>
      </c>
      <c r="G57" s="304">
        <v>1.021859187053149E-2</v>
      </c>
      <c r="H57" s="304">
        <v>1.5681021541914895E-2</v>
      </c>
      <c r="I57" s="304"/>
      <c r="J57" s="304">
        <v>0.20086830349671514</v>
      </c>
      <c r="K57" s="304">
        <v>0.22961117253584112</v>
      </c>
      <c r="L57" s="304">
        <v>0.27221388479615277</v>
      </c>
      <c r="M57" s="304"/>
      <c r="N57" s="304">
        <v>0.53294121985482201</v>
      </c>
      <c r="O57" s="304">
        <v>0.65202690710993949</v>
      </c>
      <c r="P57" s="304">
        <v>0.81902817241071191</v>
      </c>
      <c r="Q57" s="304"/>
      <c r="R57" s="304">
        <v>0.14832721612629962</v>
      </c>
      <c r="S57" s="304">
        <v>0.19371613667835805</v>
      </c>
      <c r="T57" s="304">
        <v>0.250343078239471</v>
      </c>
      <c r="U57" s="304"/>
      <c r="V57" s="304">
        <v>0.19291180486986115</v>
      </c>
      <c r="W57" s="304">
        <v>0.23079406848541834</v>
      </c>
      <c r="X57" s="304">
        <v>0.27351178207400112</v>
      </c>
      <c r="Y57" s="304"/>
      <c r="Z57" s="304">
        <v>1.5679864916241626</v>
      </c>
      <c r="AA57" s="304">
        <v>1.7713797868922589</v>
      </c>
      <c r="AB57" s="304">
        <v>2.1056388803425667</v>
      </c>
      <c r="AC57" s="304"/>
      <c r="AD57" s="304">
        <v>0.25188648059758467</v>
      </c>
      <c r="AE57" s="304">
        <v>0.17530884885537684</v>
      </c>
      <c r="AF57" s="304">
        <v>7.7495025561936187E-2</v>
      </c>
      <c r="AG57" s="304"/>
      <c r="AH57" s="304">
        <v>0.37415196622848351</v>
      </c>
      <c r="AI57" s="304">
        <v>0.41083992689793697</v>
      </c>
      <c r="AJ57" s="304">
        <v>0.17723659717991005</v>
      </c>
      <c r="AK57" s="304"/>
      <c r="AL57" s="304">
        <v>0.32896761509685751</v>
      </c>
      <c r="AM57" s="304">
        <v>0.41471382598205725</v>
      </c>
      <c r="AN57" s="304">
        <v>0.3512236164124759</v>
      </c>
    </row>
    <row r="58" spans="1:40" x14ac:dyDescent="0.2">
      <c r="A58" s="13" t="str">
        <f t="shared" si="67"/>
        <v>Process, plant and machine operatives</v>
      </c>
      <c r="B58" s="304">
        <f t="shared" si="69"/>
        <v>14.3900183744343</v>
      </c>
      <c r="C58" s="304">
        <f t="shared" si="70"/>
        <v>17.037017086882635</v>
      </c>
      <c r="D58" s="304">
        <f t="shared" si="71"/>
        <v>17.431300338671932</v>
      </c>
      <c r="E58" s="304"/>
      <c r="F58" s="304">
        <v>3.7260595598779561E-2</v>
      </c>
      <c r="G58" s="304">
        <v>6.6256613633246336E-2</v>
      </c>
      <c r="H58" s="304">
        <v>0.10859949641393003</v>
      </c>
      <c r="I58" s="304"/>
      <c r="J58" s="304">
        <v>0.11128254862466729</v>
      </c>
      <c r="K58" s="304">
        <v>0.19179812540731916</v>
      </c>
      <c r="L58" s="304">
        <v>0.31712000140706553</v>
      </c>
      <c r="M58" s="304"/>
      <c r="N58" s="304">
        <v>0.17893587072916339</v>
      </c>
      <c r="O58" s="304">
        <v>0.25521417308374861</v>
      </c>
      <c r="P58" s="304">
        <v>0.40832143265453019</v>
      </c>
      <c r="Q58" s="304"/>
      <c r="R58" s="304">
        <v>0.21205254341424398</v>
      </c>
      <c r="S58" s="304">
        <v>0.29627731525256495</v>
      </c>
      <c r="T58" s="304">
        <v>0.461290869817298</v>
      </c>
      <c r="U58" s="304"/>
      <c r="V58" s="304">
        <v>0.59079358295942785</v>
      </c>
      <c r="W58" s="304">
        <v>0.79983766088495778</v>
      </c>
      <c r="X58" s="304">
        <v>1.0302154646176982</v>
      </c>
      <c r="Y58" s="304"/>
      <c r="Z58" s="304">
        <v>3.9915829381134196</v>
      </c>
      <c r="AA58" s="304">
        <v>5.3937164938221418</v>
      </c>
      <c r="AB58" s="304">
        <v>6.6735457793394151</v>
      </c>
      <c r="AC58" s="304"/>
      <c r="AD58" s="304">
        <v>5.2265093938112122</v>
      </c>
      <c r="AE58" s="304">
        <v>6.4984793042833102</v>
      </c>
      <c r="AF58" s="304">
        <v>6.7515065195684398</v>
      </c>
      <c r="AG58" s="304"/>
      <c r="AH58" s="304">
        <v>3.3889759894301399</v>
      </c>
      <c r="AI58" s="304">
        <v>2.9637445553104373</v>
      </c>
      <c r="AJ58" s="304">
        <v>1.4710440067853197</v>
      </c>
      <c r="AK58" s="304"/>
      <c r="AL58" s="304">
        <v>0.65262491175324677</v>
      </c>
      <c r="AM58" s="304">
        <v>0.57169284520490649</v>
      </c>
      <c r="AN58" s="304">
        <v>0.20965676806823544</v>
      </c>
    </row>
    <row r="59" spans="1:40" x14ac:dyDescent="0.2">
      <c r="A59" s="13" t="str">
        <f t="shared" si="67"/>
        <v>Elementary occupations</v>
      </c>
      <c r="B59" s="304">
        <f t="shared" si="69"/>
        <v>8.9131103523715751</v>
      </c>
      <c r="C59" s="304">
        <f t="shared" si="70"/>
        <v>8.4836843030139963</v>
      </c>
      <c r="D59" s="304">
        <f t="shared" si="71"/>
        <v>8.7501417822894094</v>
      </c>
      <c r="E59" s="304"/>
      <c r="F59" s="304">
        <v>7.8234516226754613E-4</v>
      </c>
      <c r="G59" s="304">
        <v>1.0728765211378856E-3</v>
      </c>
      <c r="H59" s="304">
        <v>1.3714980727326065E-3</v>
      </c>
      <c r="I59" s="304"/>
      <c r="J59" s="304">
        <v>6.6093495041907591E-2</v>
      </c>
      <c r="K59" s="304">
        <v>9.456957285607985E-2</v>
      </c>
      <c r="L59" s="304">
        <v>0.14427116707979451</v>
      </c>
      <c r="M59" s="304"/>
      <c r="N59" s="304">
        <v>0.20816976607374954</v>
      </c>
      <c r="O59" s="304">
        <v>0.23008606127476866</v>
      </c>
      <c r="P59" s="304">
        <v>0.25370259784226173</v>
      </c>
      <c r="Q59" s="304"/>
      <c r="R59" s="304">
        <v>5.0889262025827893E-2</v>
      </c>
      <c r="S59" s="304">
        <v>5.551354600622864E-2</v>
      </c>
      <c r="T59" s="304">
        <v>5.8679687231814374E-2</v>
      </c>
      <c r="U59" s="304"/>
      <c r="V59" s="304">
        <v>0.33557612372815188</v>
      </c>
      <c r="W59" s="304">
        <v>0.38548619268035916</v>
      </c>
      <c r="X59" s="304">
        <v>0.42658493318119611</v>
      </c>
      <c r="Y59" s="304"/>
      <c r="Z59" s="304">
        <v>2.2999365853760287</v>
      </c>
      <c r="AA59" s="304">
        <v>2.7655858141500365</v>
      </c>
      <c r="AB59" s="304">
        <v>3.8746064094152874</v>
      </c>
      <c r="AC59" s="304"/>
      <c r="AD59" s="304">
        <v>2.6876241713571996</v>
      </c>
      <c r="AE59" s="304">
        <v>2.6272859860011986</v>
      </c>
      <c r="AF59" s="304">
        <v>2.5717291144148748</v>
      </c>
      <c r="AG59" s="304"/>
      <c r="AH59" s="304">
        <v>2.611843717214295</v>
      </c>
      <c r="AI59" s="304">
        <v>2.109221806228974</v>
      </c>
      <c r="AJ59" s="304">
        <v>1.3287677992447198</v>
      </c>
      <c r="AK59" s="304"/>
      <c r="AL59" s="304">
        <v>0.65219488639214751</v>
      </c>
      <c r="AM59" s="304">
        <v>0.21486244729521176</v>
      </c>
      <c r="AN59" s="304">
        <v>9.0428575806728181E-2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671.57400001072642</v>
      </c>
      <c r="C62" s="305">
        <f>SUM(C63:C71)</f>
        <v>683.03300001333264</v>
      </c>
      <c r="D62" s="305">
        <f>SUM(D63:D71)</f>
        <v>703.64000000016813</v>
      </c>
      <c r="E62" s="304"/>
      <c r="F62" s="305">
        <f>SUM(F63:F71)</f>
        <v>1.8547620943360348</v>
      </c>
      <c r="G62" s="305">
        <f>SUM(G63:G71)</f>
        <v>2.5236381378124837</v>
      </c>
      <c r="H62" s="305">
        <f>SUM(H63:H71)</f>
        <v>4.0059260177185312</v>
      </c>
      <c r="I62" s="304"/>
      <c r="J62" s="305">
        <f>SUM(J63:J71)</f>
        <v>20.083347797911674</v>
      </c>
      <c r="K62" s="305">
        <f>SUM(K63:K71)</f>
        <v>26.192130511077419</v>
      </c>
      <c r="L62" s="305">
        <f>SUM(L63:L71)</f>
        <v>40.365693782009359</v>
      </c>
      <c r="M62" s="304"/>
      <c r="N62" s="305">
        <f>SUM(N63:N71)</f>
        <v>84.027324928175318</v>
      </c>
      <c r="O62" s="305">
        <f>SUM(O63:O71)</f>
        <v>97.894299954805291</v>
      </c>
      <c r="P62" s="305">
        <f>SUM(P63:P71)</f>
        <v>136.62946055649206</v>
      </c>
      <c r="Q62" s="304"/>
      <c r="R62" s="305">
        <f>SUM(R63:R71)</f>
        <v>25.840034079597764</v>
      </c>
      <c r="S62" s="305">
        <f>SUM(S63:S71)</f>
        <v>29.456073294890949</v>
      </c>
      <c r="T62" s="305">
        <f>SUM(T63:T71)</f>
        <v>40.961920975510445</v>
      </c>
      <c r="U62" s="304"/>
      <c r="V62" s="305">
        <f>SUM(V63:V71)</f>
        <v>30.317303682697414</v>
      </c>
      <c r="W62" s="305">
        <f>SUM(W63:W71)</f>
        <v>33.530511785745766</v>
      </c>
      <c r="X62" s="305">
        <f>SUM(X63:X71)</f>
        <v>44.59027780879871</v>
      </c>
      <c r="Y62" s="304"/>
      <c r="Z62" s="305">
        <f>SUM(Z63:Z71)</f>
        <v>166.77681650885404</v>
      </c>
      <c r="AA62" s="305">
        <f>SUM(AA63:AA71)</f>
        <v>174.97893890507632</v>
      </c>
      <c r="AB62" s="305">
        <f>SUM(AB63:AB71)</f>
        <v>199.1747476528358</v>
      </c>
      <c r="AC62" s="304"/>
      <c r="AD62" s="305">
        <f>SUM(AD63:AD71)</f>
        <v>180.73519223641142</v>
      </c>
      <c r="AE62" s="305">
        <f>SUM(AE63:AE71)</f>
        <v>170.87557005325019</v>
      </c>
      <c r="AF62" s="305">
        <f>SUM(AF63:AF71)</f>
        <v>150.14416517886673</v>
      </c>
      <c r="AG62" s="304"/>
      <c r="AH62" s="305">
        <f>SUM(AH63:AH71)</f>
        <v>125.73656172031735</v>
      </c>
      <c r="AI62" s="305">
        <f>SUM(AI63:AI71)</f>
        <v>113.32713440452174</v>
      </c>
      <c r="AJ62" s="305">
        <f>SUM(AJ63:AJ71)</f>
        <v>64.515788100441057</v>
      </c>
      <c r="AK62" s="304"/>
      <c r="AL62" s="305">
        <f>SUM(AL63:AL71)</f>
        <v>36.20265696242533</v>
      </c>
      <c r="AM62" s="305">
        <f>SUM(AM63:AM71)</f>
        <v>34.254702966152507</v>
      </c>
      <c r="AN62" s="305">
        <f>SUM(AN63:AN71)</f>
        <v>23.252019927495418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86.170085574664114</v>
      </c>
      <c r="C63" s="304">
        <f t="shared" ref="C63:C71" si="73">SUM(G63,K63,O63,S63,W63,AA63,AE63,AI63,AM63)</f>
        <v>90.606399857518937</v>
      </c>
      <c r="D63" s="304">
        <f t="shared" ref="D63:D71" si="74">SUM(H63,L63,P63,T63,X63,AB63,AF63,AJ63,AN63)</f>
        <v>103.93559609838113</v>
      </c>
      <c r="E63" s="304"/>
      <c r="F63" s="304">
        <v>0.32197036556521097</v>
      </c>
      <c r="G63" s="304">
        <v>0.44284575795418013</v>
      </c>
      <c r="H63" s="304">
        <v>0.70285221375520879</v>
      </c>
      <c r="I63" s="304"/>
      <c r="J63" s="304">
        <v>4.339530500006858</v>
      </c>
      <c r="K63" s="304">
        <v>5.6380947029105668</v>
      </c>
      <c r="L63" s="304">
        <v>8.7272189482925011</v>
      </c>
      <c r="M63" s="304"/>
      <c r="N63" s="304">
        <v>18.261885756693299</v>
      </c>
      <c r="O63" s="304">
        <v>21.10379439457585</v>
      </c>
      <c r="P63" s="304">
        <v>29.330478243808372</v>
      </c>
      <c r="Q63" s="304"/>
      <c r="R63" s="304">
        <v>3.4678166669714328</v>
      </c>
      <c r="S63" s="304">
        <v>3.6389526376948931</v>
      </c>
      <c r="T63" s="304">
        <v>4.9357025810987709</v>
      </c>
      <c r="U63" s="304"/>
      <c r="V63" s="304">
        <v>5.1920358362477188</v>
      </c>
      <c r="W63" s="304">
        <v>5.5013660519652863</v>
      </c>
      <c r="X63" s="304">
        <v>6.9075414029533366</v>
      </c>
      <c r="Y63" s="304"/>
      <c r="Z63" s="304">
        <v>19.933568306725849</v>
      </c>
      <c r="AA63" s="304">
        <v>21.27081533871085</v>
      </c>
      <c r="AB63" s="304">
        <v>26.290978739921687</v>
      </c>
      <c r="AC63" s="304"/>
      <c r="AD63" s="304">
        <v>18.226092504505452</v>
      </c>
      <c r="AE63" s="304">
        <v>17.010061900649923</v>
      </c>
      <c r="AF63" s="304">
        <v>14.26561245147732</v>
      </c>
      <c r="AG63" s="304"/>
      <c r="AH63" s="304">
        <v>14.277335070704037</v>
      </c>
      <c r="AI63" s="304">
        <v>13.510243674216323</v>
      </c>
      <c r="AJ63" s="304">
        <v>9.7652308200722562</v>
      </c>
      <c r="AK63" s="304"/>
      <c r="AL63" s="304">
        <v>2.1498505672442505</v>
      </c>
      <c r="AM63" s="304">
        <v>2.4902253988410559</v>
      </c>
      <c r="AN63" s="304">
        <v>3.0099806970016654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49.879376890203247</v>
      </c>
      <c r="C64" s="304">
        <f t="shared" si="73"/>
        <v>54.997259856999577</v>
      </c>
      <c r="D64" s="304">
        <f t="shared" si="74"/>
        <v>63.512936881428196</v>
      </c>
      <c r="E64" s="304"/>
      <c r="F64" s="304">
        <v>0.76126810584125837</v>
      </c>
      <c r="G64" s="304">
        <v>1.0496195466663083</v>
      </c>
      <c r="H64" s="304">
        <v>1.627059366497503</v>
      </c>
      <c r="I64" s="304"/>
      <c r="J64" s="304">
        <v>4.3152165293924378</v>
      </c>
      <c r="K64" s="304">
        <v>5.8317606238216433</v>
      </c>
      <c r="L64" s="304">
        <v>8.8321895413537952</v>
      </c>
      <c r="M64" s="304"/>
      <c r="N64" s="304">
        <v>13.023788355308442</v>
      </c>
      <c r="O64" s="304">
        <v>15.184381905632575</v>
      </c>
      <c r="P64" s="304">
        <v>19.955183818636343</v>
      </c>
      <c r="Q64" s="304"/>
      <c r="R64" s="304">
        <v>2.230546087788448</v>
      </c>
      <c r="S64" s="304">
        <v>2.4715602301767161</v>
      </c>
      <c r="T64" s="304">
        <v>2.9900828622621241</v>
      </c>
      <c r="U64" s="304"/>
      <c r="V64" s="304">
        <v>3.123641664408825</v>
      </c>
      <c r="W64" s="304">
        <v>3.3279587358613538</v>
      </c>
      <c r="X64" s="304">
        <v>4.1410832842665686</v>
      </c>
      <c r="Y64" s="304"/>
      <c r="Z64" s="304">
        <v>11.336708040851306</v>
      </c>
      <c r="AA64" s="304">
        <v>12.743735152949963</v>
      </c>
      <c r="AB64" s="304">
        <v>15.356274217314336</v>
      </c>
      <c r="AC64" s="304"/>
      <c r="AD64" s="304">
        <v>8.2193584178653243</v>
      </c>
      <c r="AE64" s="304">
        <v>7.4626100942734075</v>
      </c>
      <c r="AF64" s="304">
        <v>5.8247751255977347</v>
      </c>
      <c r="AG64" s="304"/>
      <c r="AH64" s="304">
        <v>5.8495080264843056</v>
      </c>
      <c r="AI64" s="304">
        <v>5.7351622077536275</v>
      </c>
      <c r="AJ64" s="304">
        <v>3.7146978721616444</v>
      </c>
      <c r="AK64" s="304"/>
      <c r="AL64" s="304">
        <v>1.019341662262899</v>
      </c>
      <c r="AM64" s="304">
        <v>1.190471359863978</v>
      </c>
      <c r="AN64" s="304">
        <v>1.0715907933381521</v>
      </c>
    </row>
    <row r="65" spans="1:40" x14ac:dyDescent="0.2">
      <c r="A65" s="13" t="str">
        <f t="shared" si="72"/>
        <v>Associate professional occupations</v>
      </c>
      <c r="B65" s="304">
        <f t="shared" si="75"/>
        <v>48.776395857131078</v>
      </c>
      <c r="C65" s="304">
        <f t="shared" si="73"/>
        <v>46.95642268013318</v>
      </c>
      <c r="D65" s="304">
        <f t="shared" si="74"/>
        <v>50.948748005945468</v>
      </c>
      <c r="E65" s="304"/>
      <c r="F65" s="304">
        <v>0.23043118778132532</v>
      </c>
      <c r="G65" s="304">
        <v>0.26644254765204278</v>
      </c>
      <c r="H65" s="304">
        <v>0.37835329111745275</v>
      </c>
      <c r="I65" s="304"/>
      <c r="J65" s="304">
        <v>2.275250848512786</v>
      </c>
      <c r="K65" s="304">
        <v>2.6529991068326653</v>
      </c>
      <c r="L65" s="304">
        <v>3.7063821888753399</v>
      </c>
      <c r="M65" s="304"/>
      <c r="N65" s="304">
        <v>9.1949034000234171</v>
      </c>
      <c r="O65" s="304">
        <v>9.6144716147205145</v>
      </c>
      <c r="P65" s="304">
        <v>12.413311638210599</v>
      </c>
      <c r="Q65" s="304"/>
      <c r="R65" s="304">
        <v>2.1773672037222593</v>
      </c>
      <c r="S65" s="304">
        <v>2.2821756290081585</v>
      </c>
      <c r="T65" s="304">
        <v>3.0649406584693839</v>
      </c>
      <c r="U65" s="304"/>
      <c r="V65" s="304">
        <v>2.8503668866334473</v>
      </c>
      <c r="W65" s="304">
        <v>2.9114829836548073</v>
      </c>
      <c r="X65" s="304">
        <v>3.6632842209065477</v>
      </c>
      <c r="Y65" s="304"/>
      <c r="Z65" s="304">
        <v>12.620591884634687</v>
      </c>
      <c r="AA65" s="304">
        <v>12.380927550920493</v>
      </c>
      <c r="AB65" s="304">
        <v>14.23253759183704</v>
      </c>
      <c r="AC65" s="304"/>
      <c r="AD65" s="304">
        <v>11.441303472053265</v>
      </c>
      <c r="AE65" s="304">
        <v>10.304531503608162</v>
      </c>
      <c r="AF65" s="304">
        <v>9.5616998374110089</v>
      </c>
      <c r="AG65" s="304"/>
      <c r="AH65" s="304">
        <v>6.5340144787969461</v>
      </c>
      <c r="AI65" s="304">
        <v>5.3120426081318168</v>
      </c>
      <c r="AJ65" s="304">
        <v>2.8457003100083709</v>
      </c>
      <c r="AK65" s="304"/>
      <c r="AL65" s="304">
        <v>1.4521664949729403</v>
      </c>
      <c r="AM65" s="304">
        <v>1.2313491356045188</v>
      </c>
      <c r="AN65" s="304">
        <v>1.0825382691097267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65.656967903205484</v>
      </c>
      <c r="C66" s="304">
        <f t="shared" si="73"/>
        <v>64.886002570731989</v>
      </c>
      <c r="D66" s="304">
        <f t="shared" si="74"/>
        <v>67.502428082954751</v>
      </c>
      <c r="E66" s="304"/>
      <c r="F66" s="304">
        <v>0.11418523257732216</v>
      </c>
      <c r="G66" s="304">
        <v>0.15578081596241497</v>
      </c>
      <c r="H66" s="304">
        <v>0.25067979510201444</v>
      </c>
      <c r="I66" s="304"/>
      <c r="J66" s="304">
        <v>2.2069075817158494</v>
      </c>
      <c r="K66" s="304">
        <v>2.8808432996279683</v>
      </c>
      <c r="L66" s="304">
        <v>4.4805804924564763</v>
      </c>
      <c r="M66" s="304"/>
      <c r="N66" s="304">
        <v>9.3007332577175088</v>
      </c>
      <c r="O66" s="304">
        <v>10.879290736400026</v>
      </c>
      <c r="P66" s="304">
        <v>15.532483419593396</v>
      </c>
      <c r="Q66" s="304"/>
      <c r="R66" s="304">
        <v>3.3362319018360962</v>
      </c>
      <c r="S66" s="304">
        <v>3.9809269320890364</v>
      </c>
      <c r="T66" s="304">
        <v>5.5091820130479574</v>
      </c>
      <c r="U66" s="304"/>
      <c r="V66" s="304">
        <v>2.70996006087088</v>
      </c>
      <c r="W66" s="304">
        <v>2.8744573050187667</v>
      </c>
      <c r="X66" s="304">
        <v>3.5996107370632324</v>
      </c>
      <c r="Y66" s="304"/>
      <c r="Z66" s="304">
        <v>17.354231619813721</v>
      </c>
      <c r="AA66" s="304">
        <v>17.481280102525595</v>
      </c>
      <c r="AB66" s="304">
        <v>18.65124809197702</v>
      </c>
      <c r="AC66" s="304"/>
      <c r="AD66" s="304">
        <v>20.571954121820905</v>
      </c>
      <c r="AE66" s="304">
        <v>19.036372097865407</v>
      </c>
      <c r="AF66" s="304">
        <v>16.022805195301324</v>
      </c>
      <c r="AG66" s="304"/>
      <c r="AH66" s="304">
        <v>8.5746700816352259</v>
      </c>
      <c r="AI66" s="304">
        <v>6.233376920750568</v>
      </c>
      <c r="AJ66" s="304">
        <v>2.4935550069836534</v>
      </c>
      <c r="AK66" s="304"/>
      <c r="AL66" s="304">
        <v>1.4880940452179707</v>
      </c>
      <c r="AM66" s="304">
        <v>1.3636743604922017</v>
      </c>
      <c r="AN66" s="304">
        <v>0.96228333142968092</v>
      </c>
    </row>
    <row r="67" spans="1:40" x14ac:dyDescent="0.2">
      <c r="A67" s="13" t="str">
        <f t="shared" si="72"/>
        <v>Skilled trades occupations</v>
      </c>
      <c r="B67" s="304">
        <f t="shared" si="75"/>
        <v>51.647031330684712</v>
      </c>
      <c r="C67" s="304">
        <f t="shared" si="73"/>
        <v>51.543195806489791</v>
      </c>
      <c r="D67" s="304">
        <f t="shared" si="74"/>
        <v>50.33678550661093</v>
      </c>
      <c r="E67" s="304"/>
      <c r="F67" s="304">
        <v>2.2417454539553218E-2</v>
      </c>
      <c r="G67" s="304">
        <v>2.6485760161293902E-2</v>
      </c>
      <c r="H67" s="304">
        <v>4.129944543852599E-2</v>
      </c>
      <c r="I67" s="304"/>
      <c r="J67" s="304">
        <v>0.72118706287758072</v>
      </c>
      <c r="K67" s="304">
        <v>0.9561151924646254</v>
      </c>
      <c r="L67" s="304">
        <v>1.5420750948455821</v>
      </c>
      <c r="M67" s="304"/>
      <c r="N67" s="304">
        <v>2.7006734445850613</v>
      </c>
      <c r="O67" s="304">
        <v>3.3666676843083487</v>
      </c>
      <c r="P67" s="304">
        <v>4.5869277103888981</v>
      </c>
      <c r="Q67" s="304"/>
      <c r="R67" s="304">
        <v>1.352507039246124</v>
      </c>
      <c r="S67" s="304">
        <v>1.4680332117520278</v>
      </c>
      <c r="T67" s="304">
        <v>1.8977702516317627</v>
      </c>
      <c r="U67" s="304"/>
      <c r="V67" s="304">
        <v>2.2283977333599783</v>
      </c>
      <c r="W67" s="304">
        <v>2.5343217570478687</v>
      </c>
      <c r="X67" s="304">
        <v>3.2565805151629141</v>
      </c>
      <c r="Y67" s="304"/>
      <c r="Z67" s="304">
        <v>18.179992632901552</v>
      </c>
      <c r="AA67" s="304">
        <v>19.204752596612128</v>
      </c>
      <c r="AB67" s="304">
        <v>20.249428099032517</v>
      </c>
      <c r="AC67" s="304"/>
      <c r="AD67" s="304">
        <v>13.643419809550716</v>
      </c>
      <c r="AE67" s="304">
        <v>12.154837623898603</v>
      </c>
      <c r="AF67" s="304">
        <v>10.613704198074732</v>
      </c>
      <c r="AG67" s="304"/>
      <c r="AH67" s="304">
        <v>8.9926092794414991</v>
      </c>
      <c r="AI67" s="304">
        <v>8.0274511684759826</v>
      </c>
      <c r="AJ67" s="304">
        <v>5.6148731165255015</v>
      </c>
      <c r="AK67" s="304"/>
      <c r="AL67" s="304">
        <v>3.805826874182646</v>
      </c>
      <c r="AM67" s="304">
        <v>3.8045308117689096</v>
      </c>
      <c r="AN67" s="304">
        <v>2.5341270755104905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15.473100629725456</v>
      </c>
      <c r="C68" s="304">
        <f t="shared" si="73"/>
        <v>15.416145253477467</v>
      </c>
      <c r="D68" s="304">
        <f t="shared" si="74"/>
        <v>17.074301992292948</v>
      </c>
      <c r="E68" s="304"/>
      <c r="F68" s="304">
        <v>1.7847939361141662E-2</v>
      </c>
      <c r="G68" s="304">
        <v>2.5086544134206717E-2</v>
      </c>
      <c r="H68" s="304">
        <v>4.1456545275045636E-2</v>
      </c>
      <c r="I68" s="304"/>
      <c r="J68" s="304">
        <v>0.33217030392203839</v>
      </c>
      <c r="K68" s="304">
        <v>0.44715850202010593</v>
      </c>
      <c r="L68" s="304">
        <v>0.69600590326905554</v>
      </c>
      <c r="M68" s="304"/>
      <c r="N68" s="304">
        <v>1.7239180159713146</v>
      </c>
      <c r="O68" s="304">
        <v>1.9468695982815238</v>
      </c>
      <c r="P68" s="304">
        <v>2.6299494374876136</v>
      </c>
      <c r="Q68" s="304"/>
      <c r="R68" s="304">
        <v>1.3462333150406978</v>
      </c>
      <c r="S68" s="304">
        <v>1.5461805034021541</v>
      </c>
      <c r="T68" s="304">
        <v>2.3446336094298617</v>
      </c>
      <c r="U68" s="304"/>
      <c r="V68" s="304">
        <v>1.4464980972576738</v>
      </c>
      <c r="W68" s="304">
        <v>1.660004664742835</v>
      </c>
      <c r="X68" s="304">
        <v>2.4813179196234874</v>
      </c>
      <c r="Y68" s="304"/>
      <c r="Z68" s="304">
        <v>3.0017475610242799</v>
      </c>
      <c r="AA68" s="304">
        <v>2.9274134665142637</v>
      </c>
      <c r="AB68" s="304">
        <v>3.3304631203694073</v>
      </c>
      <c r="AC68" s="304"/>
      <c r="AD68" s="304">
        <v>4.3654404264702391</v>
      </c>
      <c r="AE68" s="304">
        <v>3.8879822344455435</v>
      </c>
      <c r="AF68" s="304">
        <v>3.5885437935372524</v>
      </c>
      <c r="AG68" s="304"/>
      <c r="AH68" s="304">
        <v>2.2554303337732007</v>
      </c>
      <c r="AI68" s="304">
        <v>2.1334137414417014</v>
      </c>
      <c r="AJ68" s="304">
        <v>1.4840212715114007</v>
      </c>
      <c r="AK68" s="304"/>
      <c r="AL68" s="304">
        <v>0.98381463690486881</v>
      </c>
      <c r="AM68" s="304">
        <v>0.84203599849513289</v>
      </c>
      <c r="AN68" s="304">
        <v>0.47791039178982192</v>
      </c>
    </row>
    <row r="69" spans="1:40" x14ac:dyDescent="0.2">
      <c r="A69" s="13" t="str">
        <f t="shared" si="72"/>
        <v>Sales and customer service occupations</v>
      </c>
      <c r="B69" s="304">
        <f t="shared" si="75"/>
        <v>144.07364656815733</v>
      </c>
      <c r="C69" s="304">
        <f t="shared" si="73"/>
        <v>140.07857545717221</v>
      </c>
      <c r="D69" s="304">
        <f t="shared" si="74"/>
        <v>137.12642090055095</v>
      </c>
      <c r="E69" s="304"/>
      <c r="F69" s="304">
        <v>0.12390657744066128</v>
      </c>
      <c r="G69" s="304">
        <v>0.16618649354340204</v>
      </c>
      <c r="H69" s="304">
        <v>0.23309723959834722</v>
      </c>
      <c r="I69" s="304"/>
      <c r="J69" s="304">
        <v>2.9693399491573289</v>
      </c>
      <c r="K69" s="304">
        <v>3.9323561333516248</v>
      </c>
      <c r="L69" s="304">
        <v>6.3144608226355228</v>
      </c>
      <c r="M69" s="304"/>
      <c r="N69" s="304">
        <v>15.068683475727312</v>
      </c>
      <c r="O69" s="304">
        <v>17.851920076737414</v>
      </c>
      <c r="P69" s="304">
        <v>26.096079583698963</v>
      </c>
      <c r="Q69" s="304"/>
      <c r="R69" s="304">
        <v>5.5983528382173731</v>
      </c>
      <c r="S69" s="304">
        <v>6.5537843115206362</v>
      </c>
      <c r="T69" s="304">
        <v>9.5441566684749262</v>
      </c>
      <c r="U69" s="304"/>
      <c r="V69" s="304">
        <v>4.6479561634775139</v>
      </c>
      <c r="W69" s="304">
        <v>4.8894397381024035</v>
      </c>
      <c r="X69" s="304">
        <v>6.2915025484610521</v>
      </c>
      <c r="Y69" s="304"/>
      <c r="Z69" s="304">
        <v>41.82462056815573</v>
      </c>
      <c r="AA69" s="304">
        <v>42.149577049873272</v>
      </c>
      <c r="AB69" s="304">
        <v>47.183079596849893</v>
      </c>
      <c r="AC69" s="304"/>
      <c r="AD69" s="304">
        <v>40.38895456319274</v>
      </c>
      <c r="AE69" s="304">
        <v>35.629977315490478</v>
      </c>
      <c r="AF69" s="304">
        <v>28.798456257798247</v>
      </c>
      <c r="AG69" s="304"/>
      <c r="AH69" s="304">
        <v>25.975756269031521</v>
      </c>
      <c r="AI69" s="304">
        <v>22.438990859220414</v>
      </c>
      <c r="AJ69" s="304">
        <v>8.011813448067878</v>
      </c>
      <c r="AK69" s="304"/>
      <c r="AL69" s="304">
        <v>7.4760761637571438</v>
      </c>
      <c r="AM69" s="304">
        <v>6.4663434793325578</v>
      </c>
      <c r="AN69" s="304">
        <v>4.6537747349661309</v>
      </c>
    </row>
    <row r="70" spans="1:40" x14ac:dyDescent="0.2">
      <c r="A70" s="13" t="str">
        <f t="shared" si="72"/>
        <v>Process, plant and machine operatives</v>
      </c>
      <c r="B70" s="304">
        <f t="shared" si="75"/>
        <v>92.651405826693363</v>
      </c>
      <c r="C70" s="304">
        <f t="shared" si="73"/>
        <v>103.08046987088655</v>
      </c>
      <c r="D70" s="304">
        <f t="shared" si="74"/>
        <v>104.19478949578134</v>
      </c>
      <c r="E70" s="304"/>
      <c r="F70" s="304">
        <v>0.23192015950717187</v>
      </c>
      <c r="G70" s="304">
        <v>0.34998415719792697</v>
      </c>
      <c r="H70" s="304">
        <v>0.67103487218485358</v>
      </c>
      <c r="I70" s="304"/>
      <c r="J70" s="304">
        <v>0.93814265120398732</v>
      </c>
      <c r="K70" s="304">
        <v>1.3491727345265287</v>
      </c>
      <c r="L70" s="304">
        <v>2.1919179726887825</v>
      </c>
      <c r="M70" s="304"/>
      <c r="N70" s="304">
        <v>4.5067110155527557</v>
      </c>
      <c r="O70" s="304">
        <v>5.8518473202373968</v>
      </c>
      <c r="P70" s="304">
        <v>9.4066359110858979</v>
      </c>
      <c r="Q70" s="304"/>
      <c r="R70" s="304">
        <v>1.9401283287526938</v>
      </c>
      <c r="S70" s="304">
        <v>2.474599806010636</v>
      </c>
      <c r="T70" s="304">
        <v>3.4949854699438658</v>
      </c>
      <c r="U70" s="304"/>
      <c r="V70" s="304">
        <v>3.2043135721077021</v>
      </c>
      <c r="W70" s="304">
        <v>4.1149635705808096</v>
      </c>
      <c r="X70" s="304">
        <v>6.2981743495716467</v>
      </c>
      <c r="Y70" s="304"/>
      <c r="Z70" s="304">
        <v>17.599092196994768</v>
      </c>
      <c r="AA70" s="304">
        <v>21.725881721913908</v>
      </c>
      <c r="AB70" s="304">
        <v>26.506117878800676</v>
      </c>
      <c r="AC70" s="304"/>
      <c r="AD70" s="304">
        <v>29.537433658329547</v>
      </c>
      <c r="AE70" s="304">
        <v>33.468518928553777</v>
      </c>
      <c r="AF70" s="304">
        <v>34.232139986237627</v>
      </c>
      <c r="AG70" s="304"/>
      <c r="AH70" s="304">
        <v>26.609349914397495</v>
      </c>
      <c r="AI70" s="304">
        <v>26.333579379527656</v>
      </c>
      <c r="AJ70" s="304">
        <v>18.392800597066337</v>
      </c>
      <c r="AK70" s="304"/>
      <c r="AL70" s="304">
        <v>8.0843143298472437</v>
      </c>
      <c r="AM70" s="304">
        <v>7.4119222523379067</v>
      </c>
      <c r="AN70" s="304">
        <v>3.0009824582016531</v>
      </c>
    </row>
    <row r="71" spans="1:40" x14ac:dyDescent="0.2">
      <c r="A71" s="13" t="str">
        <f t="shared" si="72"/>
        <v>Elementary occupations</v>
      </c>
      <c r="B71" s="304">
        <f t="shared" si="75"/>
        <v>117.24598943026155</v>
      </c>
      <c r="C71" s="304">
        <f t="shared" si="73"/>
        <v>115.46852865992298</v>
      </c>
      <c r="D71" s="304">
        <f t="shared" si="74"/>
        <v>109.0079930362224</v>
      </c>
      <c r="E71" s="304"/>
      <c r="F71" s="304">
        <v>3.0815071722389831E-2</v>
      </c>
      <c r="G71" s="304">
        <v>4.120651454070743E-2</v>
      </c>
      <c r="H71" s="304">
        <v>6.0093248749580622E-2</v>
      </c>
      <c r="I71" s="304"/>
      <c r="J71" s="304">
        <v>1.9856023711228052</v>
      </c>
      <c r="K71" s="304">
        <v>2.5036302155216883</v>
      </c>
      <c r="L71" s="304">
        <v>3.8748628175923021</v>
      </c>
      <c r="M71" s="304"/>
      <c r="N71" s="304">
        <v>10.246028206596209</v>
      </c>
      <c r="O71" s="304">
        <v>12.095056623911633</v>
      </c>
      <c r="P71" s="304">
        <v>16.678410793582</v>
      </c>
      <c r="Q71" s="304"/>
      <c r="R71" s="304">
        <v>4.3908506980226374</v>
      </c>
      <c r="S71" s="304">
        <v>5.0398600332366907</v>
      </c>
      <c r="T71" s="304">
        <v>7.1804668611517917</v>
      </c>
      <c r="U71" s="304"/>
      <c r="V71" s="304">
        <v>4.914133668333676</v>
      </c>
      <c r="W71" s="304">
        <v>5.7165169787716374</v>
      </c>
      <c r="X71" s="304">
        <v>7.951182830789925</v>
      </c>
      <c r="Y71" s="304"/>
      <c r="Z71" s="304">
        <v>24.926263697752137</v>
      </c>
      <c r="AA71" s="304">
        <v>25.09455592505584</v>
      </c>
      <c r="AB71" s="304">
        <v>27.374620316733221</v>
      </c>
      <c r="AC71" s="304"/>
      <c r="AD71" s="304">
        <v>34.341235262623215</v>
      </c>
      <c r="AE71" s="304">
        <v>31.92067835446489</v>
      </c>
      <c r="AF71" s="304">
        <v>27.236428333431462</v>
      </c>
      <c r="AG71" s="304"/>
      <c r="AH71" s="304">
        <v>26.667888266053108</v>
      </c>
      <c r="AI71" s="304">
        <v>23.602873845003657</v>
      </c>
      <c r="AJ71" s="304">
        <v>12.19309565804401</v>
      </c>
      <c r="AK71" s="304"/>
      <c r="AL71" s="304">
        <v>9.7431721880353663</v>
      </c>
      <c r="AM71" s="304">
        <v>9.454150169416252</v>
      </c>
      <c r="AN71" s="304">
        <v>6.4588321761480962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665.50099999406712</v>
      </c>
      <c r="C74" s="305">
        <f>SUM(C75:C83)</f>
        <v>677.85500000502554</v>
      </c>
      <c r="D74" s="305">
        <f>SUM(D75:D83)</f>
        <v>706.80199999996387</v>
      </c>
      <c r="E74" s="304"/>
      <c r="F74" s="305">
        <f>SUM(F75:F83)</f>
        <v>10.269466887799926</v>
      </c>
      <c r="G74" s="305">
        <f>SUM(G75:G83)</f>
        <v>12.686706738209141</v>
      </c>
      <c r="H74" s="305">
        <f>SUM(H75:H83)</f>
        <v>16.80089236812309</v>
      </c>
      <c r="I74" s="304"/>
      <c r="J74" s="305">
        <f>SUM(J75:J83)</f>
        <v>79.965497401800206</v>
      </c>
      <c r="K74" s="305">
        <f>SUM(K75:K83)</f>
        <v>98.575204939751032</v>
      </c>
      <c r="L74" s="305">
        <f>SUM(L75:L83)</f>
        <v>132.04707743630954</v>
      </c>
      <c r="M74" s="304"/>
      <c r="N74" s="305">
        <f>SUM(N75:N83)</f>
        <v>171.46802983158426</v>
      </c>
      <c r="O74" s="305">
        <f>SUM(O75:O83)</f>
        <v>182.21459736152568</v>
      </c>
      <c r="P74" s="305">
        <f>SUM(P75:P83)</f>
        <v>209.61489122160341</v>
      </c>
      <c r="Q74" s="304"/>
      <c r="R74" s="305">
        <f>SUM(R75:R83)</f>
        <v>32.686203257077707</v>
      </c>
      <c r="S74" s="305">
        <f>SUM(S75:S83)</f>
        <v>35.509482829452381</v>
      </c>
      <c r="T74" s="305">
        <f>SUM(T75:T83)</f>
        <v>44.091937181837643</v>
      </c>
      <c r="U74" s="304"/>
      <c r="V74" s="305">
        <f>SUM(V75:V83)</f>
        <v>40.749763792945515</v>
      </c>
      <c r="W74" s="305">
        <f>SUM(W75:W83)</f>
        <v>42.792926603514125</v>
      </c>
      <c r="X74" s="305">
        <f>SUM(X75:X83)</f>
        <v>50.821126948320369</v>
      </c>
      <c r="Y74" s="304"/>
      <c r="Z74" s="305">
        <f>SUM(Z75:Z83)</f>
        <v>112.24431767818295</v>
      </c>
      <c r="AA74" s="305">
        <f>SUM(AA75:AA83)</f>
        <v>103.84609998135682</v>
      </c>
      <c r="AB74" s="305">
        <f>SUM(AB75:AB83)</f>
        <v>95.620361465894078</v>
      </c>
      <c r="AC74" s="304"/>
      <c r="AD74" s="305">
        <f>SUM(AD75:AD83)</f>
        <v>112.81232646152378</v>
      </c>
      <c r="AE74" s="305">
        <f>SUM(AE75:AE83)</f>
        <v>102.29464113727981</v>
      </c>
      <c r="AF74" s="305">
        <f>SUM(AF75:AF83)</f>
        <v>84.438950598165647</v>
      </c>
      <c r="AG74" s="304"/>
      <c r="AH74" s="305">
        <f>SUM(AH75:AH83)</f>
        <v>83.614513010125762</v>
      </c>
      <c r="AI74" s="305">
        <f>SUM(AI75:AI83)</f>
        <v>78.223407515519256</v>
      </c>
      <c r="AJ74" s="305">
        <f>SUM(AJ75:AJ83)</f>
        <v>57.038696083207782</v>
      </c>
      <c r="AK74" s="304"/>
      <c r="AL74" s="305">
        <f>SUM(AL75:AL83)</f>
        <v>21.690881673026865</v>
      </c>
      <c r="AM74" s="305">
        <f>SUM(AM75:AM83)</f>
        <v>21.711932898417281</v>
      </c>
      <c r="AN74" s="305">
        <f>SUM(AN75:AN83)</f>
        <v>16.328066696502393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91.069722272623864</v>
      </c>
      <c r="C75" s="305">
        <f t="shared" ref="C75:C83" si="77">SUM(G75,K75,O75,S75,W75,AA75,AE75,AI75,AM75)</f>
        <v>92.712106476638766</v>
      </c>
      <c r="D75" s="305">
        <f t="shared" ref="D75:D83" si="78">SUM(H75,L75,P75,T75,X75,AB75,AF75,AJ75,AN75)</f>
        <v>102.41865874026793</v>
      </c>
      <c r="E75" s="304"/>
      <c r="F75" s="304">
        <v>1.700806195909115</v>
      </c>
      <c r="G75" s="304">
        <v>2.1208237319267913</v>
      </c>
      <c r="H75" s="304">
        <v>2.9364479824583594</v>
      </c>
      <c r="I75" s="304"/>
      <c r="J75" s="304">
        <v>11.840440114590086</v>
      </c>
      <c r="K75" s="304">
        <v>14.206717127422626</v>
      </c>
      <c r="L75" s="304">
        <v>19.530998206504652</v>
      </c>
      <c r="M75" s="304"/>
      <c r="N75" s="304">
        <v>28.287453053162192</v>
      </c>
      <c r="O75" s="304">
        <v>29.30804244848094</v>
      </c>
      <c r="P75" s="304">
        <v>34.873684279130465</v>
      </c>
      <c r="Q75" s="304"/>
      <c r="R75" s="304">
        <v>2.9155975759069781</v>
      </c>
      <c r="S75" s="304">
        <v>2.9125356294136076</v>
      </c>
      <c r="T75" s="304">
        <v>3.3203290114808781</v>
      </c>
      <c r="U75" s="304"/>
      <c r="V75" s="304">
        <v>7.4641108970876848</v>
      </c>
      <c r="W75" s="304">
        <v>7.8362340013851775</v>
      </c>
      <c r="X75" s="304">
        <v>9.525262863564933</v>
      </c>
      <c r="Y75" s="304"/>
      <c r="Z75" s="304">
        <v>16.130596902714782</v>
      </c>
      <c r="AA75" s="304">
        <v>14.545221779760197</v>
      </c>
      <c r="AB75" s="304">
        <v>14.226864463850637</v>
      </c>
      <c r="AC75" s="304"/>
      <c r="AD75" s="304">
        <v>11.87352106902479</v>
      </c>
      <c r="AE75" s="304">
        <v>10.639503026828478</v>
      </c>
      <c r="AF75" s="304">
        <v>8.8344896592746593</v>
      </c>
      <c r="AG75" s="304"/>
      <c r="AH75" s="304">
        <v>8.6612603153914804</v>
      </c>
      <c r="AI75" s="304">
        <v>8.4290264487496156</v>
      </c>
      <c r="AJ75" s="304">
        <v>6.7765144146957912</v>
      </c>
      <c r="AK75" s="304"/>
      <c r="AL75" s="304">
        <v>2.1959361488367573</v>
      </c>
      <c r="AM75" s="304">
        <v>2.7140022826713248</v>
      </c>
      <c r="AN75" s="304">
        <v>2.3940678593075755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166.87692069762244</v>
      </c>
      <c r="C76" s="305">
        <f t="shared" si="77"/>
        <v>180.32539229895951</v>
      </c>
      <c r="D76" s="305">
        <f>SUM(H76,L76,P76,T76,X76,AB76,AF76,AJ76,AN76)</f>
        <v>199.77111397800641</v>
      </c>
      <c r="E76" s="304"/>
      <c r="F76" s="304">
        <v>5.9274536402858367</v>
      </c>
      <c r="G76" s="304">
        <v>7.2955312584463998</v>
      </c>
      <c r="H76" s="304">
        <v>9.2458790607382344</v>
      </c>
      <c r="I76" s="304"/>
      <c r="J76" s="304">
        <v>37.759766050004373</v>
      </c>
      <c r="K76" s="304">
        <v>46.975512130725136</v>
      </c>
      <c r="L76" s="304">
        <v>61.060088500338409</v>
      </c>
      <c r="M76" s="304"/>
      <c r="N76" s="304">
        <v>65.266310098872452</v>
      </c>
      <c r="O76" s="304">
        <v>68.755960539505054</v>
      </c>
      <c r="P76" s="304">
        <v>74.106189253098123</v>
      </c>
      <c r="Q76" s="304"/>
      <c r="R76" s="304">
        <v>5.1274516901513305</v>
      </c>
      <c r="S76" s="304">
        <v>5.4015256373013365</v>
      </c>
      <c r="T76" s="304">
        <v>6.3674490498471998</v>
      </c>
      <c r="U76" s="304"/>
      <c r="V76" s="304">
        <v>9.9918234230753633</v>
      </c>
      <c r="W76" s="304">
        <v>10.338495613959092</v>
      </c>
      <c r="X76" s="304">
        <v>11.927735130763196</v>
      </c>
      <c r="Y76" s="304"/>
      <c r="Z76" s="304">
        <v>18.328011833896561</v>
      </c>
      <c r="AA76" s="304">
        <v>17.791007446314818</v>
      </c>
      <c r="AB76" s="304">
        <v>17.417603113354307</v>
      </c>
      <c r="AC76" s="304"/>
      <c r="AD76" s="304">
        <v>13.962064465071913</v>
      </c>
      <c r="AE76" s="304">
        <v>13.045464279884742</v>
      </c>
      <c r="AF76" s="304">
        <v>11.623685044978602</v>
      </c>
      <c r="AG76" s="304"/>
      <c r="AH76" s="304">
        <v>8.7628181444020452</v>
      </c>
      <c r="AI76" s="304">
        <v>8.2871236957210215</v>
      </c>
      <c r="AJ76" s="304">
        <v>5.6218957935776972</v>
      </c>
      <c r="AK76" s="304"/>
      <c r="AL76" s="304">
        <v>1.7512213518625581</v>
      </c>
      <c r="AM76" s="304">
        <v>2.4347716971019273</v>
      </c>
      <c r="AN76" s="304">
        <v>2.4005890313106182</v>
      </c>
    </row>
    <row r="77" spans="1:40" x14ac:dyDescent="0.2">
      <c r="A77" s="13" t="str">
        <f t="shared" si="76"/>
        <v>Associate professional occupations</v>
      </c>
      <c r="B77" s="305">
        <f t="shared" si="79"/>
        <v>109.30041521980067</v>
      </c>
      <c r="C77" s="305">
        <f t="shared" si="77"/>
        <v>104.18753374716788</v>
      </c>
      <c r="D77" s="305">
        <f t="shared" si="78"/>
        <v>110.75460219712997</v>
      </c>
      <c r="E77" s="304"/>
      <c r="F77" s="304">
        <v>1.7075991799523007</v>
      </c>
      <c r="G77" s="304">
        <v>2.0167565835607077</v>
      </c>
      <c r="H77" s="304">
        <v>2.8186631813461944</v>
      </c>
      <c r="I77" s="304"/>
      <c r="J77" s="304">
        <v>16.928664881874454</v>
      </c>
      <c r="K77" s="304">
        <v>19.513091011395119</v>
      </c>
      <c r="L77" s="304">
        <v>26.098780694891857</v>
      </c>
      <c r="M77" s="304"/>
      <c r="N77" s="304">
        <v>35.23577412971774</v>
      </c>
      <c r="O77" s="304">
        <v>34.36317361138115</v>
      </c>
      <c r="P77" s="304">
        <v>37.779576526152788</v>
      </c>
      <c r="Q77" s="304"/>
      <c r="R77" s="304">
        <v>6.7765834826247948</v>
      </c>
      <c r="S77" s="304">
        <v>6.8976444208787679</v>
      </c>
      <c r="T77" s="304">
        <v>8.6773167319817262</v>
      </c>
      <c r="U77" s="304"/>
      <c r="V77" s="304">
        <v>6.9181367796556525</v>
      </c>
      <c r="W77" s="304">
        <v>6.3491179215300519</v>
      </c>
      <c r="X77" s="304">
        <v>6.728591666525201</v>
      </c>
      <c r="Y77" s="304"/>
      <c r="Z77" s="304">
        <v>17.388557235948259</v>
      </c>
      <c r="AA77" s="304">
        <v>14.738840698654192</v>
      </c>
      <c r="AB77" s="304">
        <v>13.100838971308846</v>
      </c>
      <c r="AC77" s="304"/>
      <c r="AD77" s="304">
        <v>12.620935997061387</v>
      </c>
      <c r="AE77" s="304">
        <v>9.8861462786405898</v>
      </c>
      <c r="AF77" s="304">
        <v>7.2684357393714629</v>
      </c>
      <c r="AG77" s="304"/>
      <c r="AH77" s="304">
        <v>9.8613812105355088</v>
      </c>
      <c r="AI77" s="304">
        <v>8.4071900648409219</v>
      </c>
      <c r="AJ77" s="304">
        <v>6.4307136287913744</v>
      </c>
      <c r="AK77" s="304"/>
      <c r="AL77" s="304">
        <v>1.8627823224305706</v>
      </c>
      <c r="AM77" s="304">
        <v>2.015573156286381</v>
      </c>
      <c r="AN77" s="304">
        <v>1.851685056760481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94.333791651254245</v>
      </c>
      <c r="C78" s="305">
        <f t="shared" si="77"/>
        <v>88.890395617442493</v>
      </c>
      <c r="D78" s="305">
        <f t="shared" si="78"/>
        <v>80.735735901528955</v>
      </c>
      <c r="E78" s="304"/>
      <c r="F78" s="304">
        <v>0.46451805234838323</v>
      </c>
      <c r="G78" s="304">
        <v>0.59657167265711664</v>
      </c>
      <c r="H78" s="304">
        <v>0.84381851024137999</v>
      </c>
      <c r="I78" s="304"/>
      <c r="J78" s="304">
        <v>6.4510244117779267</v>
      </c>
      <c r="K78" s="304">
        <v>8.1393080216780582</v>
      </c>
      <c r="L78" s="304">
        <v>11.359812364019003</v>
      </c>
      <c r="M78" s="304"/>
      <c r="N78" s="304">
        <v>20.02150820726299</v>
      </c>
      <c r="O78" s="304">
        <v>22.479809662752579</v>
      </c>
      <c r="P78" s="304">
        <v>27.306706002540459</v>
      </c>
      <c r="Q78" s="304"/>
      <c r="R78" s="304">
        <v>6.5997872540527833</v>
      </c>
      <c r="S78" s="304">
        <v>7.096044036263299</v>
      </c>
      <c r="T78" s="304">
        <v>8.2043105713187963</v>
      </c>
      <c r="U78" s="304"/>
      <c r="V78" s="304">
        <v>7.1836843821011023</v>
      </c>
      <c r="W78" s="304">
        <v>7.8774338849075098</v>
      </c>
      <c r="X78" s="304">
        <v>9.1564835900001569</v>
      </c>
      <c r="Y78" s="304"/>
      <c r="Z78" s="304">
        <v>17.771705027943007</v>
      </c>
      <c r="AA78" s="304">
        <v>14.898376827458051</v>
      </c>
      <c r="AB78" s="304">
        <v>10.209751576968863</v>
      </c>
      <c r="AC78" s="304"/>
      <c r="AD78" s="304">
        <v>21.264330733150477</v>
      </c>
      <c r="AE78" s="304">
        <v>16.366170187694546</v>
      </c>
      <c r="AF78" s="304">
        <v>8.7706232448249803</v>
      </c>
      <c r="AG78" s="304"/>
      <c r="AH78" s="304">
        <v>11.138943054595398</v>
      </c>
      <c r="AI78" s="304">
        <v>7.6230257765889915</v>
      </c>
      <c r="AJ78" s="304">
        <v>1.7375249430054029</v>
      </c>
      <c r="AK78" s="304"/>
      <c r="AL78" s="304">
        <v>3.4382905280221587</v>
      </c>
      <c r="AM78" s="304">
        <v>3.8136555474423344</v>
      </c>
      <c r="AN78" s="304">
        <v>3.1467050986099308</v>
      </c>
    </row>
    <row r="79" spans="1:40" x14ac:dyDescent="0.2">
      <c r="A79" s="13" t="str">
        <f t="shared" si="76"/>
        <v>Skilled trades occupations</v>
      </c>
      <c r="B79" s="305">
        <f t="shared" si="79"/>
        <v>27.03197543611136</v>
      </c>
      <c r="C79" s="305">
        <f t="shared" si="77"/>
        <v>28.01495919570376</v>
      </c>
      <c r="D79" s="305">
        <f t="shared" si="78"/>
        <v>28.180648698677125</v>
      </c>
      <c r="E79" s="304"/>
      <c r="F79" s="304">
        <v>0.11519811887033554</v>
      </c>
      <c r="G79" s="304">
        <v>0.16241306481319853</v>
      </c>
      <c r="H79" s="304">
        <v>0.2369128133743014</v>
      </c>
      <c r="I79" s="304"/>
      <c r="J79" s="304">
        <v>1.2342560863567256</v>
      </c>
      <c r="K79" s="304">
        <v>1.7164215400484639</v>
      </c>
      <c r="L79" s="304">
        <v>2.425394222631978</v>
      </c>
      <c r="M79" s="304"/>
      <c r="N79" s="304">
        <v>3.7130248509901582</v>
      </c>
      <c r="O79" s="304">
        <v>4.1914349906767727</v>
      </c>
      <c r="P79" s="304">
        <v>5.1481025169266843</v>
      </c>
      <c r="Q79" s="304"/>
      <c r="R79" s="304">
        <v>1.604634982309334</v>
      </c>
      <c r="S79" s="304">
        <v>1.7017147920786087</v>
      </c>
      <c r="T79" s="304">
        <v>2.1753690232970619</v>
      </c>
      <c r="U79" s="304"/>
      <c r="V79" s="304">
        <v>1.6877062894121753</v>
      </c>
      <c r="W79" s="304">
        <v>1.7436522323372607</v>
      </c>
      <c r="X79" s="304">
        <v>1.9740749639175565</v>
      </c>
      <c r="Y79" s="304"/>
      <c r="Z79" s="304">
        <v>6.8641244411365383</v>
      </c>
      <c r="AA79" s="304">
        <v>6.8095632981974692</v>
      </c>
      <c r="AB79" s="304">
        <v>6.1545596423578051</v>
      </c>
      <c r="AC79" s="304"/>
      <c r="AD79" s="304">
        <v>6.5233350888650161</v>
      </c>
      <c r="AE79" s="304">
        <v>6.3395382061724943</v>
      </c>
      <c r="AF79" s="304">
        <v>5.8171343316961934</v>
      </c>
      <c r="AG79" s="304"/>
      <c r="AH79" s="304">
        <v>3.354342111685694</v>
      </c>
      <c r="AI79" s="304">
        <v>2.9646377037755616</v>
      </c>
      <c r="AJ79" s="304">
        <v>2.1786131467437349</v>
      </c>
      <c r="AK79" s="304"/>
      <c r="AL79" s="304">
        <v>1.9353534664853855</v>
      </c>
      <c r="AM79" s="304">
        <v>2.3855833676039264</v>
      </c>
      <c r="AN79" s="304">
        <v>2.0704880377318049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60.006331654551808</v>
      </c>
      <c r="C80" s="305">
        <f t="shared" si="77"/>
        <v>61.936571536548726</v>
      </c>
      <c r="D80" s="305">
        <f t="shared" si="78"/>
        <v>65.376114076179789</v>
      </c>
      <c r="E80" s="304"/>
      <c r="F80" s="304">
        <v>3.7373758133837906E-2</v>
      </c>
      <c r="G80" s="304">
        <v>5.4162457539737405E-2</v>
      </c>
      <c r="H80" s="304">
        <v>8.8965353525649854E-2</v>
      </c>
      <c r="I80" s="304"/>
      <c r="J80" s="304">
        <v>2.3567673297778597</v>
      </c>
      <c r="K80" s="304">
        <v>3.1656269625507347</v>
      </c>
      <c r="L80" s="304">
        <v>4.3753273616009816</v>
      </c>
      <c r="M80" s="304"/>
      <c r="N80" s="304">
        <v>7.7666858692869178</v>
      </c>
      <c r="O80" s="304">
        <v>9.6618078818035471</v>
      </c>
      <c r="P80" s="304">
        <v>13.111728932928985</v>
      </c>
      <c r="Q80" s="304"/>
      <c r="R80" s="304">
        <v>5.1799731835019669</v>
      </c>
      <c r="S80" s="304">
        <v>6.1915961705324287</v>
      </c>
      <c r="T80" s="304">
        <v>8.2668981038696412</v>
      </c>
      <c r="U80" s="304"/>
      <c r="V80" s="304">
        <v>3.6591501611582307</v>
      </c>
      <c r="W80" s="304">
        <v>4.3124036936757353</v>
      </c>
      <c r="X80" s="304">
        <v>6.3134423778848037</v>
      </c>
      <c r="Y80" s="304"/>
      <c r="Z80" s="304">
        <v>16.104641183859645</v>
      </c>
      <c r="AA80" s="304">
        <v>15.237799914684055</v>
      </c>
      <c r="AB80" s="304">
        <v>15.027010821905005</v>
      </c>
      <c r="AC80" s="304"/>
      <c r="AD80" s="304">
        <v>14.343397556775638</v>
      </c>
      <c r="AE80" s="304">
        <v>12.174611116474251</v>
      </c>
      <c r="AF80" s="304">
        <v>9.3868461806443477</v>
      </c>
      <c r="AG80" s="304"/>
      <c r="AH80" s="304">
        <v>8.8304793784499154</v>
      </c>
      <c r="AI80" s="304">
        <v>9.3232950601427813</v>
      </c>
      <c r="AJ80" s="304">
        <v>7.4356980193414817</v>
      </c>
      <c r="AK80" s="304"/>
      <c r="AL80" s="304">
        <v>1.7278632336077948</v>
      </c>
      <c r="AM80" s="304">
        <v>1.8152682791454562</v>
      </c>
      <c r="AN80" s="304">
        <v>1.3701969244788905</v>
      </c>
    </row>
    <row r="81" spans="1:40" x14ac:dyDescent="0.2">
      <c r="A81" s="13" t="str">
        <f t="shared" si="76"/>
        <v>Sales and customer service occupations</v>
      </c>
      <c r="B81" s="305">
        <f t="shared" si="79"/>
        <v>32.663459155127384</v>
      </c>
      <c r="C81" s="305">
        <f t="shared" si="77"/>
        <v>35.519550865501003</v>
      </c>
      <c r="D81" s="305">
        <f t="shared" si="78"/>
        <v>36.945782328390152</v>
      </c>
      <c r="E81" s="304"/>
      <c r="F81" s="304">
        <v>0.20605557644426975</v>
      </c>
      <c r="G81" s="304">
        <v>0.27383318114908312</v>
      </c>
      <c r="H81" s="304">
        <v>0.37477617384604839</v>
      </c>
      <c r="I81" s="304"/>
      <c r="J81" s="304">
        <v>1.6635982065379673</v>
      </c>
      <c r="K81" s="304">
        <v>2.277552037301827</v>
      </c>
      <c r="L81" s="304">
        <v>3.2728447847541782</v>
      </c>
      <c r="M81" s="304"/>
      <c r="N81" s="304">
        <v>6.0988523903910226</v>
      </c>
      <c r="O81" s="304">
        <v>7.2084062785963754</v>
      </c>
      <c r="P81" s="304">
        <v>9.1449706461131246</v>
      </c>
      <c r="Q81" s="304"/>
      <c r="R81" s="304">
        <v>1.6682844739921259</v>
      </c>
      <c r="S81" s="304">
        <v>1.9302921623981011</v>
      </c>
      <c r="T81" s="304">
        <v>2.5395660921875685</v>
      </c>
      <c r="U81" s="304"/>
      <c r="V81" s="304">
        <v>2.3229114115406388</v>
      </c>
      <c r="W81" s="304">
        <v>2.8231507338864841</v>
      </c>
      <c r="X81" s="304">
        <v>3.4088144190686305</v>
      </c>
      <c r="Y81" s="304"/>
      <c r="Z81" s="304">
        <v>7.3664621365781944</v>
      </c>
      <c r="AA81" s="304">
        <v>7.7196639717977575</v>
      </c>
      <c r="AB81" s="304">
        <v>7.2996375363824422</v>
      </c>
      <c r="AC81" s="304"/>
      <c r="AD81" s="304">
        <v>8.1823908199402471</v>
      </c>
      <c r="AE81" s="304">
        <v>8.5309164840080509</v>
      </c>
      <c r="AF81" s="304">
        <v>7.4523441500406467</v>
      </c>
      <c r="AG81" s="304"/>
      <c r="AH81" s="304">
        <v>4.0218379070543397</v>
      </c>
      <c r="AI81" s="304">
        <v>3.4238435588523362</v>
      </c>
      <c r="AJ81" s="304">
        <v>2.3661680892252899</v>
      </c>
      <c r="AK81" s="304"/>
      <c r="AL81" s="304">
        <v>1.1330662326485827</v>
      </c>
      <c r="AM81" s="304">
        <v>1.3318924575109918</v>
      </c>
      <c r="AN81" s="304">
        <v>1.0866604367722221</v>
      </c>
    </row>
    <row r="82" spans="1:40" x14ac:dyDescent="0.2">
      <c r="A82" s="13" t="str">
        <f t="shared" si="76"/>
        <v>Process, plant and machine operatives</v>
      </c>
      <c r="B82" s="305">
        <f t="shared" si="79"/>
        <v>15.644669969616482</v>
      </c>
      <c r="C82" s="305">
        <f t="shared" si="77"/>
        <v>16.965051595999832</v>
      </c>
      <c r="D82" s="305">
        <f t="shared" si="78"/>
        <v>16.246954521693496</v>
      </c>
      <c r="E82" s="304"/>
      <c r="F82" s="304">
        <v>2.8004233915092956E-2</v>
      </c>
      <c r="G82" s="304">
        <v>4.3039429844842825E-2</v>
      </c>
      <c r="H82" s="304">
        <v>5.761651906049909E-2</v>
      </c>
      <c r="I82" s="304"/>
      <c r="J82" s="304">
        <v>0.37984902496526035</v>
      </c>
      <c r="K82" s="304">
        <v>0.50258259357854873</v>
      </c>
      <c r="L82" s="304">
        <v>0.69864715535566635</v>
      </c>
      <c r="M82" s="304"/>
      <c r="N82" s="304">
        <v>0.9864124363631962</v>
      </c>
      <c r="O82" s="304">
        <v>1.2202614963519618</v>
      </c>
      <c r="P82" s="304">
        <v>1.5023626114212014</v>
      </c>
      <c r="Q82" s="304"/>
      <c r="R82" s="304">
        <v>0.51648816474140768</v>
      </c>
      <c r="S82" s="304">
        <v>0.5436405615937312</v>
      </c>
      <c r="T82" s="304">
        <v>0.76675490686990122</v>
      </c>
      <c r="U82" s="304"/>
      <c r="V82" s="304">
        <v>0.43369852218798416</v>
      </c>
      <c r="W82" s="304">
        <v>0.50202105969470323</v>
      </c>
      <c r="X82" s="304">
        <v>0.62257356921994278</v>
      </c>
      <c r="Y82" s="304"/>
      <c r="Z82" s="304">
        <v>3.9524691054615912</v>
      </c>
      <c r="AA82" s="304">
        <v>4.6611281315445163</v>
      </c>
      <c r="AB82" s="304">
        <v>5.5327169794312931</v>
      </c>
      <c r="AC82" s="304"/>
      <c r="AD82" s="304">
        <v>3.7225755426050222</v>
      </c>
      <c r="AE82" s="304">
        <v>4.0109214831698203</v>
      </c>
      <c r="AF82" s="304">
        <v>3.9661026808544526</v>
      </c>
      <c r="AG82" s="304"/>
      <c r="AH82" s="304">
        <v>3.3756601367860708</v>
      </c>
      <c r="AI82" s="304">
        <v>2.8958973155019438</v>
      </c>
      <c r="AJ82" s="304">
        <v>1.7535238067516099</v>
      </c>
      <c r="AK82" s="304"/>
      <c r="AL82" s="304">
        <v>2.2495128025908557</v>
      </c>
      <c r="AM82" s="304">
        <v>2.5855595247197631</v>
      </c>
      <c r="AN82" s="304">
        <v>1.3466562927289321</v>
      </c>
    </row>
    <row r="83" spans="1:40" x14ac:dyDescent="0.2">
      <c r="A83" s="38" t="str">
        <f t="shared" si="76"/>
        <v>Elementary occupations</v>
      </c>
      <c r="B83" s="307">
        <f t="shared" si="79"/>
        <v>68.573713937358761</v>
      </c>
      <c r="C83" s="307">
        <f t="shared" si="77"/>
        <v>69.303438671063518</v>
      </c>
      <c r="D83" s="307">
        <f t="shared" si="78"/>
        <v>66.372389558090063</v>
      </c>
      <c r="E83" s="307"/>
      <c r="F83" s="307">
        <v>8.2458131940756754E-2</v>
      </c>
      <c r="G83" s="307">
        <v>0.12357535827126245</v>
      </c>
      <c r="H83" s="307">
        <v>0.19781277353242144</v>
      </c>
      <c r="I83" s="307"/>
      <c r="J83" s="307">
        <v>1.351131295915549</v>
      </c>
      <c r="K83" s="307">
        <v>2.0783935150505037</v>
      </c>
      <c r="L83" s="307">
        <v>3.2251841462127913</v>
      </c>
      <c r="M83" s="307"/>
      <c r="N83" s="307">
        <v>4.0920087955375717</v>
      </c>
      <c r="O83" s="307">
        <v>5.025700451977281</v>
      </c>
      <c r="P83" s="307">
        <v>6.6415704532915472</v>
      </c>
      <c r="Q83" s="307"/>
      <c r="R83" s="307">
        <v>2.2974024497969898</v>
      </c>
      <c r="S83" s="307">
        <v>2.8344894189925007</v>
      </c>
      <c r="T83" s="307">
        <v>3.7739436909848689</v>
      </c>
      <c r="U83" s="307"/>
      <c r="V83" s="307">
        <v>1.0885419267266934</v>
      </c>
      <c r="W83" s="307">
        <v>1.0104174621381097</v>
      </c>
      <c r="X83" s="307">
        <v>1.1641483673759445</v>
      </c>
      <c r="Y83" s="307"/>
      <c r="Z83" s="307">
        <v>8.3377498106444001</v>
      </c>
      <c r="AA83" s="307">
        <v>7.4444979129457511</v>
      </c>
      <c r="AB83" s="307">
        <v>6.651378360334868</v>
      </c>
      <c r="AC83" s="307"/>
      <c r="AD83" s="307">
        <v>20.31977518902929</v>
      </c>
      <c r="AE83" s="307">
        <v>21.301370074406847</v>
      </c>
      <c r="AF83" s="307">
        <v>21.319289566480297</v>
      </c>
      <c r="AG83" s="307"/>
      <c r="AH83" s="307">
        <v>25.607790751225309</v>
      </c>
      <c r="AI83" s="307">
        <v>26.869367891346091</v>
      </c>
      <c r="AJ83" s="307">
        <v>22.738044241075396</v>
      </c>
      <c r="AK83" s="307"/>
      <c r="AL83" s="307">
        <v>5.3968555865422037</v>
      </c>
      <c r="AM83" s="307">
        <v>2.6156265859351753</v>
      </c>
      <c r="AN83" s="307">
        <v>0.66101795880194014</v>
      </c>
    </row>
    <row r="84" spans="1:40" x14ac:dyDescent="0.2">
      <c r="B84" s="31"/>
      <c r="C84" s="31"/>
      <c r="D84" s="31"/>
    </row>
    <row r="85" spans="1:40" ht="15.75" x14ac:dyDescent="0.25">
      <c r="A85" s="18" t="str">
        <f>CONCATENATE(A1," (Continued)")</f>
        <v>Basic Table 1  Employment by Industry Sector, Occupation Group and Qualification, 2020-2035, East Midlands (Continued)</v>
      </c>
    </row>
    <row r="86" spans="1:40" ht="12.75" customHeight="1" x14ac:dyDescent="0.25">
      <c r="A86" s="18"/>
    </row>
    <row r="87" spans="1:40" ht="12.75" customHeight="1" x14ac:dyDescent="0.25">
      <c r="A87" s="18"/>
    </row>
    <row r="88" spans="1:40" ht="26.25" customHeight="1" x14ac:dyDescent="0.2">
      <c r="A88" s="77"/>
      <c r="B88" s="77"/>
      <c r="C88" s="78" t="str">
        <f>B4</f>
        <v>All qualifications</v>
      </c>
      <c r="D88" s="77"/>
      <c r="E88" s="77"/>
      <c r="F88" s="77"/>
      <c r="G88" s="78" t="str">
        <f>F4</f>
        <v>RQF8 Doctorate</v>
      </c>
      <c r="H88" s="77"/>
      <c r="I88" s="77"/>
      <c r="J88" s="77"/>
      <c r="K88" s="78" t="str">
        <f>J4</f>
        <v>RQF7 Other higher degree</v>
      </c>
      <c r="L88" s="77"/>
      <c r="M88" s="77"/>
      <c r="N88" s="379" t="str">
        <f>N4</f>
        <v>RQF6 First degree</v>
      </c>
      <c r="O88" s="379"/>
      <c r="P88" s="379"/>
      <c r="Q88" s="77"/>
      <c r="R88" s="379" t="str">
        <f>R4</f>
        <v>RQF5 Foundation degree;Nursing;Teaching</v>
      </c>
      <c r="S88" s="379"/>
      <c r="T88" s="379"/>
      <c r="U88" s="77"/>
      <c r="V88" s="379" t="str">
        <f>V4</f>
        <v>RQF4 HE below degree level</v>
      </c>
      <c r="W88" s="379"/>
      <c r="X88" s="379"/>
      <c r="Y88" s="77"/>
      <c r="Z88" s="379" t="str">
        <f>Z4</f>
        <v>RQF3 A level &amp; equivalent</v>
      </c>
      <c r="AA88" s="379"/>
      <c r="AB88" s="379"/>
      <c r="AC88" s="77"/>
      <c r="AD88" s="379" t="str">
        <f>AD4</f>
        <v>RQF2 GCSE(A-C) &amp; equivalent</v>
      </c>
      <c r="AE88" s="379"/>
      <c r="AF88" s="379"/>
      <c r="AG88" s="77"/>
      <c r="AH88" s="379" t="str">
        <f>AH4</f>
        <v>RQF1 GCSE(below grade C) &amp; equivalent</v>
      </c>
      <c r="AI88" s="379"/>
      <c r="AJ88" s="379"/>
      <c r="AK88" s="77"/>
      <c r="AL88" s="77"/>
      <c r="AM88" s="78" t="str">
        <f>AL4</f>
        <v>No Qualification</v>
      </c>
      <c r="AN88" s="77"/>
    </row>
    <row r="89" spans="1:40" x14ac:dyDescent="0.2">
      <c r="A89" s="38"/>
      <c r="B89" s="41">
        <f>B5</f>
        <v>2020</v>
      </c>
      <c r="C89" s="41">
        <f>C5</f>
        <v>2025</v>
      </c>
      <c r="D89" s="41">
        <f>D5</f>
        <v>2035</v>
      </c>
      <c r="E89" s="38"/>
      <c r="F89" s="34">
        <f>B89</f>
        <v>2020</v>
      </c>
      <c r="G89" s="34">
        <f>C89</f>
        <v>2025</v>
      </c>
      <c r="H89" s="34">
        <f>D89</f>
        <v>2035</v>
      </c>
      <c r="I89" s="38"/>
      <c r="J89" s="34">
        <f>B89</f>
        <v>2020</v>
      </c>
      <c r="K89" s="34">
        <f>C89</f>
        <v>2025</v>
      </c>
      <c r="L89" s="34">
        <f>D89</f>
        <v>2035</v>
      </c>
      <c r="M89" s="38"/>
      <c r="N89" s="34">
        <f>B89</f>
        <v>2020</v>
      </c>
      <c r="O89" s="34">
        <f>C89</f>
        <v>2025</v>
      </c>
      <c r="P89" s="34">
        <f>D89</f>
        <v>2035</v>
      </c>
      <c r="Q89" s="38"/>
      <c r="R89" s="34">
        <f>F89</f>
        <v>2020</v>
      </c>
      <c r="S89" s="34">
        <f>G89</f>
        <v>2025</v>
      </c>
      <c r="T89" s="34">
        <f>H89</f>
        <v>2035</v>
      </c>
      <c r="U89" s="38"/>
      <c r="V89" s="34">
        <f>J89</f>
        <v>2020</v>
      </c>
      <c r="W89" s="34">
        <f>K89</f>
        <v>2025</v>
      </c>
      <c r="X89" s="34">
        <f>L89</f>
        <v>2035</v>
      </c>
      <c r="Y89" s="38"/>
      <c r="Z89" s="34">
        <f>N89</f>
        <v>2020</v>
      </c>
      <c r="AA89" s="34">
        <f>O89</f>
        <v>2025</v>
      </c>
      <c r="AB89" s="34">
        <f>P89</f>
        <v>2035</v>
      </c>
      <c r="AC89" s="38"/>
      <c r="AD89" s="34">
        <f>R89</f>
        <v>2020</v>
      </c>
      <c r="AE89" s="34">
        <f>S89</f>
        <v>2025</v>
      </c>
      <c r="AF89" s="34">
        <f>T89</f>
        <v>2035</v>
      </c>
      <c r="AG89" s="38"/>
      <c r="AH89" s="34">
        <f>V89</f>
        <v>2020</v>
      </c>
      <c r="AI89" s="34">
        <f>W89</f>
        <v>2025</v>
      </c>
      <c r="AJ89" s="34">
        <f>X89</f>
        <v>2035</v>
      </c>
      <c r="AK89" s="38"/>
      <c r="AL89" s="34">
        <f>Z89</f>
        <v>2020</v>
      </c>
      <c r="AM89" s="34">
        <f>AA89</f>
        <v>2025</v>
      </c>
      <c r="AN89" s="34">
        <f>AB89</f>
        <v>2035</v>
      </c>
    </row>
    <row r="90" spans="1:40" x14ac:dyDescent="0.2">
      <c r="B90" s="31"/>
      <c r="C90" s="31"/>
      <c r="D90" s="31"/>
    </row>
    <row r="91" spans="1:40" x14ac:dyDescent="0.2">
      <c r="A91" s="1" t="str">
        <f>name!C9</f>
        <v>Non-marketed services</v>
      </c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</row>
    <row r="92" spans="1:40" x14ac:dyDescent="0.2">
      <c r="A92" s="13" t="str">
        <f t="shared" ref="A92:A101" si="80">A8</f>
        <v>All occupations</v>
      </c>
      <c r="B92" s="305">
        <f>SUM(B93:B101)</f>
        <v>567.90199999419838</v>
      </c>
      <c r="C92" s="305">
        <f>SUM(C93:C101)</f>
        <v>588.32499998758362</v>
      </c>
      <c r="D92" s="305">
        <f>SUM(D93:D101)</f>
        <v>613.47300000122618</v>
      </c>
      <c r="E92" s="304"/>
      <c r="F92" s="305">
        <f>SUM(F93:F101)</f>
        <v>15.269399010985824</v>
      </c>
      <c r="G92" s="305">
        <f>SUM(G93:G101)</f>
        <v>18.114239149272603</v>
      </c>
      <c r="H92" s="305">
        <f>SUM(H93:H101)</f>
        <v>22.475107157209095</v>
      </c>
      <c r="I92" s="304"/>
      <c r="J92" s="305">
        <f>SUM(J93:J101)</f>
        <v>88.094595811410983</v>
      </c>
      <c r="K92" s="305">
        <f>SUM(K93:K101)</f>
        <v>103.33220750316184</v>
      </c>
      <c r="L92" s="305">
        <f>SUM(L93:L101)</f>
        <v>126.41544573907161</v>
      </c>
      <c r="M92" s="304"/>
      <c r="N92" s="305">
        <f>SUM(N93:N101)</f>
        <v>133.5534542726364</v>
      </c>
      <c r="O92" s="305">
        <f>SUM(O93:O101)</f>
        <v>149.13356583702171</v>
      </c>
      <c r="P92" s="305">
        <f>SUM(P93:P101)</f>
        <v>177.19140847085748</v>
      </c>
      <c r="Q92" s="304"/>
      <c r="R92" s="305">
        <f>SUM(R93:R101)</f>
        <v>51.334680254785873</v>
      </c>
      <c r="S92" s="305">
        <f>SUM(S93:S101)</f>
        <v>47.421673898982888</v>
      </c>
      <c r="T92" s="305">
        <f>SUM(T93:T101)</f>
        <v>43.806599861609492</v>
      </c>
      <c r="U92" s="304"/>
      <c r="V92" s="305">
        <f>SUM(V93:V101)</f>
        <v>25.51366129095118</v>
      </c>
      <c r="W92" s="305">
        <f>SUM(W93:W101)</f>
        <v>27.21083627057325</v>
      </c>
      <c r="X92" s="305">
        <f>SUM(X93:X101)</f>
        <v>30.437004626386486</v>
      </c>
      <c r="Y92" s="304"/>
      <c r="Z92" s="305">
        <f>SUM(Z93:Z101)</f>
        <v>125.65944083885799</v>
      </c>
      <c r="AA92" s="305">
        <f>SUM(AA93:AA101)</f>
        <v>131.85990581644268</v>
      </c>
      <c r="AB92" s="305">
        <f>SUM(AB93:AB101)</f>
        <v>137.16931382579298</v>
      </c>
      <c r="AC92" s="304"/>
      <c r="AD92" s="305">
        <f>SUM(AD93:AD101)</f>
        <v>92.237520768385139</v>
      </c>
      <c r="AE92" s="305">
        <f>SUM(AE93:AE101)</f>
        <v>82.918072330384959</v>
      </c>
      <c r="AF92" s="305">
        <f>SUM(AF93:AF101)</f>
        <v>58.732089454014144</v>
      </c>
      <c r="AG92" s="304"/>
      <c r="AH92" s="305">
        <f>SUM(AH93:AH101)</f>
        <v>31.348312846582516</v>
      </c>
      <c r="AI92" s="305">
        <f>SUM(AI93:AI101)</f>
        <v>23.396476085772115</v>
      </c>
      <c r="AJ92" s="305">
        <f>SUM(AJ93:AJ101)</f>
        <v>12.766116841900692</v>
      </c>
      <c r="AK92" s="304"/>
      <c r="AL92" s="305">
        <f>SUM(AL93:AL101)</f>
        <v>4.8909348996025201</v>
      </c>
      <c r="AM92" s="305">
        <f>SUM(AM93:AM101)</f>
        <v>4.9380230959715332</v>
      </c>
      <c r="AN92" s="305">
        <f>SUM(AN93:AN101)</f>
        <v>4.4799140243842812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25.911057506861606</v>
      </c>
      <c r="C93" s="305">
        <f t="shared" ref="C93:D93" si="81">SUM(G93,K93,O93,S93,W93,AA93,AE93,AI93,AM93)</f>
        <v>26.685010743579614</v>
      </c>
      <c r="D93" s="305">
        <f t="shared" si="81"/>
        <v>30.198471582683258</v>
      </c>
      <c r="E93" s="304"/>
      <c r="F93" s="304">
        <v>0.43402491689826417</v>
      </c>
      <c r="G93" s="304">
        <v>0.52584487560896798</v>
      </c>
      <c r="H93" s="304">
        <v>0.71256023113716338</v>
      </c>
      <c r="I93" s="304"/>
      <c r="J93" s="304">
        <v>4.5039821355355265</v>
      </c>
      <c r="K93" s="304">
        <v>5.1919578859483861</v>
      </c>
      <c r="L93" s="304">
        <v>6.574853745488527</v>
      </c>
      <c r="M93" s="304"/>
      <c r="N93" s="304">
        <v>7.8662443424283213</v>
      </c>
      <c r="O93" s="304">
        <v>8.4839405546181847</v>
      </c>
      <c r="P93" s="304">
        <v>10.529381101345628</v>
      </c>
      <c r="Q93" s="304"/>
      <c r="R93" s="304">
        <v>4.4003328376530906</v>
      </c>
      <c r="S93" s="304">
        <v>4.6047066329097417</v>
      </c>
      <c r="T93" s="304">
        <v>5.1306194167855548</v>
      </c>
      <c r="U93" s="304"/>
      <c r="V93" s="304">
        <v>1.0765886384817553</v>
      </c>
      <c r="W93" s="304">
        <v>1.0106505880542624</v>
      </c>
      <c r="X93" s="304">
        <v>1.060713736737156</v>
      </c>
      <c r="Y93" s="304"/>
      <c r="Z93" s="304">
        <v>4.4282849827079911</v>
      </c>
      <c r="AA93" s="304">
        <v>3.9505970450426475</v>
      </c>
      <c r="AB93" s="304">
        <v>3.8045587374153511</v>
      </c>
      <c r="AC93" s="304"/>
      <c r="AD93" s="304">
        <v>1.9954048087675975</v>
      </c>
      <c r="AE93" s="304">
        <v>1.7628644132615467</v>
      </c>
      <c r="AF93" s="304">
        <v>1.4287840652485648</v>
      </c>
      <c r="AG93" s="304"/>
      <c r="AH93" s="304">
        <v>0.84266809290686129</v>
      </c>
      <c r="AI93" s="304">
        <v>0.68507926596476709</v>
      </c>
      <c r="AJ93" s="304">
        <v>0.44351114757919308</v>
      </c>
      <c r="AK93" s="304"/>
      <c r="AL93" s="304">
        <v>0.36352675148220248</v>
      </c>
      <c r="AM93" s="304">
        <v>0.46936948217110919</v>
      </c>
      <c r="AN93" s="304">
        <v>0.51348940094612217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198.40592272123766</v>
      </c>
      <c r="C94" s="305">
        <f t="shared" ref="C94:C101" si="83">SUM(G94,K94,O94,S94,W94,AA94,AE94,AI94,AM94)</f>
        <v>208.37020878445546</v>
      </c>
      <c r="D94" s="305">
        <f t="shared" ref="D94:D101" si="84">SUM(H94,L94,P94,T94,X94,AB94,AF94,AJ94,AN94)</f>
        <v>225.50806989687135</v>
      </c>
      <c r="E94" s="305"/>
      <c r="F94" s="304">
        <v>13.74740847744887</v>
      </c>
      <c r="G94" s="304">
        <v>16.197240169242949</v>
      </c>
      <c r="H94" s="304">
        <v>19.804631650037816</v>
      </c>
      <c r="I94" s="304"/>
      <c r="J94" s="304">
        <v>64.721664957507386</v>
      </c>
      <c r="K94" s="304">
        <v>73.902545904389811</v>
      </c>
      <c r="L94" s="304">
        <v>87.320104864804648</v>
      </c>
      <c r="M94" s="304"/>
      <c r="N94" s="304">
        <v>70.334472271796642</v>
      </c>
      <c r="O94" s="304">
        <v>74.566295471065402</v>
      </c>
      <c r="P94" s="304">
        <v>82.7337380277948</v>
      </c>
      <c r="Q94" s="304"/>
      <c r="R94" s="304">
        <v>14.147129019083737</v>
      </c>
      <c r="S94" s="304">
        <v>8.4790650689517051</v>
      </c>
      <c r="T94" s="304">
        <v>3.8221142668825543</v>
      </c>
      <c r="U94" s="304"/>
      <c r="V94" s="304">
        <v>4.7458160244276959</v>
      </c>
      <c r="W94" s="304">
        <v>4.8147306448982077</v>
      </c>
      <c r="X94" s="304">
        <v>5.323529678985639</v>
      </c>
      <c r="Y94" s="304"/>
      <c r="Z94" s="304">
        <v>14.662539144879799</v>
      </c>
      <c r="AA94" s="304">
        <v>14.851040729491331</v>
      </c>
      <c r="AB94" s="304">
        <v>15.181874826285892</v>
      </c>
      <c r="AC94" s="304"/>
      <c r="AD94" s="304">
        <v>9.5987762648304713</v>
      </c>
      <c r="AE94" s="304">
        <v>8.5778523914378351</v>
      </c>
      <c r="AF94" s="304">
        <v>6.3889984419836132</v>
      </c>
      <c r="AG94" s="304"/>
      <c r="AH94" s="304">
        <v>5.8061558583249679</v>
      </c>
      <c r="AI94" s="304">
        <v>6.1637066137742069</v>
      </c>
      <c r="AJ94" s="304">
        <v>4.2528595166118919</v>
      </c>
      <c r="AK94" s="304"/>
      <c r="AL94" s="304">
        <v>0.64196070293812602</v>
      </c>
      <c r="AM94" s="304">
        <v>0.81773179120402339</v>
      </c>
      <c r="AN94" s="304">
        <v>0.68021862348449935</v>
      </c>
    </row>
    <row r="95" spans="1:40" x14ac:dyDescent="0.2">
      <c r="A95" s="13" t="str">
        <f t="shared" si="80"/>
        <v>Associate professional occupations</v>
      </c>
      <c r="B95" s="305">
        <f t="shared" si="82"/>
        <v>83.169059868621261</v>
      </c>
      <c r="C95" s="305">
        <f t="shared" si="83"/>
        <v>85.934183006840726</v>
      </c>
      <c r="D95" s="305">
        <f t="shared" si="84"/>
        <v>93.014877433655869</v>
      </c>
      <c r="E95" s="305"/>
      <c r="F95" s="304">
        <v>0.62943722674732527</v>
      </c>
      <c r="G95" s="304">
        <v>0.79530865445698218</v>
      </c>
      <c r="H95" s="304">
        <v>1.166946734169833</v>
      </c>
      <c r="I95" s="304"/>
      <c r="J95" s="304">
        <v>8.9879924696931148</v>
      </c>
      <c r="K95" s="304">
        <v>10.886923701419677</v>
      </c>
      <c r="L95" s="304">
        <v>14.593520447270016</v>
      </c>
      <c r="M95" s="304"/>
      <c r="N95" s="304">
        <v>23.281261356488645</v>
      </c>
      <c r="O95" s="304">
        <v>26.768917567104083</v>
      </c>
      <c r="P95" s="304">
        <v>34.709983573083321</v>
      </c>
      <c r="Q95" s="304"/>
      <c r="R95" s="304">
        <v>9.6592124280458425</v>
      </c>
      <c r="S95" s="304">
        <v>8.4774515425307868</v>
      </c>
      <c r="T95" s="304">
        <v>7.3115320025813331</v>
      </c>
      <c r="U95" s="304"/>
      <c r="V95" s="304">
        <v>4.4468347028204063</v>
      </c>
      <c r="W95" s="304">
        <v>4.2519300490026577</v>
      </c>
      <c r="X95" s="304">
        <v>4.7207886133303658</v>
      </c>
      <c r="Y95" s="304"/>
      <c r="Z95" s="304">
        <v>18.07679261051463</v>
      </c>
      <c r="AA95" s="304">
        <v>18.11970750969547</v>
      </c>
      <c r="AB95" s="304">
        <v>18.743864649415166</v>
      </c>
      <c r="AC95" s="304"/>
      <c r="AD95" s="304">
        <v>12.182397006275052</v>
      </c>
      <c r="AE95" s="304">
        <v>10.859169789472933</v>
      </c>
      <c r="AF95" s="304">
        <v>8.0090593891055697</v>
      </c>
      <c r="AG95" s="304"/>
      <c r="AH95" s="304">
        <v>5.2581126782674641</v>
      </c>
      <c r="AI95" s="304">
        <v>5.0993941425456306</v>
      </c>
      <c r="AJ95" s="304">
        <v>3.2709403251252143</v>
      </c>
      <c r="AK95" s="304"/>
      <c r="AL95" s="304">
        <v>0.64701938976877826</v>
      </c>
      <c r="AM95" s="304">
        <v>0.67538005061250272</v>
      </c>
      <c r="AN95" s="304">
        <v>0.48824169957505348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48.644053237792491</v>
      </c>
      <c r="C96" s="305">
        <f t="shared" si="83"/>
        <v>43.009930611215744</v>
      </c>
      <c r="D96" s="305">
        <f t="shared" si="84"/>
        <v>31.218482142834034</v>
      </c>
      <c r="E96" s="305"/>
      <c r="F96" s="304">
        <v>0.25980657144557601</v>
      </c>
      <c r="G96" s="304">
        <v>0.31238747791776017</v>
      </c>
      <c r="H96" s="304">
        <v>0.40271249471980086</v>
      </c>
      <c r="I96" s="304"/>
      <c r="J96" s="304">
        <v>3.1549245678085454</v>
      </c>
      <c r="K96" s="304">
        <v>3.9757066379981851</v>
      </c>
      <c r="L96" s="304">
        <v>4.3860935825127445</v>
      </c>
      <c r="M96" s="304"/>
      <c r="N96" s="304">
        <v>8.8802570031389649</v>
      </c>
      <c r="O96" s="304">
        <v>9.6934060297247147</v>
      </c>
      <c r="P96" s="304">
        <v>9.8013233302608143</v>
      </c>
      <c r="Q96" s="304"/>
      <c r="R96" s="304">
        <v>5.2358302840262674</v>
      </c>
      <c r="S96" s="304">
        <v>5.9388388476030434</v>
      </c>
      <c r="T96" s="304">
        <v>6.0613738065385183</v>
      </c>
      <c r="U96" s="304"/>
      <c r="V96" s="304">
        <v>3.4756659037752295</v>
      </c>
      <c r="W96" s="304">
        <v>3.6190532188749112</v>
      </c>
      <c r="X96" s="304">
        <v>3.4649034043936049</v>
      </c>
      <c r="Y96" s="304"/>
      <c r="Z96" s="304">
        <v>11.023890730743046</v>
      </c>
      <c r="AA96" s="304">
        <v>9.9906540235196708</v>
      </c>
      <c r="AB96" s="304">
        <v>5.0742602500278853</v>
      </c>
      <c r="AC96" s="304"/>
      <c r="AD96" s="304">
        <v>10.411691703078128</v>
      </c>
      <c r="AE96" s="304">
        <v>7.0220778317838368</v>
      </c>
      <c r="AF96" s="304">
        <v>1.7378552852915887</v>
      </c>
      <c r="AG96" s="304"/>
      <c r="AH96" s="304">
        <v>5.7078669944512805</v>
      </c>
      <c r="AI96" s="304">
        <v>2.2163957592818777</v>
      </c>
      <c r="AJ96" s="304">
        <v>0.22912043935851437</v>
      </c>
      <c r="AK96" s="304"/>
      <c r="AL96" s="304">
        <v>0.49411947932545758</v>
      </c>
      <c r="AM96" s="304">
        <v>0.24141078451174469</v>
      </c>
      <c r="AN96" s="304">
        <v>6.0839549730562374E-2</v>
      </c>
    </row>
    <row r="97" spans="1:40" x14ac:dyDescent="0.2">
      <c r="A97" s="13" t="str">
        <f t="shared" si="80"/>
        <v>Skilled trades occupations</v>
      </c>
      <c r="B97" s="305">
        <f t="shared" si="82"/>
        <v>5.1597579034859749</v>
      </c>
      <c r="C97" s="305">
        <f t="shared" si="83"/>
        <v>4.7691059475494528</v>
      </c>
      <c r="D97" s="305">
        <f t="shared" si="84"/>
        <v>4.0935643865568263</v>
      </c>
      <c r="E97" s="304"/>
      <c r="F97" s="304">
        <v>4.0939815163498802E-2</v>
      </c>
      <c r="G97" s="304">
        <v>5.2338364207993718E-2</v>
      </c>
      <c r="H97" s="304">
        <v>6.4598441821373143E-2</v>
      </c>
      <c r="I97" s="304"/>
      <c r="J97" s="304">
        <v>0.10471874381349158</v>
      </c>
      <c r="K97" s="304">
        <v>0.15272440200626458</v>
      </c>
      <c r="L97" s="304">
        <v>0.23340982543177344</v>
      </c>
      <c r="M97" s="304"/>
      <c r="N97" s="304">
        <v>0.48838019286447615</v>
      </c>
      <c r="O97" s="304">
        <v>0.63279764921316484</v>
      </c>
      <c r="P97" s="304">
        <v>0.82561989521737977</v>
      </c>
      <c r="Q97" s="304"/>
      <c r="R97" s="304">
        <v>0.31308533515337611</v>
      </c>
      <c r="S97" s="304">
        <v>0.36042331656577864</v>
      </c>
      <c r="T97" s="304">
        <v>0.42836760533186491</v>
      </c>
      <c r="U97" s="304"/>
      <c r="V97" s="304">
        <v>0.24587348569893389</v>
      </c>
      <c r="W97" s="304">
        <v>0.27101977525793708</v>
      </c>
      <c r="X97" s="304">
        <v>0.32400262614384467</v>
      </c>
      <c r="Y97" s="304"/>
      <c r="Z97" s="304">
        <v>1.1476896317373364</v>
      </c>
      <c r="AA97" s="304">
        <v>0.97664885874322649</v>
      </c>
      <c r="AB97" s="304">
        <v>0.78425027519180213</v>
      </c>
      <c r="AC97" s="304"/>
      <c r="AD97" s="304">
        <v>1.8609689534662595</v>
      </c>
      <c r="AE97" s="304">
        <v>1.4960364297253856</v>
      </c>
      <c r="AF97" s="304">
        <v>0.79892971621958164</v>
      </c>
      <c r="AG97" s="304"/>
      <c r="AH97" s="304">
        <v>0.7632995223640282</v>
      </c>
      <c r="AI97" s="304">
        <v>0.65054475167114867</v>
      </c>
      <c r="AJ97" s="304">
        <v>0.51547674069604488</v>
      </c>
      <c r="AK97" s="304"/>
      <c r="AL97" s="304">
        <v>0.19480222322457436</v>
      </c>
      <c r="AM97" s="304">
        <v>0.17657240015855302</v>
      </c>
      <c r="AN97" s="304">
        <v>0.11890926050316178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175.45536519271778</v>
      </c>
      <c r="C98" s="305">
        <f t="shared" si="83"/>
        <v>189.02804724599309</v>
      </c>
      <c r="D98" s="305">
        <f t="shared" si="84"/>
        <v>203.25495576437129</v>
      </c>
      <c r="E98" s="304"/>
      <c r="F98" s="304">
        <v>9.7757297035433191E-2</v>
      </c>
      <c r="G98" s="304">
        <v>0.149788340605119</v>
      </c>
      <c r="H98" s="304">
        <v>0.22189467115414857</v>
      </c>
      <c r="I98" s="304"/>
      <c r="J98" s="304">
        <v>5.8126667212026248</v>
      </c>
      <c r="K98" s="304">
        <v>8.1379730697846924</v>
      </c>
      <c r="L98" s="304">
        <v>11.885120014710576</v>
      </c>
      <c r="M98" s="304"/>
      <c r="N98" s="304">
        <v>20.18099457600395</v>
      </c>
      <c r="O98" s="304">
        <v>25.941275716875523</v>
      </c>
      <c r="P98" s="304">
        <v>34.989129072588625</v>
      </c>
      <c r="Q98" s="304"/>
      <c r="R98" s="304">
        <v>15.80275675624654</v>
      </c>
      <c r="S98" s="304">
        <v>17.504151151830076</v>
      </c>
      <c r="T98" s="304">
        <v>18.614883104088104</v>
      </c>
      <c r="U98" s="304"/>
      <c r="V98" s="304">
        <v>10.122085882972558</v>
      </c>
      <c r="W98" s="304">
        <v>11.56102594115292</v>
      </c>
      <c r="X98" s="304">
        <v>13.53127728264259</v>
      </c>
      <c r="Y98" s="304"/>
      <c r="Z98" s="304">
        <v>69.544269260494431</v>
      </c>
      <c r="AA98" s="304">
        <v>76.719722587431036</v>
      </c>
      <c r="AB98" s="304">
        <v>86.469285993312283</v>
      </c>
      <c r="AC98" s="304"/>
      <c r="AD98" s="304">
        <v>46.904970185392173</v>
      </c>
      <c r="AE98" s="304">
        <v>44.575474070914673</v>
      </c>
      <c r="AF98" s="304">
        <v>34.32036670364112</v>
      </c>
      <c r="AG98" s="304"/>
      <c r="AH98" s="304">
        <v>6.2371121842942543</v>
      </c>
      <c r="AI98" s="304">
        <v>3.4731908074116826</v>
      </c>
      <c r="AJ98" s="304">
        <v>2.2061761262680442</v>
      </c>
      <c r="AK98" s="304"/>
      <c r="AL98" s="304">
        <v>0.75275232907579792</v>
      </c>
      <c r="AM98" s="304">
        <v>0.96544555998735138</v>
      </c>
      <c r="AN98" s="304">
        <v>1.0168227959657854</v>
      </c>
    </row>
    <row r="99" spans="1:40" x14ac:dyDescent="0.2">
      <c r="A99" s="13" t="str">
        <f t="shared" si="80"/>
        <v>Sales and customer service occupations</v>
      </c>
      <c r="B99" s="305">
        <f t="shared" si="82"/>
        <v>5.8831870086617162</v>
      </c>
      <c r="C99" s="305">
        <f t="shared" si="83"/>
        <v>6.6111350542810179</v>
      </c>
      <c r="D99" s="305">
        <f>SUM(H99,L99,P99,T99,X99,AB99,AF99,AJ99,AN99)</f>
        <v>6.6786123752431443</v>
      </c>
      <c r="E99" s="304"/>
      <c r="F99" s="304">
        <v>2.9022882779314526E-2</v>
      </c>
      <c r="G99" s="304">
        <v>3.9424639678653152E-2</v>
      </c>
      <c r="H99" s="304">
        <v>4.9581861635209827E-2</v>
      </c>
      <c r="I99" s="304"/>
      <c r="J99" s="304">
        <v>0.52330174787771622</v>
      </c>
      <c r="K99" s="304">
        <v>0.70039977536786546</v>
      </c>
      <c r="L99" s="304">
        <v>0.88894807703159151</v>
      </c>
      <c r="M99" s="304"/>
      <c r="N99" s="304">
        <v>1.3732302767664522</v>
      </c>
      <c r="O99" s="304">
        <v>1.6734332641744532</v>
      </c>
      <c r="P99" s="304">
        <v>1.963079886957253</v>
      </c>
      <c r="Q99" s="304"/>
      <c r="R99" s="304">
        <v>0.74668062250164491</v>
      </c>
      <c r="S99" s="304">
        <v>0.79827687161822003</v>
      </c>
      <c r="T99" s="304">
        <v>0.82470903603937862</v>
      </c>
      <c r="U99" s="304"/>
      <c r="V99" s="304">
        <v>0.45650352272735412</v>
      </c>
      <c r="W99" s="304">
        <v>0.53977302986763576</v>
      </c>
      <c r="X99" s="304">
        <v>0.6067140363085135</v>
      </c>
      <c r="Y99" s="304"/>
      <c r="Z99" s="304">
        <v>1.2593087824983131</v>
      </c>
      <c r="AA99" s="304">
        <v>1.3746278103278124</v>
      </c>
      <c r="AB99" s="304">
        <v>1.3649577431302164</v>
      </c>
      <c r="AC99" s="304"/>
      <c r="AD99" s="304">
        <v>1.0325433340899921</v>
      </c>
      <c r="AE99" s="304">
        <v>0.98417614556988109</v>
      </c>
      <c r="AF99" s="304">
        <v>0.59495139485177317</v>
      </c>
      <c r="AG99" s="304"/>
      <c r="AH99" s="304">
        <v>0.34002272709172915</v>
      </c>
      <c r="AI99" s="304">
        <v>0.33597672880237595</v>
      </c>
      <c r="AJ99" s="304">
        <v>0.20523827905697975</v>
      </c>
      <c r="AK99" s="304"/>
      <c r="AL99" s="304">
        <v>0.1225731123292001</v>
      </c>
      <c r="AM99" s="304">
        <v>0.16504678887412061</v>
      </c>
      <c r="AN99" s="304">
        <v>0.18043206023222855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5.0517680419048725</v>
      </c>
      <c r="C100" s="305">
        <f t="shared" si="83"/>
        <v>5.6959454160467429</v>
      </c>
      <c r="D100" s="305">
        <f t="shared" si="84"/>
        <v>4.7565854117568884</v>
      </c>
      <c r="E100" s="304"/>
      <c r="F100" s="304">
        <v>2.2309495703397648E-2</v>
      </c>
      <c r="G100" s="304">
        <v>2.9892677980764368E-2</v>
      </c>
      <c r="H100" s="304">
        <v>4.0466697111260608E-2</v>
      </c>
      <c r="I100" s="304"/>
      <c r="J100" s="304">
        <v>7.5238062783506157E-2</v>
      </c>
      <c r="K100" s="304">
        <v>0.12596896339387065</v>
      </c>
      <c r="L100" s="304">
        <v>0.15201097139078079</v>
      </c>
      <c r="M100" s="304"/>
      <c r="N100" s="304">
        <v>0.37647076706102744</v>
      </c>
      <c r="O100" s="304">
        <v>0.45530312900095427</v>
      </c>
      <c r="P100" s="304">
        <v>0.41793220124201602</v>
      </c>
      <c r="Q100" s="304"/>
      <c r="R100" s="304">
        <v>0.21079796797373315</v>
      </c>
      <c r="S100" s="304">
        <v>0.301861970961187</v>
      </c>
      <c r="T100" s="304">
        <v>0.36698107245621359</v>
      </c>
      <c r="U100" s="304"/>
      <c r="V100" s="304">
        <v>0.4433107424152346</v>
      </c>
      <c r="W100" s="304">
        <v>0.53921450777320545</v>
      </c>
      <c r="X100" s="304">
        <v>0.64438465311868076</v>
      </c>
      <c r="Y100" s="304"/>
      <c r="Z100" s="304">
        <v>1.2172059168732019</v>
      </c>
      <c r="AA100" s="304">
        <v>1.4382885833481796</v>
      </c>
      <c r="AB100" s="304">
        <v>1.4594534980662255</v>
      </c>
      <c r="AC100" s="304"/>
      <c r="AD100" s="304">
        <v>1.0162896442104103</v>
      </c>
      <c r="AE100" s="304">
        <v>1.1138143412079857</v>
      </c>
      <c r="AF100" s="304">
        <v>0.4876985562539885</v>
      </c>
      <c r="AG100" s="304"/>
      <c r="AH100" s="304">
        <v>1.4465051766104795</v>
      </c>
      <c r="AI100" s="304">
        <v>1.399573298369849</v>
      </c>
      <c r="AJ100" s="304">
        <v>0.87674087567385017</v>
      </c>
      <c r="AK100" s="304"/>
      <c r="AL100" s="304">
        <v>0.24364026827388138</v>
      </c>
      <c r="AM100" s="304">
        <v>0.29202794401074722</v>
      </c>
      <c r="AN100" s="304">
        <v>0.31091688644387305</v>
      </c>
    </row>
    <row r="101" spans="1:40" x14ac:dyDescent="0.2">
      <c r="A101" s="38" t="str">
        <f t="shared" si="80"/>
        <v>Elementary occupations</v>
      </c>
      <c r="B101" s="307">
        <f t="shared" si="82"/>
        <v>20.221828512915046</v>
      </c>
      <c r="C101" s="307">
        <f t="shared" si="83"/>
        <v>18.221433177621726</v>
      </c>
      <c r="D101" s="307">
        <f t="shared" si="84"/>
        <v>14.749381007253605</v>
      </c>
      <c r="E101" s="307"/>
      <c r="F101" s="307">
        <v>8.6923277641423758E-3</v>
      </c>
      <c r="G101" s="307">
        <v>1.2013949573412671E-2</v>
      </c>
      <c r="H101" s="307">
        <v>1.1714375422484989E-2</v>
      </c>
      <c r="I101" s="307"/>
      <c r="J101" s="307">
        <v>0.21010640518908105</v>
      </c>
      <c r="K101" s="307">
        <v>0.25800716285307013</v>
      </c>
      <c r="L101" s="307">
        <v>0.38138421043096055</v>
      </c>
      <c r="M101" s="307"/>
      <c r="N101" s="307">
        <v>0.77214348608792538</v>
      </c>
      <c r="O101" s="307">
        <v>0.91819645524522275</v>
      </c>
      <c r="P101" s="307">
        <v>1.2212213823676705</v>
      </c>
      <c r="Q101" s="307"/>
      <c r="R101" s="307">
        <v>0.81885500410164425</v>
      </c>
      <c r="S101" s="307">
        <v>0.95689849601235233</v>
      </c>
      <c r="T101" s="307">
        <v>1.2460195509059702</v>
      </c>
      <c r="U101" s="307"/>
      <c r="V101" s="307">
        <v>0.50098238763201275</v>
      </c>
      <c r="W101" s="307">
        <v>0.60343851569151219</v>
      </c>
      <c r="X101" s="307">
        <v>0.76069059472609413</v>
      </c>
      <c r="Y101" s="307"/>
      <c r="Z101" s="307">
        <v>4.2994597784092372</v>
      </c>
      <c r="AA101" s="307">
        <v>4.438618668843306</v>
      </c>
      <c r="AB101" s="307">
        <v>4.2868078529481313</v>
      </c>
      <c r="AC101" s="307"/>
      <c r="AD101" s="307">
        <v>7.2344788682750494</v>
      </c>
      <c r="AE101" s="307">
        <v>6.5266069170108949</v>
      </c>
      <c r="AF101" s="307">
        <v>4.9654459014183381</v>
      </c>
      <c r="AG101" s="307"/>
      <c r="AH101" s="307">
        <v>4.9465696122714506</v>
      </c>
      <c r="AI101" s="307">
        <v>3.3726147179505759</v>
      </c>
      <c r="AJ101" s="307">
        <v>0.76605339153095975</v>
      </c>
      <c r="AK101" s="307"/>
      <c r="AL101" s="307">
        <v>1.4305406431845022</v>
      </c>
      <c r="AM101" s="307">
        <v>1.1350382944413808</v>
      </c>
      <c r="AN101" s="307">
        <v>1.1100437475029949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43" orientation="landscape" r:id="rId1"/>
  <headerFooter alignWithMargins="0"/>
  <rowBreaks count="1" manualBreakCount="1">
    <brk id="42" max="39" man="1"/>
  </row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78" t="str">
        <f>CONCATENATE("Basic Table 2  Employment Change by Occupation and Replacement Demand, ",name!F4,", ",B$6,"-",F$6,", ",Info!B5)</f>
        <v>Basic Table 2  Employment Change by Occupation and Replacement Demand, RQF8 Doctorate, 2015-2035, East Midlands</v>
      </c>
      <c r="B1" s="378"/>
      <c r="C1" s="378"/>
      <c r="D1" s="378"/>
      <c r="E1" s="378"/>
      <c r="F1" s="378"/>
      <c r="G1" s="378"/>
      <c r="H1" s="378"/>
      <c r="I1" s="378"/>
      <c r="J1" s="378"/>
      <c r="L1" s="378" t="str">
        <f>CONCATENATE("Basic Table 2.1  Employment Change by Occupation and Replacement Demand, ",name!F5,", ",M$6,"-",Q$6,", ",Info!B5)</f>
        <v>Basic Table 2.1  Employment Change by Occupation and Replacement Demand, RQF7 Other higher degree, 2015-2035, East Midlands</v>
      </c>
      <c r="M1" s="378"/>
      <c r="N1" s="378"/>
      <c r="O1" s="378"/>
      <c r="P1" s="378"/>
      <c r="Q1" s="378"/>
      <c r="R1" s="378"/>
      <c r="S1" s="378"/>
      <c r="T1" s="378"/>
      <c r="U1" s="378"/>
      <c r="W1" s="378" t="str">
        <f>CONCATENATE("Basic Table 2.2  Employment Change by Occupation and Replacement Demand, ",name!F6,", ",X$6,"-",AB$6,", ",Info!B5)</f>
        <v>Basic Table 2.2  Employment Change by Occupation and Replacement Demand, RQF6 First degree, 2015-2035, East Midlands</v>
      </c>
      <c r="X1" s="378"/>
      <c r="Y1" s="378"/>
      <c r="Z1" s="378"/>
      <c r="AA1" s="378"/>
      <c r="AB1" s="378"/>
      <c r="AC1" s="378"/>
      <c r="AD1" s="378"/>
      <c r="AE1" s="378"/>
      <c r="AF1" s="378"/>
      <c r="AH1" s="378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East Midlands</v>
      </c>
      <c r="AI1" s="378"/>
      <c r="AJ1" s="378"/>
      <c r="AK1" s="378"/>
      <c r="AL1" s="378"/>
      <c r="AM1" s="378"/>
      <c r="AN1" s="378"/>
      <c r="AO1" s="378"/>
      <c r="AP1" s="378"/>
      <c r="AQ1" s="378"/>
      <c r="AS1" s="378" t="str">
        <f>CONCATENATE("Basic Table 2.4  Employment Change by Occupation and Replacement Demand, ",name!F8,", ",AT$6,"-",AX$6,", ",Info!B5)</f>
        <v>Basic Table 2.4  Employment Change by Occupation and Replacement Demand, RQF4 HE below degree level, 2015-2035, East Midlands</v>
      </c>
      <c r="AT1" s="378"/>
      <c r="AU1" s="378"/>
      <c r="AV1" s="378"/>
      <c r="AW1" s="378"/>
      <c r="AX1" s="378"/>
      <c r="AY1" s="378"/>
      <c r="AZ1" s="378"/>
      <c r="BA1" s="378"/>
      <c r="BB1" s="378"/>
      <c r="BD1" s="378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East Midlands</v>
      </c>
      <c r="BE1" s="378"/>
      <c r="BF1" s="378"/>
      <c r="BG1" s="378"/>
      <c r="BH1" s="378"/>
      <c r="BI1" s="378"/>
      <c r="BJ1" s="378"/>
      <c r="BK1" s="378"/>
      <c r="BL1" s="378"/>
      <c r="BM1" s="378"/>
      <c r="BO1" s="378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East Midlands</v>
      </c>
      <c r="BP1" s="378"/>
      <c r="BQ1" s="378"/>
      <c r="BR1" s="378"/>
      <c r="BS1" s="378"/>
      <c r="BT1" s="378"/>
      <c r="BU1" s="378"/>
      <c r="BV1" s="378"/>
      <c r="BW1" s="378"/>
      <c r="BX1" s="378"/>
      <c r="BZ1" s="378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East Midlands</v>
      </c>
      <c r="CA1" s="378"/>
      <c r="CB1" s="378"/>
      <c r="CC1" s="378"/>
      <c r="CD1" s="378"/>
      <c r="CE1" s="378"/>
      <c r="CF1" s="378"/>
      <c r="CG1" s="378"/>
      <c r="CH1" s="378"/>
      <c r="CI1" s="378"/>
      <c r="CK1" s="378" t="str">
        <f>CONCATENATE("Basic Table 2.8  Employment Change by Occupation and Replacement Demand, ",name!F12,", ",CL$6,"-",CP$6,", ",Info!B5)</f>
        <v>Basic Table 2.8  Employment Change by Occupation and Replacement Demand, No Qualification, 2015-2035, East Midlands</v>
      </c>
      <c r="CL1" s="378"/>
      <c r="CM1" s="378"/>
      <c r="CN1" s="378"/>
      <c r="CO1" s="378"/>
      <c r="CP1" s="378"/>
      <c r="CQ1" s="378"/>
      <c r="CR1" s="378"/>
      <c r="CS1" s="378"/>
      <c r="CT1" s="378"/>
    </row>
    <row r="2" spans="1:98" ht="12.75" customHeight="1" x14ac:dyDescent="0.2">
      <c r="A2" s="181" t="s">
        <v>540</v>
      </c>
      <c r="L2" s="85"/>
      <c r="W2" s="85"/>
      <c r="AH2" s="85"/>
      <c r="AS2" s="85"/>
      <c r="BD2" s="85"/>
      <c r="BO2" s="85"/>
      <c r="BZ2" s="85"/>
      <c r="CK2" s="85"/>
    </row>
    <row r="3" spans="1:98" x14ac:dyDescent="0.2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  <c r="AM3" s="15" t="s">
        <v>35</v>
      </c>
      <c r="AQ3" s="15" t="s">
        <v>35</v>
      </c>
      <c r="AX3" s="15" t="s">
        <v>35</v>
      </c>
      <c r="BB3" s="15" t="s">
        <v>35</v>
      </c>
      <c r="BI3" s="15" t="s">
        <v>35</v>
      </c>
      <c r="BM3" s="15" t="s">
        <v>35</v>
      </c>
      <c r="BT3" s="15" t="s">
        <v>35</v>
      </c>
      <c r="BX3" s="15" t="s">
        <v>35</v>
      </c>
      <c r="CE3" s="15" t="s">
        <v>35</v>
      </c>
      <c r="CI3" s="15" t="s">
        <v>35</v>
      </c>
      <c r="CP3" s="15" t="s">
        <v>35</v>
      </c>
      <c r="CT3" s="15" t="s">
        <v>35</v>
      </c>
    </row>
    <row r="4" spans="1:98" x14ac:dyDescent="0.2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35"/>
      <c r="M4" s="35"/>
      <c r="N4" s="35"/>
      <c r="O4" s="35"/>
      <c r="P4" s="35"/>
      <c r="Q4" s="35"/>
      <c r="S4" s="27" t="str">
        <f>H4</f>
        <v>2020-2035</v>
      </c>
      <c r="T4" s="35"/>
      <c r="U4" s="35"/>
      <c r="W4" s="35"/>
      <c r="X4" s="35"/>
      <c r="Y4" s="35"/>
      <c r="Z4" s="35"/>
      <c r="AA4" s="35"/>
      <c r="AB4" s="35"/>
      <c r="AD4" s="27" t="str">
        <f>S4</f>
        <v>2020-2035</v>
      </c>
      <c r="AE4" s="35"/>
      <c r="AF4" s="35"/>
      <c r="AH4" s="35"/>
      <c r="AI4" s="35"/>
      <c r="AJ4" s="35"/>
      <c r="AK4" s="35"/>
      <c r="AL4" s="35"/>
      <c r="AM4" s="35"/>
      <c r="AO4" s="27" t="str">
        <f>AD4</f>
        <v>2020-2035</v>
      </c>
      <c r="AP4" s="35"/>
      <c r="AQ4" s="35"/>
      <c r="AS4" s="35"/>
      <c r="AT4" s="35"/>
      <c r="AU4" s="35"/>
      <c r="AV4" s="35"/>
      <c r="AW4" s="35"/>
      <c r="AX4" s="35"/>
      <c r="AZ4" s="27" t="str">
        <f>AO4</f>
        <v>2020-2035</v>
      </c>
      <c r="BA4" s="35"/>
      <c r="BB4" s="35"/>
      <c r="BD4" s="35"/>
      <c r="BE4" s="35"/>
      <c r="BF4" s="35"/>
      <c r="BG4" s="35"/>
      <c r="BH4" s="35"/>
      <c r="BI4" s="35"/>
      <c r="BK4" s="27" t="str">
        <f>AZ4</f>
        <v>2020-2035</v>
      </c>
      <c r="BL4" s="35"/>
      <c r="BM4" s="35"/>
      <c r="BO4" s="35"/>
      <c r="BP4" s="35"/>
      <c r="BQ4" s="35"/>
      <c r="BR4" s="35"/>
      <c r="BS4" s="35"/>
      <c r="BT4" s="35"/>
      <c r="BV4" s="27" t="str">
        <f>BK4</f>
        <v>2020-2035</v>
      </c>
      <c r="BW4" s="35"/>
      <c r="BX4" s="35"/>
      <c r="BZ4" s="35"/>
      <c r="CA4" s="35"/>
      <c r="CB4" s="35"/>
      <c r="CC4" s="35"/>
      <c r="CD4" s="35"/>
      <c r="CE4" s="35"/>
      <c r="CG4" s="27" t="str">
        <f>BV4</f>
        <v>2020-2035</v>
      </c>
      <c r="CH4" s="35"/>
      <c r="CI4" s="35"/>
      <c r="CK4" s="35"/>
      <c r="CL4" s="35"/>
      <c r="CM4" s="35"/>
      <c r="CN4" s="35"/>
      <c r="CO4" s="35"/>
      <c r="CP4" s="35"/>
      <c r="CR4" s="27" t="str">
        <f>CG4</f>
        <v>2020-2035</v>
      </c>
      <c r="CS4" s="35"/>
      <c r="CT4" s="35"/>
    </row>
    <row r="5" spans="1:98" x14ac:dyDescent="0.2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  <c r="AO5" s="15" t="s">
        <v>29</v>
      </c>
      <c r="AP5" s="15" t="s">
        <v>30</v>
      </c>
      <c r="AQ5" s="15" t="s">
        <v>32</v>
      </c>
      <c r="AZ5" s="15" t="s">
        <v>29</v>
      </c>
      <c r="BA5" s="15" t="s">
        <v>30</v>
      </c>
      <c r="BB5" s="15" t="s">
        <v>32</v>
      </c>
      <c r="BK5" s="15" t="s">
        <v>29</v>
      </c>
      <c r="BL5" s="15" t="s">
        <v>30</v>
      </c>
      <c r="BM5" s="15" t="s">
        <v>32</v>
      </c>
      <c r="BV5" s="15" t="s">
        <v>29</v>
      </c>
      <c r="BW5" s="15" t="s">
        <v>30</v>
      </c>
      <c r="BX5" s="15" t="s">
        <v>32</v>
      </c>
      <c r="CG5" s="15" t="s">
        <v>29</v>
      </c>
      <c r="CH5" s="15" t="s">
        <v>30</v>
      </c>
      <c r="CI5" s="15" t="s">
        <v>32</v>
      </c>
      <c r="CR5" s="15" t="s">
        <v>29</v>
      </c>
      <c r="CS5" s="15" t="s">
        <v>30</v>
      </c>
      <c r="CT5" s="15" t="s">
        <v>32</v>
      </c>
    </row>
    <row r="6" spans="1:98" x14ac:dyDescent="0.2">
      <c r="A6" s="40" t="s">
        <v>13</v>
      </c>
      <c r="B6" s="34">
        <v>2015</v>
      </c>
      <c r="C6" s="34">
        <v>2019</v>
      </c>
      <c r="D6" s="34">
        <v>2020</v>
      </c>
      <c r="E6" s="34">
        <v>2025</v>
      </c>
      <c r="F6" s="34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34">
        <f>B6</f>
        <v>2015</v>
      </c>
      <c r="N6" s="34">
        <f t="shared" ref="N6:Q6" si="0">C6</f>
        <v>2019</v>
      </c>
      <c r="O6" s="34">
        <f t="shared" si="0"/>
        <v>2020</v>
      </c>
      <c r="P6" s="34">
        <f t="shared" si="0"/>
        <v>2025</v>
      </c>
      <c r="Q6" s="34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34">
        <f>M6</f>
        <v>2015</v>
      </c>
      <c r="Y6" s="34">
        <f t="shared" ref="Y6:AB6" si="1">N6</f>
        <v>2019</v>
      </c>
      <c r="Z6" s="34">
        <f t="shared" si="1"/>
        <v>2020</v>
      </c>
      <c r="AA6" s="34">
        <f t="shared" si="1"/>
        <v>2025</v>
      </c>
      <c r="AB6" s="34">
        <f t="shared" si="1"/>
        <v>2035</v>
      </c>
      <c r="AD6" s="62" t="s">
        <v>18</v>
      </c>
      <c r="AE6" s="62" t="s">
        <v>31</v>
      </c>
      <c r="AF6" s="62" t="s">
        <v>33</v>
      </c>
      <c r="AH6" s="40" t="s">
        <v>13</v>
      </c>
      <c r="AI6" s="34">
        <f>X6</f>
        <v>2015</v>
      </c>
      <c r="AJ6" s="34">
        <f t="shared" ref="AJ6" si="2">Y6</f>
        <v>2019</v>
      </c>
      <c r="AK6" s="34">
        <f t="shared" ref="AK6" si="3">Z6</f>
        <v>2020</v>
      </c>
      <c r="AL6" s="34">
        <f t="shared" ref="AL6" si="4">AA6</f>
        <v>2025</v>
      </c>
      <c r="AM6" s="34">
        <f t="shared" ref="AM6" si="5">AB6</f>
        <v>2035</v>
      </c>
      <c r="AO6" s="62" t="s">
        <v>18</v>
      </c>
      <c r="AP6" s="62" t="s">
        <v>31</v>
      </c>
      <c r="AQ6" s="62" t="s">
        <v>33</v>
      </c>
      <c r="AS6" s="40" t="s">
        <v>13</v>
      </c>
      <c r="AT6" s="34">
        <f>AI6</f>
        <v>2015</v>
      </c>
      <c r="AU6" s="34">
        <f t="shared" ref="AU6" si="6">AJ6</f>
        <v>2019</v>
      </c>
      <c r="AV6" s="34">
        <f t="shared" ref="AV6" si="7">AK6</f>
        <v>2020</v>
      </c>
      <c r="AW6" s="34">
        <f t="shared" ref="AW6" si="8">AL6</f>
        <v>2025</v>
      </c>
      <c r="AX6" s="34">
        <f t="shared" ref="AX6" si="9">AM6</f>
        <v>2035</v>
      </c>
      <c r="AZ6" s="62" t="s">
        <v>18</v>
      </c>
      <c r="BA6" s="62" t="s">
        <v>31</v>
      </c>
      <c r="BB6" s="62" t="s">
        <v>33</v>
      </c>
      <c r="BD6" s="40" t="s">
        <v>13</v>
      </c>
      <c r="BE6" s="34">
        <f>AT6</f>
        <v>2015</v>
      </c>
      <c r="BF6" s="34">
        <f t="shared" ref="BF6" si="10">AU6</f>
        <v>2019</v>
      </c>
      <c r="BG6" s="34">
        <f t="shared" ref="BG6" si="11">AV6</f>
        <v>2020</v>
      </c>
      <c r="BH6" s="34">
        <f t="shared" ref="BH6" si="12">AW6</f>
        <v>2025</v>
      </c>
      <c r="BI6" s="34">
        <f t="shared" ref="BI6" si="13">AX6</f>
        <v>2035</v>
      </c>
      <c r="BK6" s="62" t="s">
        <v>18</v>
      </c>
      <c r="BL6" s="62" t="s">
        <v>31</v>
      </c>
      <c r="BM6" s="62" t="s">
        <v>33</v>
      </c>
      <c r="BO6" s="40" t="s">
        <v>13</v>
      </c>
      <c r="BP6" s="34">
        <f>BE6</f>
        <v>2015</v>
      </c>
      <c r="BQ6" s="34">
        <f t="shared" ref="BQ6" si="14">BF6</f>
        <v>2019</v>
      </c>
      <c r="BR6" s="34">
        <f t="shared" ref="BR6" si="15">BG6</f>
        <v>2020</v>
      </c>
      <c r="BS6" s="34">
        <f t="shared" ref="BS6" si="16">BH6</f>
        <v>2025</v>
      </c>
      <c r="BT6" s="34">
        <f t="shared" ref="BT6" si="17">BI6</f>
        <v>2035</v>
      </c>
      <c r="BV6" s="62" t="s">
        <v>18</v>
      </c>
      <c r="BW6" s="62" t="s">
        <v>31</v>
      </c>
      <c r="BX6" s="62" t="s">
        <v>33</v>
      </c>
      <c r="BZ6" s="40" t="s">
        <v>13</v>
      </c>
      <c r="CA6" s="34">
        <f>BP6</f>
        <v>2015</v>
      </c>
      <c r="CB6" s="34">
        <f t="shared" ref="CB6" si="18">BQ6</f>
        <v>2019</v>
      </c>
      <c r="CC6" s="34">
        <f t="shared" ref="CC6" si="19">BR6</f>
        <v>2020</v>
      </c>
      <c r="CD6" s="34">
        <f t="shared" ref="CD6" si="20">BS6</f>
        <v>2025</v>
      </c>
      <c r="CE6" s="34">
        <f t="shared" ref="CE6" si="21">BT6</f>
        <v>2035</v>
      </c>
      <c r="CG6" s="62" t="s">
        <v>18</v>
      </c>
      <c r="CH6" s="62" t="s">
        <v>31</v>
      </c>
      <c r="CI6" s="62" t="s">
        <v>33</v>
      </c>
      <c r="CK6" s="40" t="s">
        <v>13</v>
      </c>
      <c r="CL6" s="34">
        <f>CA6</f>
        <v>2015</v>
      </c>
      <c r="CM6" s="34">
        <f t="shared" ref="CM6" si="22">CB6</f>
        <v>2019</v>
      </c>
      <c r="CN6" s="34">
        <f t="shared" ref="CN6" si="23">CC6</f>
        <v>2020</v>
      </c>
      <c r="CO6" s="34">
        <f t="shared" ref="CO6" si="24">CD6</f>
        <v>2025</v>
      </c>
      <c r="CP6" s="34">
        <f t="shared" ref="CP6" si="25">CE6</f>
        <v>2035</v>
      </c>
      <c r="CR6" s="62" t="s">
        <v>18</v>
      </c>
      <c r="CS6" s="62" t="s">
        <v>31</v>
      </c>
      <c r="CT6" s="62" t="s">
        <v>33</v>
      </c>
    </row>
    <row r="8" spans="1:98" x14ac:dyDescent="0.2">
      <c r="A8" s="10" t="str">
        <f>name!D4</f>
        <v>11 Corporate managers and directors</v>
      </c>
      <c r="B8" s="68">
        <v>1.6047507403850387</v>
      </c>
      <c r="C8" s="68">
        <v>2.2306943157672277</v>
      </c>
      <c r="D8" s="68">
        <v>2.2464468145713044</v>
      </c>
      <c r="E8" s="68">
        <v>2.5203875714917547</v>
      </c>
      <c r="F8" s="68">
        <v>3.3443419742741667</v>
      </c>
      <c r="G8" s="10"/>
      <c r="H8" s="68">
        <f>F8-D8</f>
        <v>1.0978951597028623</v>
      </c>
      <c r="I8" s="68">
        <f>'RD T1'!E36</f>
        <v>1.3926482329425576</v>
      </c>
      <c r="J8" s="68">
        <f>SUM(H8:I8)</f>
        <v>2.4905433926454199</v>
      </c>
      <c r="L8" t="str">
        <f>A8</f>
        <v>11 Corporate managers and directors</v>
      </c>
      <c r="M8" s="68">
        <v>13.578403645732191</v>
      </c>
      <c r="N8" s="68">
        <v>20.248359174286342</v>
      </c>
      <c r="O8" s="68">
        <v>18.805725930914523</v>
      </c>
      <c r="P8" s="68">
        <v>20.699078029003054</v>
      </c>
      <c r="Q8" s="68">
        <v>27.325360609525237</v>
      </c>
      <c r="R8" s="10"/>
      <c r="S8" s="68">
        <f>Q8-O8</f>
        <v>8.5196346786107142</v>
      </c>
      <c r="T8" s="68">
        <f>'RD T1'!E65</f>
        <v>11.377375002413242</v>
      </c>
      <c r="U8" s="68">
        <f>SUM(S8:T8)</f>
        <v>19.897009681023956</v>
      </c>
      <c r="W8" t="str">
        <f>A8</f>
        <v>11 Corporate managers and directors</v>
      </c>
      <c r="X8" s="68">
        <v>38.443642621112517</v>
      </c>
      <c r="Y8" s="68">
        <v>44.682043501880166</v>
      </c>
      <c r="Z8" s="68">
        <v>50.504619693831081</v>
      </c>
      <c r="AA8" s="68">
        <v>49.632648905978513</v>
      </c>
      <c r="AB8" s="68">
        <v>60.302502810977437</v>
      </c>
      <c r="AC8" s="68"/>
      <c r="AD8" s="68">
        <f>AB8-Z8</f>
        <v>9.7978831171463554</v>
      </c>
      <c r="AE8" s="68">
        <f>'RD T1'!E94</f>
        <v>30.458146865643819</v>
      </c>
      <c r="AF8" s="68">
        <f>SUM(AD8:AE8)</f>
        <v>40.256029982790174</v>
      </c>
      <c r="AH8" t="str">
        <f>L8</f>
        <v>11 Corporate managers and directors</v>
      </c>
      <c r="AI8" s="68">
        <v>7.5479783316493814</v>
      </c>
      <c r="AJ8" s="68">
        <v>8.2774154423465198</v>
      </c>
      <c r="AK8" s="68">
        <v>9.0918310296515905</v>
      </c>
      <c r="AL8" s="68">
        <v>8.5042526922032522</v>
      </c>
      <c r="AM8" s="68">
        <v>9.6495147332703812</v>
      </c>
      <c r="AN8" s="68"/>
      <c r="AO8" s="68">
        <f>AM8-AK8</f>
        <v>0.55768370361879072</v>
      </c>
      <c r="AP8" s="68">
        <f>'RD T1'!E123</f>
        <v>4.7877064221822341</v>
      </c>
      <c r="AQ8" s="68">
        <f>SUM(AO8:AP8)</f>
        <v>5.3453901258010248</v>
      </c>
      <c r="AS8" t="str">
        <f>W8</f>
        <v>11 Corporate managers and directors</v>
      </c>
      <c r="AT8" s="68">
        <v>11.610882101970894</v>
      </c>
      <c r="AU8" s="68">
        <v>12.335871909830317</v>
      </c>
      <c r="AV8" s="68">
        <v>14.537905124916351</v>
      </c>
      <c r="AW8" s="68">
        <v>13.259242373303508</v>
      </c>
      <c r="AX8" s="68">
        <v>15.257445634560288</v>
      </c>
      <c r="AY8" s="68"/>
      <c r="AZ8" s="68">
        <f>AX8-AV8</f>
        <v>0.71954050964393623</v>
      </c>
      <c r="BA8" s="68">
        <f>'RD T1'!E152</f>
        <v>7.4112111440685444</v>
      </c>
      <c r="BB8" s="68">
        <f>SUM(AZ8:BA8)</f>
        <v>8.1307516537124798</v>
      </c>
      <c r="BD8" t="str">
        <f>AH8</f>
        <v>11 Corporate managers and directors</v>
      </c>
      <c r="BE8" s="68">
        <v>28.816486977648093</v>
      </c>
      <c r="BF8" s="68">
        <v>37.551389654368677</v>
      </c>
      <c r="BG8" s="68">
        <v>37.412303377819001</v>
      </c>
      <c r="BH8" s="68">
        <v>33.198294566938991</v>
      </c>
      <c r="BI8" s="68">
        <v>36.287619663699154</v>
      </c>
      <c r="BJ8" s="68"/>
      <c r="BK8" s="68">
        <f>BI8-BG8</f>
        <v>-1.1246837141198469</v>
      </c>
      <c r="BL8" s="68">
        <f>'RD T1'!E181</f>
        <v>15.511479566506328</v>
      </c>
      <c r="BM8" s="68">
        <f>SUM(BK8:BL8)</f>
        <v>14.386795852386481</v>
      </c>
      <c r="BO8" t="str">
        <f>AS8</f>
        <v>11 Corporate managers and directors</v>
      </c>
      <c r="BP8" s="68">
        <v>22.490889075149777</v>
      </c>
      <c r="BQ8" s="68">
        <v>26.853423028616799</v>
      </c>
      <c r="BR8" s="68">
        <v>26.199438374224332</v>
      </c>
      <c r="BS8" s="68">
        <v>20.459158120777829</v>
      </c>
      <c r="BT8" s="68">
        <v>15.782136366795614</v>
      </c>
      <c r="BU8" s="68"/>
      <c r="BV8" s="68">
        <f>BT8-BR8</f>
        <v>-10.417302007428718</v>
      </c>
      <c r="BW8" s="68">
        <f>'RD T1'!E210</f>
        <v>8.9121934787615711</v>
      </c>
      <c r="BX8" s="68">
        <f>SUM(BV8:BW8)</f>
        <v>-1.5051085286671473</v>
      </c>
      <c r="BZ8" t="str">
        <f>BD8</f>
        <v>11 Corporate managers and directors</v>
      </c>
      <c r="CA8" s="68">
        <v>16.759752569429079</v>
      </c>
      <c r="CB8" s="68">
        <v>18.338003520273734</v>
      </c>
      <c r="CC8" s="68">
        <v>19.332420395558426</v>
      </c>
      <c r="CD8" s="68">
        <v>16.597417716144598</v>
      </c>
      <c r="CE8" s="68">
        <v>12.37099524291232</v>
      </c>
      <c r="CF8" s="68"/>
      <c r="CG8" s="68">
        <f>CE8-CC8</f>
        <v>-6.9614251526461057</v>
      </c>
      <c r="CH8" s="68">
        <f>'RD T1'!E239</f>
        <v>6.9690181494704824</v>
      </c>
      <c r="CI8" s="68">
        <f>SUM(CG8:CH8)</f>
        <v>7.592996824376641E-3</v>
      </c>
      <c r="CK8" t="str">
        <f>BO8</f>
        <v>11 Corporate managers and directors</v>
      </c>
      <c r="CL8" s="68">
        <v>2.805269997140253</v>
      </c>
      <c r="CM8" s="68">
        <v>3.7020817157667976</v>
      </c>
      <c r="CN8" s="68">
        <v>3.1376067236630178</v>
      </c>
      <c r="CO8" s="68">
        <v>2.8795799359773722</v>
      </c>
      <c r="CP8" s="68">
        <v>2.5984040364872523</v>
      </c>
      <c r="CQ8" s="68"/>
      <c r="CR8" s="68">
        <f>CP8-CN8</f>
        <v>-0.53920268717576558</v>
      </c>
      <c r="CS8" s="68">
        <f>'RD T1'!E268</f>
        <v>0.99104259659594085</v>
      </c>
      <c r="CT8" s="68">
        <f>SUM(CR8:CS8)</f>
        <v>0.45183990942017527</v>
      </c>
    </row>
    <row r="9" spans="1:98" x14ac:dyDescent="0.2">
      <c r="A9" s="10" t="str">
        <f>name!D5</f>
        <v>12 Other managers and proprietors</v>
      </c>
      <c r="B9" s="68">
        <v>0.64698703080572739</v>
      </c>
      <c r="C9" s="68">
        <v>0.90093058111965363</v>
      </c>
      <c r="D9" s="68">
        <v>0.79343181403147189</v>
      </c>
      <c r="E9" s="68">
        <v>1.2100066808856955</v>
      </c>
      <c r="F9" s="68">
        <v>1.7612416172055223</v>
      </c>
      <c r="H9" s="68">
        <f>F9-D9</f>
        <v>0.96780980317405041</v>
      </c>
      <c r="I9" s="68">
        <f>'RD T1'!E37</f>
        <v>0.76421100284791543</v>
      </c>
      <c r="J9" s="68">
        <f t="shared" ref="J9:J32" si="26">SUM(H9:I9)</f>
        <v>1.732020806021966</v>
      </c>
      <c r="L9" t="str">
        <f t="shared" ref="L9:L32" si="27">A9</f>
        <v>12 Other managers and proprietors</v>
      </c>
      <c r="M9" s="68">
        <v>5.377650504099833</v>
      </c>
      <c r="N9" s="68">
        <v>7.6287740630575138</v>
      </c>
      <c r="O9" s="68">
        <v>7.0135695177267463</v>
      </c>
      <c r="P9" s="68">
        <v>10.306026367944554</v>
      </c>
      <c r="Q9" s="68">
        <v>15.15832771416569</v>
      </c>
      <c r="S9" s="68">
        <f t="shared" ref="S9:S32" si="28">Q9-O9</f>
        <v>8.1447581964389428</v>
      </c>
      <c r="T9" s="68">
        <f>'RD T1'!E66</f>
        <v>6.3632969250818903</v>
      </c>
      <c r="U9" s="68">
        <f t="shared" ref="U9:U32" si="29">SUM(S9:T9)</f>
        <v>14.508055121520833</v>
      </c>
      <c r="W9" t="str">
        <f t="shared" ref="W9:W32" si="30">A9</f>
        <v>12 Other managers and proprietors</v>
      </c>
      <c r="X9" s="68">
        <v>14.511267147359986</v>
      </c>
      <c r="Y9" s="68">
        <v>15.601771197094996</v>
      </c>
      <c r="Z9" s="68">
        <v>17.490626286761522</v>
      </c>
      <c r="AA9" s="68">
        <v>23.118544043733628</v>
      </c>
      <c r="AB9" s="68">
        <v>30.269710864624212</v>
      </c>
      <c r="AC9" s="68"/>
      <c r="AD9" s="68">
        <f t="shared" ref="AD9:AD32" si="31">AB9-Z9</f>
        <v>12.77908457786269</v>
      </c>
      <c r="AE9" s="68">
        <f>'RD T1'!E95</f>
        <v>15.306497080670814</v>
      </c>
      <c r="AF9" s="68">
        <f t="shared" ref="AF9:AF32" si="32">SUM(AD9:AE9)</f>
        <v>28.085581658533506</v>
      </c>
      <c r="AH9" t="str">
        <f t="shared" ref="AH9:AH32" si="33">L9</f>
        <v>12 Other managers and proprietors</v>
      </c>
      <c r="AI9" s="68">
        <v>3.9643649334680955</v>
      </c>
      <c r="AJ9" s="68">
        <v>4.2494429520025179</v>
      </c>
      <c r="AK9" s="68">
        <v>4.7944726211474666</v>
      </c>
      <c r="AL9" s="68">
        <v>5.7945261340947916</v>
      </c>
      <c r="AM9" s="68">
        <v>7.3079064270946228</v>
      </c>
      <c r="AN9" s="68"/>
      <c r="AO9" s="68">
        <f t="shared" ref="AO9:AO32" si="34">AM9-AK9</f>
        <v>2.5134338059471562</v>
      </c>
      <c r="AP9" s="68">
        <f>'RD T1'!E124</f>
        <v>3.8327974921929755</v>
      </c>
      <c r="AQ9" s="68">
        <f t="shared" ref="AQ9:AQ32" si="35">SUM(AO9:AP9)</f>
        <v>6.3462312981401316</v>
      </c>
      <c r="AS9" t="str">
        <f t="shared" ref="AS9:AS32" si="36">W9</f>
        <v>12 Other managers and proprietors</v>
      </c>
      <c r="AT9" s="68">
        <v>4.8193269098823963</v>
      </c>
      <c r="AU9" s="68">
        <v>4.9662899567984633</v>
      </c>
      <c r="AV9" s="68">
        <v>5.7558322769661752</v>
      </c>
      <c r="AW9" s="68">
        <v>7.3023151714725669</v>
      </c>
      <c r="AX9" s="68">
        <v>9.0834241111634508</v>
      </c>
      <c r="AY9" s="68"/>
      <c r="AZ9" s="68">
        <f t="shared" ref="AZ9:AZ32" si="37">AX9-AV9</f>
        <v>3.3275918341972757</v>
      </c>
      <c r="BA9" s="68">
        <f>'RD T1'!E153</f>
        <v>4.5109177555066156</v>
      </c>
      <c r="BB9" s="68">
        <f t="shared" ref="BB9:BB32" si="38">SUM(AZ9:BA9)</f>
        <v>7.8385095897038912</v>
      </c>
      <c r="BD9" t="str">
        <f t="shared" ref="BD9:BD32" si="39">AH9</f>
        <v>12 Other managers and proprietors</v>
      </c>
      <c r="BE9" s="68">
        <v>13.365638286295113</v>
      </c>
      <c r="BF9" s="68">
        <v>15.111541595257119</v>
      </c>
      <c r="BG9" s="68">
        <v>16.04403281549666</v>
      </c>
      <c r="BH9" s="68">
        <v>19.05028548232637</v>
      </c>
      <c r="BI9" s="68">
        <v>21.721752589561476</v>
      </c>
      <c r="BJ9" s="68"/>
      <c r="BK9" s="68">
        <f t="shared" ref="BK9:BK32" si="40">BI9-BG9</f>
        <v>5.6777197740648155</v>
      </c>
      <c r="BL9" s="68">
        <f>'RD T1'!E182</f>
        <v>8.8944177569882275</v>
      </c>
      <c r="BM9" s="68">
        <f t="shared" ref="BM9:BM32" si="41">SUM(BK9:BL9)</f>
        <v>14.572137531053043</v>
      </c>
      <c r="BO9" t="str">
        <f t="shared" ref="BO9:BO32" si="42">AS9</f>
        <v>12 Other managers and proprietors</v>
      </c>
      <c r="BP9" s="68">
        <v>13.575778411397129</v>
      </c>
      <c r="BQ9" s="68">
        <v>15.583660010013084</v>
      </c>
      <c r="BR9" s="68">
        <v>15.160055101131771</v>
      </c>
      <c r="BS9" s="68">
        <v>16.874139953758373</v>
      </c>
      <c r="BT9" s="68">
        <v>15.345572181831752</v>
      </c>
      <c r="BU9" s="68"/>
      <c r="BV9" s="68">
        <f t="shared" ref="BV9:BV32" si="43">BT9-BR9</f>
        <v>0.18551708069998085</v>
      </c>
      <c r="BW9" s="68">
        <f>'RD T1'!E211</f>
        <v>8.6080313072785763</v>
      </c>
      <c r="BX9" s="68">
        <f t="shared" ref="BX9:BX32" si="44">SUM(BV9:BW9)</f>
        <v>8.7935483879785572</v>
      </c>
      <c r="BZ9" t="str">
        <f t="shared" ref="BZ9:BZ32" si="45">BD9</f>
        <v>12 Other managers and proprietors</v>
      </c>
      <c r="CA9" s="68">
        <v>10.043513468609877</v>
      </c>
      <c r="CB9" s="68">
        <v>9.6616332985322266</v>
      </c>
      <c r="CC9" s="68">
        <v>10.148475644988521</v>
      </c>
      <c r="CD9" s="68">
        <v>10.604692822423615</v>
      </c>
      <c r="CE9" s="68">
        <v>7.686338831201458</v>
      </c>
      <c r="CF9" s="68"/>
      <c r="CG9" s="68">
        <f t="shared" ref="CG9:CG32" si="46">CE9-CC9</f>
        <v>-2.4621368137870627</v>
      </c>
      <c r="CH9" s="68">
        <f>'RD T1'!E240</f>
        <v>4.4698037882129604</v>
      </c>
      <c r="CI9" s="68">
        <f t="shared" ref="CI9:CI32" si="47">SUM(CG9:CH9)</f>
        <v>2.0076669744258977</v>
      </c>
      <c r="CK9" t="str">
        <f t="shared" ref="CK9:CK32" si="48">BO9</f>
        <v>12 Other managers and proprietors</v>
      </c>
      <c r="CL9" s="68">
        <v>3.0043637646575685</v>
      </c>
      <c r="CM9" s="68">
        <v>3.4805503499755428</v>
      </c>
      <c r="CN9" s="68">
        <v>3.1301443634611665</v>
      </c>
      <c r="CO9" s="68">
        <v>4.622487249561563</v>
      </c>
      <c r="CP9" s="68">
        <v>5.0939949578362258</v>
      </c>
      <c r="CQ9" s="68"/>
      <c r="CR9" s="68">
        <f t="shared" ref="CR9:CR32" si="49">CP9-CN9</f>
        <v>1.9638505943750593</v>
      </c>
      <c r="CS9" s="68">
        <f>'RD T1'!E269</f>
        <v>1.7612885829880962</v>
      </c>
      <c r="CT9" s="68">
        <f t="shared" ref="CT9:CT32" si="50">SUM(CR9:CS9)</f>
        <v>3.7251391773631557</v>
      </c>
    </row>
    <row r="10" spans="1:98" x14ac:dyDescent="0.2">
      <c r="A10" s="10" t="str">
        <f>name!D6</f>
        <v>21 Science, research, engineering and technology professionals</v>
      </c>
      <c r="B10" s="68">
        <v>4.6299619298819223</v>
      </c>
      <c r="C10" s="68">
        <v>6.6745642178544724</v>
      </c>
      <c r="D10" s="68">
        <v>6.4494155078123478</v>
      </c>
      <c r="E10" s="68">
        <v>7.948384962274587</v>
      </c>
      <c r="F10" s="68">
        <v>10.407628234411959</v>
      </c>
      <c r="G10" s="11"/>
      <c r="H10" s="68">
        <f t="shared" ref="H10:H32" si="51">F10-D10</f>
        <v>3.9582127265996112</v>
      </c>
      <c r="I10" s="68">
        <f>'RD T1'!E38</f>
        <v>3.1858136717012697</v>
      </c>
      <c r="J10" s="68">
        <f t="shared" si="26"/>
        <v>7.1440263983008805</v>
      </c>
      <c r="L10" t="str">
        <f t="shared" si="27"/>
        <v>21 Science, research, engineering and technology professionals</v>
      </c>
      <c r="M10" s="68">
        <v>17.282158049662076</v>
      </c>
      <c r="N10" s="68">
        <v>25.202289702923455</v>
      </c>
      <c r="O10" s="68">
        <v>24.469686689401318</v>
      </c>
      <c r="P10" s="68">
        <v>31.277906461480182</v>
      </c>
      <c r="Q10" s="68">
        <v>42.256571482570067</v>
      </c>
      <c r="R10" s="11"/>
      <c r="S10" s="68">
        <f t="shared" si="28"/>
        <v>17.786884793168749</v>
      </c>
      <c r="T10" s="68">
        <f>'RD T1'!E67</f>
        <v>13.212318939834834</v>
      </c>
      <c r="U10" s="68">
        <f t="shared" si="29"/>
        <v>30.999203733003583</v>
      </c>
      <c r="W10" t="str">
        <f t="shared" si="30"/>
        <v>21 Science, research, engineering and technology professionals</v>
      </c>
      <c r="X10" s="68">
        <v>38.612083264119171</v>
      </c>
      <c r="Y10" s="68">
        <v>41.143692767040861</v>
      </c>
      <c r="Z10" s="68">
        <v>46.440502532201194</v>
      </c>
      <c r="AA10" s="68">
        <v>48.520328638502093</v>
      </c>
      <c r="AB10" s="68">
        <v>53.810203652160453</v>
      </c>
      <c r="AC10" s="68"/>
      <c r="AD10" s="68">
        <f t="shared" si="31"/>
        <v>7.3697011199592595</v>
      </c>
      <c r="AE10" s="68">
        <f>'RD T1'!E96</f>
        <v>19.55813932650516</v>
      </c>
      <c r="AF10" s="68">
        <f t="shared" si="32"/>
        <v>26.927840446464419</v>
      </c>
      <c r="AH10" t="str">
        <f t="shared" si="33"/>
        <v>21 Science, research, engineering and technology professionals</v>
      </c>
      <c r="AI10" s="68">
        <v>4.0394377427265642</v>
      </c>
      <c r="AJ10" s="68">
        <v>4.1760141320525799</v>
      </c>
      <c r="AK10" s="68">
        <v>4.9400125631399039</v>
      </c>
      <c r="AL10" s="68">
        <v>5.15027026489373</v>
      </c>
      <c r="AM10" s="68">
        <v>6.0660090811693923</v>
      </c>
      <c r="AN10" s="68"/>
      <c r="AO10" s="68">
        <f t="shared" si="34"/>
        <v>1.1259965180294884</v>
      </c>
      <c r="AP10" s="68">
        <f>'RD T1'!E125</f>
        <v>2.1169928366408688</v>
      </c>
      <c r="AQ10" s="68">
        <f t="shared" si="35"/>
        <v>3.2429893546703572</v>
      </c>
      <c r="AS10" t="str">
        <f t="shared" si="36"/>
        <v>21 Science, research, engineering and technology professionals</v>
      </c>
      <c r="AT10" s="68">
        <v>11.888298443290079</v>
      </c>
      <c r="AU10" s="68">
        <v>11.39691803310633</v>
      </c>
      <c r="AV10" s="68">
        <v>13.53359571692639</v>
      </c>
      <c r="AW10" s="68">
        <v>12.950830156643965</v>
      </c>
      <c r="AX10" s="68">
        <v>13.835451120678332</v>
      </c>
      <c r="AY10" s="68"/>
      <c r="AZ10" s="68">
        <f t="shared" si="37"/>
        <v>0.30185540375194186</v>
      </c>
      <c r="BA10" s="68">
        <f>'RD T1'!E154</f>
        <v>4.7411471165692243</v>
      </c>
      <c r="BB10" s="68">
        <f t="shared" si="38"/>
        <v>5.0430025203211661</v>
      </c>
      <c r="BD10" t="str">
        <f t="shared" si="39"/>
        <v>21 Science, research, engineering and technology professionals</v>
      </c>
      <c r="BE10" s="68">
        <v>19.527006675645048</v>
      </c>
      <c r="BF10" s="68">
        <v>24.697784674006375</v>
      </c>
      <c r="BG10" s="68">
        <v>24.133322665275383</v>
      </c>
      <c r="BH10" s="68">
        <v>23.844174722755266</v>
      </c>
      <c r="BI10" s="68">
        <v>25.310373768237511</v>
      </c>
      <c r="BJ10" s="68"/>
      <c r="BK10" s="68">
        <f t="shared" si="40"/>
        <v>1.1770511029621282</v>
      </c>
      <c r="BL10" s="68">
        <f>'RD T1'!E183</f>
        <v>7.6191929636668156</v>
      </c>
      <c r="BM10" s="68">
        <f t="shared" si="41"/>
        <v>8.7962440666289439</v>
      </c>
      <c r="BO10" t="str">
        <f t="shared" si="42"/>
        <v>21 Science, research, engineering and technology professionals</v>
      </c>
      <c r="BP10" s="68">
        <v>12.932050198838621</v>
      </c>
      <c r="BQ10" s="68">
        <v>15.242353812082925</v>
      </c>
      <c r="BR10" s="68">
        <v>15.20871442337773</v>
      </c>
      <c r="BS10" s="68">
        <v>13.864815844348257</v>
      </c>
      <c r="BT10" s="68">
        <v>12.232281400977415</v>
      </c>
      <c r="BU10" s="68"/>
      <c r="BV10" s="68">
        <f t="shared" si="43"/>
        <v>-2.9764330224003146</v>
      </c>
      <c r="BW10" s="68">
        <f>'RD T1'!E212</f>
        <v>4.5380905712810051</v>
      </c>
      <c r="BX10" s="68">
        <f t="shared" si="44"/>
        <v>1.5616575488806905</v>
      </c>
      <c r="BZ10" t="str">
        <f t="shared" si="45"/>
        <v>21 Science, research, engineering and technology professionals</v>
      </c>
      <c r="CA10" s="68">
        <v>7.9145116411156229</v>
      </c>
      <c r="CB10" s="68">
        <v>8.989484189682253</v>
      </c>
      <c r="CC10" s="68">
        <v>9.3003886844387598</v>
      </c>
      <c r="CD10" s="68">
        <v>8.3066895898594826</v>
      </c>
      <c r="CE10" s="68">
        <v>5.8310060387437677</v>
      </c>
      <c r="CF10" s="68"/>
      <c r="CG10" s="68">
        <f t="shared" si="46"/>
        <v>-3.4693826456949921</v>
      </c>
      <c r="CH10" s="68">
        <f>'RD T1'!E241</f>
        <v>2.4428778553540424</v>
      </c>
      <c r="CI10" s="68">
        <f t="shared" si="47"/>
        <v>-1.0265047903409497</v>
      </c>
      <c r="CK10" t="str">
        <f t="shared" si="48"/>
        <v>21 Science, research, engineering and technology professionals</v>
      </c>
      <c r="CL10" s="68">
        <v>1.3480008259491341</v>
      </c>
      <c r="CM10" s="68">
        <v>1.806388375557298</v>
      </c>
      <c r="CN10" s="68">
        <v>1.6772991746810768</v>
      </c>
      <c r="CO10" s="68">
        <v>2.256039667553837</v>
      </c>
      <c r="CP10" s="68">
        <v>2.0803011630277841</v>
      </c>
      <c r="CQ10" s="68"/>
      <c r="CR10" s="68">
        <f t="shared" si="49"/>
        <v>0.40300198834670731</v>
      </c>
      <c r="CS10" s="68">
        <f>'RD T1'!E270</f>
        <v>0.61509619098158297</v>
      </c>
      <c r="CT10" s="68">
        <f t="shared" si="50"/>
        <v>1.0180981793282902</v>
      </c>
    </row>
    <row r="11" spans="1:98" x14ac:dyDescent="0.2">
      <c r="A11" s="10" t="str">
        <f>name!D7</f>
        <v>22 Health professionals</v>
      </c>
      <c r="B11" s="68">
        <v>4.3664242403717441</v>
      </c>
      <c r="C11" s="68">
        <v>6.267631109367243</v>
      </c>
      <c r="D11" s="68">
        <v>5.6264819920597624</v>
      </c>
      <c r="E11" s="68">
        <v>7.1562364628256789</v>
      </c>
      <c r="F11" s="68">
        <v>9.2775706412054841</v>
      </c>
      <c r="G11" s="11"/>
      <c r="H11" s="68">
        <f t="shared" si="51"/>
        <v>3.6510886491457217</v>
      </c>
      <c r="I11" s="68">
        <f>'RD T1'!E39</f>
        <v>3.5357717026637259</v>
      </c>
      <c r="J11" s="68">
        <f t="shared" si="26"/>
        <v>7.1868603518094476</v>
      </c>
      <c r="L11" t="str">
        <f t="shared" si="27"/>
        <v>22 Health professionals</v>
      </c>
      <c r="M11" s="68">
        <v>13.11578630747923</v>
      </c>
      <c r="N11" s="68">
        <v>19.406561081319303</v>
      </c>
      <c r="O11" s="68">
        <v>16.787582272400563</v>
      </c>
      <c r="P11" s="68">
        <v>20.519449061252175</v>
      </c>
      <c r="Q11" s="68">
        <v>25.700561534870708</v>
      </c>
      <c r="R11" s="11"/>
      <c r="S11" s="68">
        <f t="shared" si="28"/>
        <v>8.9129792624701452</v>
      </c>
      <c r="T11" s="68">
        <f>'RD T1'!E68</f>
        <v>10.156393184839656</v>
      </c>
      <c r="U11" s="68">
        <f t="shared" si="29"/>
        <v>19.069372447309803</v>
      </c>
      <c r="W11" t="str">
        <f t="shared" si="30"/>
        <v>22 Health professionals</v>
      </c>
      <c r="X11" s="68">
        <v>30.906389456898154</v>
      </c>
      <c r="Y11" s="68">
        <v>35.554649321605098</v>
      </c>
      <c r="Z11" s="68">
        <v>37.649994698274462</v>
      </c>
      <c r="AA11" s="68">
        <v>43.187497461056985</v>
      </c>
      <c r="AB11" s="68">
        <v>51.371203823502761</v>
      </c>
      <c r="AC11" s="68"/>
      <c r="AD11" s="68">
        <f t="shared" si="31"/>
        <v>13.721209125228299</v>
      </c>
      <c r="AE11" s="68">
        <f>'RD T1'!E97</f>
        <v>26.783536557698156</v>
      </c>
      <c r="AF11" s="68">
        <f t="shared" si="32"/>
        <v>40.504745682926455</v>
      </c>
      <c r="AH11" t="str">
        <f t="shared" si="33"/>
        <v>22 Health professionals</v>
      </c>
      <c r="AI11" s="68">
        <v>15.861684404014643</v>
      </c>
      <c r="AJ11" s="68">
        <v>12.259031000907514</v>
      </c>
      <c r="AK11" s="68">
        <v>11.79990383512887</v>
      </c>
      <c r="AL11" s="68">
        <v>7.3416790881527856</v>
      </c>
      <c r="AM11" s="68">
        <v>3.1030831984611837</v>
      </c>
      <c r="AN11" s="68"/>
      <c r="AO11" s="68">
        <f t="shared" si="34"/>
        <v>-8.6968206366676863</v>
      </c>
      <c r="AP11" s="68">
        <f>'RD T1'!E126</f>
        <v>2.5220620198688422</v>
      </c>
      <c r="AQ11" s="68">
        <f t="shared" si="35"/>
        <v>-6.1747586167988437</v>
      </c>
      <c r="AS11" t="str">
        <f t="shared" si="36"/>
        <v>22 Health professionals</v>
      </c>
      <c r="AT11" s="68">
        <v>2.0475353584477785</v>
      </c>
      <c r="AU11" s="68">
        <v>2.4375275209940432</v>
      </c>
      <c r="AV11" s="68">
        <v>2.8119107875140541</v>
      </c>
      <c r="AW11" s="68">
        <v>3.015043194437482</v>
      </c>
      <c r="AX11" s="68">
        <v>3.5115188747540622</v>
      </c>
      <c r="AY11" s="68"/>
      <c r="AZ11" s="68">
        <f t="shared" si="37"/>
        <v>0.69960808724000811</v>
      </c>
      <c r="BA11" s="68">
        <f>'RD T1'!E155</f>
        <v>1.6558773814264223</v>
      </c>
      <c r="BB11" s="68">
        <f t="shared" si="38"/>
        <v>2.3554854686664304</v>
      </c>
      <c r="BD11" t="str">
        <f t="shared" si="39"/>
        <v>22 Health professionals</v>
      </c>
      <c r="BE11" s="68">
        <v>7.7321529690884567</v>
      </c>
      <c r="BF11" s="68">
        <v>9.752215962038111</v>
      </c>
      <c r="BG11" s="68">
        <v>10.530106298414324</v>
      </c>
      <c r="BH11" s="68">
        <v>11.176418013012341</v>
      </c>
      <c r="BI11" s="68">
        <v>11.921425090481076</v>
      </c>
      <c r="BJ11" s="68"/>
      <c r="BK11" s="68">
        <f t="shared" si="40"/>
        <v>1.3913187920667518</v>
      </c>
      <c r="BL11" s="68">
        <f>'RD T1'!E184</f>
        <v>6.126883557120216</v>
      </c>
      <c r="BM11" s="68">
        <f t="shared" si="41"/>
        <v>7.5182023491869678</v>
      </c>
      <c r="BO11" t="str">
        <f t="shared" si="42"/>
        <v>22 Health professionals</v>
      </c>
      <c r="BP11" s="68">
        <v>6.2047556380673736</v>
      </c>
      <c r="BQ11" s="68">
        <v>7.3417842911996738</v>
      </c>
      <c r="BR11" s="68">
        <v>7.7458837676269843</v>
      </c>
      <c r="BS11" s="68">
        <v>7.2469189279875605</v>
      </c>
      <c r="BT11" s="68">
        <v>5.7994758900673267</v>
      </c>
      <c r="BU11" s="68"/>
      <c r="BV11" s="68">
        <f t="shared" si="43"/>
        <v>-1.9464078775596576</v>
      </c>
      <c r="BW11" s="68">
        <f>'RD T1'!E213</f>
        <v>3.4399010770014105</v>
      </c>
      <c r="BX11" s="68">
        <f t="shared" si="44"/>
        <v>1.4934931994417529</v>
      </c>
      <c r="BZ11" t="str">
        <f t="shared" si="45"/>
        <v>22 Health professionals</v>
      </c>
      <c r="CA11" s="68">
        <v>4.317230481046944</v>
      </c>
      <c r="CB11" s="68">
        <v>4.2076045662803088</v>
      </c>
      <c r="CC11" s="68">
        <v>4.2210347614891681</v>
      </c>
      <c r="CD11" s="68">
        <v>4.8132827135127725</v>
      </c>
      <c r="CE11" s="68">
        <v>3.2419221579337649</v>
      </c>
      <c r="CF11" s="68"/>
      <c r="CG11" s="68">
        <f t="shared" si="46"/>
        <v>-0.97911260355540319</v>
      </c>
      <c r="CH11" s="68">
        <f>'RD T1'!E242</f>
        <v>1.7649564189093951</v>
      </c>
      <c r="CI11" s="68">
        <f t="shared" si="47"/>
        <v>0.78584381535399195</v>
      </c>
      <c r="CK11" t="str">
        <f t="shared" si="48"/>
        <v>22 Health professionals</v>
      </c>
      <c r="CL11" s="68">
        <v>0.38953134928722871</v>
      </c>
      <c r="CM11" s="68">
        <v>0.5399382796867751</v>
      </c>
      <c r="CN11" s="68">
        <v>0.50450969539552215</v>
      </c>
      <c r="CO11" s="68">
        <v>0.69045457195076565</v>
      </c>
      <c r="CP11" s="68">
        <v>0.72627931656235667</v>
      </c>
      <c r="CQ11" s="68"/>
      <c r="CR11" s="68">
        <f t="shared" si="49"/>
        <v>0.22176962116683452</v>
      </c>
      <c r="CS11" s="68">
        <f>'RD T1'!E271</f>
        <v>0.28171038917836566</v>
      </c>
      <c r="CT11" s="68">
        <f t="shared" si="50"/>
        <v>0.50348001034520018</v>
      </c>
    </row>
    <row r="12" spans="1:98" x14ac:dyDescent="0.2">
      <c r="A12" s="10" t="str">
        <f>name!D8</f>
        <v>23 Teaching and other educational professionals</v>
      </c>
      <c r="B12" s="68">
        <v>6.7455992051175109</v>
      </c>
      <c r="C12" s="68">
        <v>8.1987131561755948</v>
      </c>
      <c r="D12" s="68">
        <v>8.0355786637262749</v>
      </c>
      <c r="E12" s="68">
        <v>8.8484711825328173</v>
      </c>
      <c r="F12" s="68">
        <v>10.082107836996261</v>
      </c>
      <c r="G12" s="11"/>
      <c r="H12" s="68">
        <f t="shared" si="51"/>
        <v>2.0465291732699864</v>
      </c>
      <c r="I12" s="68">
        <f>'RD T1'!E40</f>
        <v>4.2348794256267102</v>
      </c>
      <c r="J12" s="68">
        <f t="shared" si="26"/>
        <v>6.2814085988966966</v>
      </c>
      <c r="L12" t="str">
        <f t="shared" si="27"/>
        <v>23 Teaching and other educational professionals</v>
      </c>
      <c r="M12" s="68">
        <v>35.508910741367202</v>
      </c>
      <c r="N12" s="68">
        <v>45.629397267816152</v>
      </c>
      <c r="O12" s="68">
        <v>44.000534420312533</v>
      </c>
      <c r="P12" s="68">
        <v>48.075884803203095</v>
      </c>
      <c r="Q12" s="68">
        <v>54.813792912316963</v>
      </c>
      <c r="R12" s="11"/>
      <c r="S12" s="68">
        <f t="shared" si="28"/>
        <v>10.813258492004429</v>
      </c>
      <c r="T12" s="68">
        <f>'RD T1'!E69</f>
        <v>23.616217299362162</v>
      </c>
      <c r="U12" s="68">
        <f t="shared" si="29"/>
        <v>34.429475791366592</v>
      </c>
      <c r="W12" t="str">
        <f t="shared" si="30"/>
        <v>23 Teaching and other educational professionals</v>
      </c>
      <c r="X12" s="68">
        <v>25.675422044966723</v>
      </c>
      <c r="Y12" s="68">
        <v>22.493028872997954</v>
      </c>
      <c r="Z12" s="68">
        <v>26.235408930703251</v>
      </c>
      <c r="AA12" s="68">
        <v>22.209109297626462</v>
      </c>
      <c r="AB12" s="68">
        <v>18.618250751323369</v>
      </c>
      <c r="AC12" s="68"/>
      <c r="AD12" s="68">
        <f t="shared" si="31"/>
        <v>-7.6171581793798815</v>
      </c>
      <c r="AE12" s="68">
        <f>'RD T1'!E98</f>
        <v>11.739981193524523</v>
      </c>
      <c r="AF12" s="68">
        <f t="shared" si="32"/>
        <v>4.1228230141446414</v>
      </c>
      <c r="AH12" t="str">
        <f t="shared" si="33"/>
        <v>23 Teaching and other educational professionals</v>
      </c>
      <c r="AI12" s="68">
        <v>3.7362292276642499</v>
      </c>
      <c r="AJ12" s="68">
        <v>2.0953357492491826</v>
      </c>
      <c r="AK12" s="68">
        <v>2.145909725897222</v>
      </c>
      <c r="AL12" s="68">
        <v>1.298356672136846</v>
      </c>
      <c r="AM12" s="68">
        <v>1.3122308068096082</v>
      </c>
      <c r="AN12" s="68"/>
      <c r="AO12" s="68">
        <f t="shared" si="34"/>
        <v>-0.83367891908761371</v>
      </c>
      <c r="AP12" s="68">
        <f>'RD T1'!E127</f>
        <v>0.40525237308412693</v>
      </c>
      <c r="AQ12" s="68">
        <f t="shared" si="35"/>
        <v>-0.42842654600348679</v>
      </c>
      <c r="AS12" t="str">
        <f t="shared" si="36"/>
        <v>23 Teaching and other educational professionals</v>
      </c>
      <c r="AT12" s="68">
        <v>1.0875461526266161</v>
      </c>
      <c r="AU12" s="68">
        <v>0.98231627490475903</v>
      </c>
      <c r="AV12" s="68">
        <v>1.1977558467286813</v>
      </c>
      <c r="AW12" s="68">
        <v>1.0089669197906539</v>
      </c>
      <c r="AX12" s="68">
        <v>0.92726064512873496</v>
      </c>
      <c r="AY12" s="68"/>
      <c r="AZ12" s="68">
        <f t="shared" si="37"/>
        <v>-0.27049520159994633</v>
      </c>
      <c r="BA12" s="68">
        <f>'RD T1'!E156</f>
        <v>0.48640453462241512</v>
      </c>
      <c r="BB12" s="68">
        <f t="shared" si="38"/>
        <v>0.21590933302246879</v>
      </c>
      <c r="BD12" t="str">
        <f t="shared" si="39"/>
        <v>23 Teaching and other educational professionals</v>
      </c>
      <c r="BE12" s="68">
        <v>3.862589956733987</v>
      </c>
      <c r="BF12" s="68">
        <v>4.3811673758851821</v>
      </c>
      <c r="BG12" s="68">
        <v>4.9930122196626616</v>
      </c>
      <c r="BH12" s="68">
        <v>4.987093638463004</v>
      </c>
      <c r="BI12" s="68">
        <v>5.8177673064813424</v>
      </c>
      <c r="BJ12" s="68"/>
      <c r="BK12" s="68">
        <f t="shared" si="40"/>
        <v>0.82475508681868082</v>
      </c>
      <c r="BL12" s="68">
        <f>'RD T1'!E185</f>
        <v>2.2865064317452135</v>
      </c>
      <c r="BM12" s="68">
        <f t="shared" si="41"/>
        <v>3.1112615185638943</v>
      </c>
      <c r="BO12" t="str">
        <f t="shared" si="42"/>
        <v>23 Teaching and other educational professionals</v>
      </c>
      <c r="BP12" s="68">
        <v>2.978917336505345</v>
      </c>
      <c r="BQ12" s="68">
        <v>3.033863083846605</v>
      </c>
      <c r="BR12" s="68">
        <v>3.4776474357959577</v>
      </c>
      <c r="BS12" s="68">
        <v>2.9638550402751873</v>
      </c>
      <c r="BT12" s="68">
        <v>2.3747632175261448</v>
      </c>
      <c r="BU12" s="68"/>
      <c r="BV12" s="68">
        <f t="shared" si="43"/>
        <v>-1.1028842182698129</v>
      </c>
      <c r="BW12" s="68">
        <f>'RD T1'!E214</f>
        <v>1.3759349940625563</v>
      </c>
      <c r="BX12" s="68">
        <f t="shared" si="44"/>
        <v>0.27305077579274339</v>
      </c>
      <c r="BZ12" t="str">
        <f t="shared" si="45"/>
        <v>23 Teaching and other educational professionals</v>
      </c>
      <c r="CA12" s="68">
        <v>2.357725942004615</v>
      </c>
      <c r="CB12" s="68">
        <v>2.1415679334898154</v>
      </c>
      <c r="CC12" s="68">
        <v>2.5871366115392584</v>
      </c>
      <c r="CD12" s="68">
        <v>2.4923503207271032</v>
      </c>
      <c r="CE12" s="68">
        <v>1.872155749348116</v>
      </c>
      <c r="CF12" s="68"/>
      <c r="CG12" s="68">
        <f t="shared" si="46"/>
        <v>-0.71498086219114243</v>
      </c>
      <c r="CH12" s="68">
        <f>'RD T1'!E243</f>
        <v>1.0321589363060704</v>
      </c>
      <c r="CI12" s="68">
        <f t="shared" si="47"/>
        <v>0.31717807411492793</v>
      </c>
      <c r="CK12" t="str">
        <f t="shared" si="48"/>
        <v>23 Teaching and other educational professionals</v>
      </c>
      <c r="CL12" s="68">
        <v>0.38780063367997525</v>
      </c>
      <c r="CM12" s="68">
        <v>0.52755402840272825</v>
      </c>
      <c r="CN12" s="68">
        <v>0.61589309488090538</v>
      </c>
      <c r="CO12" s="68">
        <v>0.81992644916824708</v>
      </c>
      <c r="CP12" s="68">
        <v>0.7580775266882589</v>
      </c>
      <c r="CQ12" s="68"/>
      <c r="CR12" s="68">
        <f t="shared" si="49"/>
        <v>0.14218443180735352</v>
      </c>
      <c r="CS12" s="68">
        <f>'RD T1'!E272</f>
        <v>0.35046287163343404</v>
      </c>
      <c r="CT12" s="68">
        <f t="shared" si="50"/>
        <v>0.49264730344078755</v>
      </c>
    </row>
    <row r="13" spans="1:98" x14ac:dyDescent="0.2">
      <c r="A13" s="10" t="str">
        <f>name!D9</f>
        <v>24 Business, media and public service professionals</v>
      </c>
      <c r="B13" s="68">
        <v>1.6074079920215789</v>
      </c>
      <c r="C13" s="68">
        <v>2.3353356284004403</v>
      </c>
      <c r="D13" s="68">
        <v>2.3643316493577045</v>
      </c>
      <c r="E13" s="68">
        <v>3.1393673384231131</v>
      </c>
      <c r="F13" s="68">
        <v>4.3006626078225256</v>
      </c>
      <c r="G13" s="11"/>
      <c r="H13" s="68">
        <f t="shared" si="51"/>
        <v>1.9363309584648212</v>
      </c>
      <c r="I13" s="68">
        <f>'RD T1'!E41</f>
        <v>1.6438099803213884</v>
      </c>
      <c r="J13" s="68">
        <f t="shared" si="26"/>
        <v>3.5801409387862098</v>
      </c>
      <c r="L13" t="str">
        <f t="shared" si="27"/>
        <v>24 Business, media and public service professionals</v>
      </c>
      <c r="M13" s="68">
        <v>20.835733047936127</v>
      </c>
      <c r="N13" s="68">
        <v>31.506089094791683</v>
      </c>
      <c r="O13" s="68">
        <v>31.915699296413084</v>
      </c>
      <c r="P13" s="68">
        <v>39.934808122302066</v>
      </c>
      <c r="Q13" s="68">
        <v>51.982510879495017</v>
      </c>
      <c r="R13" s="11"/>
      <c r="S13" s="68">
        <f t="shared" si="28"/>
        <v>20.066811583081932</v>
      </c>
      <c r="T13" s="68">
        <f>'RD T1'!E70</f>
        <v>20.20448834593077</v>
      </c>
      <c r="U13" s="68">
        <f t="shared" si="29"/>
        <v>40.271299929012699</v>
      </c>
      <c r="W13" t="str">
        <f t="shared" si="30"/>
        <v>24 Business, media and public service professionals</v>
      </c>
      <c r="X13" s="68">
        <v>42.986728765366323</v>
      </c>
      <c r="Y13" s="68">
        <v>47.762235733006776</v>
      </c>
      <c r="Z13" s="68">
        <v>58.790334208259829</v>
      </c>
      <c r="AA13" s="68">
        <v>65.454931706913428</v>
      </c>
      <c r="AB13" s="68">
        <v>75.501219245331683</v>
      </c>
      <c r="AC13" s="68"/>
      <c r="AD13" s="68">
        <f t="shared" si="31"/>
        <v>16.710885037071854</v>
      </c>
      <c r="AE13" s="68">
        <f>'RD T1'!E99</f>
        <v>36.440927273872383</v>
      </c>
      <c r="AF13" s="68">
        <f t="shared" si="32"/>
        <v>53.151812310944237</v>
      </c>
      <c r="AH13" t="str">
        <f t="shared" si="33"/>
        <v>24 Business, media and public service professionals</v>
      </c>
      <c r="AI13" s="68">
        <v>4.7745729413227975</v>
      </c>
      <c r="AJ13" s="68">
        <v>4.3924447155986996</v>
      </c>
      <c r="AK13" s="68">
        <v>5.2002788619239029</v>
      </c>
      <c r="AL13" s="68">
        <v>5.1829082200084082</v>
      </c>
      <c r="AM13" s="68">
        <v>5.9148663782999611</v>
      </c>
      <c r="AN13" s="68"/>
      <c r="AO13" s="68">
        <f t="shared" si="34"/>
        <v>0.71458751637605822</v>
      </c>
      <c r="AP13" s="68">
        <f>'RD T1'!E128</f>
        <v>2.1480324412966429</v>
      </c>
      <c r="AQ13" s="68">
        <f t="shared" si="35"/>
        <v>2.8626199576727012</v>
      </c>
      <c r="AS13" t="str">
        <f t="shared" si="36"/>
        <v>24 Business, media and public service professionals</v>
      </c>
      <c r="AT13" s="68">
        <v>7.2374391762482659</v>
      </c>
      <c r="AU13" s="68">
        <v>7.4214933218552446</v>
      </c>
      <c r="AV13" s="68">
        <v>9.5746602022642655</v>
      </c>
      <c r="AW13" s="68">
        <v>10.477606983929352</v>
      </c>
      <c r="AX13" s="68">
        <v>12.39289025924983</v>
      </c>
      <c r="AY13" s="68"/>
      <c r="AZ13" s="68">
        <f t="shared" si="37"/>
        <v>2.8182300569855645</v>
      </c>
      <c r="BA13" s="68">
        <f>'RD T1'!E157</f>
        <v>5.4157548003830787</v>
      </c>
      <c r="BB13" s="68">
        <f t="shared" si="38"/>
        <v>8.2339848573686432</v>
      </c>
      <c r="BD13" t="str">
        <f t="shared" si="39"/>
        <v>24 Business, media and public service professionals</v>
      </c>
      <c r="BE13" s="68">
        <v>16.904351319593559</v>
      </c>
      <c r="BF13" s="68">
        <v>21.721096410216994</v>
      </c>
      <c r="BG13" s="68">
        <v>23.412311417348466</v>
      </c>
      <c r="BH13" s="68">
        <v>25.443596761312271</v>
      </c>
      <c r="BI13" s="68">
        <v>28.19103655002694</v>
      </c>
      <c r="BJ13" s="68"/>
      <c r="BK13" s="68">
        <f t="shared" si="40"/>
        <v>4.7787251326784741</v>
      </c>
      <c r="BL13" s="68">
        <f>'RD T1'!E186</f>
        <v>11.050387094237795</v>
      </c>
      <c r="BM13" s="68">
        <f t="shared" si="41"/>
        <v>15.829112226916269</v>
      </c>
      <c r="BO13" t="str">
        <f t="shared" si="42"/>
        <v>24 Business, media and public service professionals</v>
      </c>
      <c r="BP13" s="68">
        <v>12.223422633896686</v>
      </c>
      <c r="BQ13" s="68">
        <v>14.071067151974754</v>
      </c>
      <c r="BR13" s="68">
        <v>15.323536670701657</v>
      </c>
      <c r="BS13" s="68">
        <v>14.30119569489241</v>
      </c>
      <c r="BT13" s="68">
        <v>11.824784031083441</v>
      </c>
      <c r="BU13" s="68"/>
      <c r="BV13" s="68">
        <f t="shared" si="43"/>
        <v>-3.4987526396182158</v>
      </c>
      <c r="BW13" s="68">
        <f>'RD T1'!E215</f>
        <v>5.7269149540455935</v>
      </c>
      <c r="BX13" s="68">
        <f t="shared" si="44"/>
        <v>2.2281623144273777</v>
      </c>
      <c r="BZ13" t="str">
        <f t="shared" si="45"/>
        <v>24 Business, media and public service professionals</v>
      </c>
      <c r="CA13" s="68">
        <v>8.0692518187564168</v>
      </c>
      <c r="CB13" s="68">
        <v>8.5071842311396768</v>
      </c>
      <c r="CC13" s="68">
        <v>9.8764310819350012</v>
      </c>
      <c r="CD13" s="68">
        <v>9.7152963720213403</v>
      </c>
      <c r="CE13" s="68">
        <v>6.6561335551437697</v>
      </c>
      <c r="CF13" s="68"/>
      <c r="CG13" s="68">
        <f t="shared" si="46"/>
        <v>-3.2202975267912315</v>
      </c>
      <c r="CH13" s="68">
        <f>'RD T1'!E244</f>
        <v>3.5713668043647893</v>
      </c>
      <c r="CI13" s="68">
        <f t="shared" si="47"/>
        <v>0.35106927757355777</v>
      </c>
      <c r="CK13" t="str">
        <f t="shared" si="48"/>
        <v>24 Business, media and public service professionals</v>
      </c>
      <c r="CL13" s="68">
        <v>1.4268519929928336</v>
      </c>
      <c r="CM13" s="68">
        <v>1.9504955841749547</v>
      </c>
      <c r="CN13" s="68">
        <v>1.9193388079295064</v>
      </c>
      <c r="CO13" s="68">
        <v>2.339397047013279</v>
      </c>
      <c r="CP13" s="68">
        <v>2.0588743323286884</v>
      </c>
      <c r="CQ13" s="68"/>
      <c r="CR13" s="68">
        <f t="shared" si="49"/>
        <v>0.13953552439918204</v>
      </c>
      <c r="CS13" s="68">
        <f>'RD T1'!E273</f>
        <v>0.84733453242334511</v>
      </c>
      <c r="CT13" s="68">
        <f t="shared" si="50"/>
        <v>0.98687005682252715</v>
      </c>
    </row>
    <row r="14" spans="1:98" x14ac:dyDescent="0.2">
      <c r="A14" s="10" t="str">
        <f>name!D10</f>
        <v>31 Science, engineering and technology associate professionals</v>
      </c>
      <c r="B14" s="68">
        <v>0.52090231479881277</v>
      </c>
      <c r="C14" s="68">
        <v>0.81722505591043948</v>
      </c>
      <c r="D14" s="68">
        <v>0.83669401683848921</v>
      </c>
      <c r="E14" s="68">
        <v>0.94197107127998825</v>
      </c>
      <c r="F14" s="68">
        <v>1.3627187541050965</v>
      </c>
      <c r="G14" s="11"/>
      <c r="H14" s="68">
        <f t="shared" si="51"/>
        <v>0.52602473726660726</v>
      </c>
      <c r="I14" s="68">
        <f>'RD T1'!E42</f>
        <v>0.46803591413593154</v>
      </c>
      <c r="J14" s="68">
        <f t="shared" si="26"/>
        <v>0.99406065140253874</v>
      </c>
      <c r="L14" t="str">
        <f t="shared" si="27"/>
        <v>31 Science, engineering and technology associate professionals</v>
      </c>
      <c r="M14" s="68">
        <v>3.0574091123356886</v>
      </c>
      <c r="N14" s="68">
        <v>4.4810551062331854</v>
      </c>
      <c r="O14" s="68">
        <v>4.5274234548156995</v>
      </c>
      <c r="P14" s="68">
        <v>4.8399209050629057</v>
      </c>
      <c r="Q14" s="68">
        <v>6.6301949036072845</v>
      </c>
      <c r="R14" s="11"/>
      <c r="S14" s="68">
        <f t="shared" si="28"/>
        <v>2.102771448791585</v>
      </c>
      <c r="T14" s="68">
        <f>'RD T1'!E71</f>
        <v>2.249636824386426</v>
      </c>
      <c r="U14" s="68">
        <f t="shared" si="29"/>
        <v>4.3524082731780105</v>
      </c>
      <c r="W14" t="str">
        <f t="shared" si="30"/>
        <v>31 Science, engineering and technology associate professionals</v>
      </c>
      <c r="X14" s="68">
        <v>8.2725719896410936</v>
      </c>
      <c r="Y14" s="68">
        <v>9.6968748011198578</v>
      </c>
      <c r="Z14" s="68">
        <v>11.311802398252409</v>
      </c>
      <c r="AA14" s="68">
        <v>10.458620944444169</v>
      </c>
      <c r="AB14" s="68">
        <v>12.005069577616593</v>
      </c>
      <c r="AC14" s="68"/>
      <c r="AD14" s="68">
        <f t="shared" si="31"/>
        <v>0.69326717936418447</v>
      </c>
      <c r="AE14" s="68">
        <f>'RD T1'!E100</f>
        <v>4.897815739431878</v>
      </c>
      <c r="AF14" s="68">
        <f t="shared" si="32"/>
        <v>5.5910829187960625</v>
      </c>
      <c r="AH14" t="str">
        <f t="shared" si="33"/>
        <v>31 Science, engineering and technology associate professionals</v>
      </c>
      <c r="AI14" s="68">
        <v>1.4993935335558624</v>
      </c>
      <c r="AJ14" s="68">
        <v>1.6486924819972464</v>
      </c>
      <c r="AK14" s="68">
        <v>2.0445996646338163</v>
      </c>
      <c r="AL14" s="68">
        <v>2.0794682916969078</v>
      </c>
      <c r="AM14" s="68">
        <v>2.7958367945441331</v>
      </c>
      <c r="AN14" s="68"/>
      <c r="AO14" s="68">
        <f t="shared" si="34"/>
        <v>0.75123712991031688</v>
      </c>
      <c r="AP14" s="68">
        <f>'RD T1'!E129</f>
        <v>1.06963955929814</v>
      </c>
      <c r="AQ14" s="68">
        <f t="shared" si="35"/>
        <v>1.8208766892084569</v>
      </c>
      <c r="AS14" t="str">
        <f t="shared" si="36"/>
        <v>31 Science, engineering and technology associate professionals</v>
      </c>
      <c r="AT14" s="68">
        <v>4.169873983144468</v>
      </c>
      <c r="AU14" s="68">
        <v>4.1563992631884652</v>
      </c>
      <c r="AV14" s="68">
        <v>5.109131781489693</v>
      </c>
      <c r="AW14" s="68">
        <v>4.1303479076179386</v>
      </c>
      <c r="AX14" s="68">
        <v>4.3118591512379272</v>
      </c>
      <c r="AY14" s="68"/>
      <c r="AZ14" s="68">
        <f t="shared" si="37"/>
        <v>-0.79727263025176587</v>
      </c>
      <c r="BA14" s="68">
        <f>'RD T1'!E158</f>
        <v>1.6240989568353881</v>
      </c>
      <c r="BB14" s="68">
        <f t="shared" si="38"/>
        <v>0.82682632658362221</v>
      </c>
      <c r="BD14" t="str">
        <f t="shared" si="39"/>
        <v>31 Science, engineering and technology associate professionals</v>
      </c>
      <c r="BE14" s="68">
        <v>8.3754638394302638</v>
      </c>
      <c r="BF14" s="68">
        <v>10.226109584100433</v>
      </c>
      <c r="BG14" s="68">
        <v>10.691585310324964</v>
      </c>
      <c r="BH14" s="68">
        <v>8.5036048897437571</v>
      </c>
      <c r="BI14" s="68">
        <v>7.9604814636860795</v>
      </c>
      <c r="BJ14" s="68"/>
      <c r="BK14" s="68">
        <f t="shared" si="40"/>
        <v>-2.7311038466388844</v>
      </c>
      <c r="BL14" s="68">
        <f>'RD T1'!E187</f>
        <v>3.0696507860933688</v>
      </c>
      <c r="BM14" s="68">
        <f t="shared" si="41"/>
        <v>0.33854693945448444</v>
      </c>
      <c r="BO14" t="str">
        <f t="shared" si="42"/>
        <v>31 Science, engineering and technology associate professionals</v>
      </c>
      <c r="BP14" s="68">
        <v>5.6247259988719573</v>
      </c>
      <c r="BQ14" s="68">
        <v>6.7597419183805334</v>
      </c>
      <c r="BR14" s="68">
        <v>7.1008408393359765</v>
      </c>
      <c r="BS14" s="68">
        <v>5.5085456998023661</v>
      </c>
      <c r="BT14" s="68">
        <v>5.0843411333879986</v>
      </c>
      <c r="BU14" s="68"/>
      <c r="BV14" s="68">
        <f t="shared" si="43"/>
        <v>-2.0164997059479779</v>
      </c>
      <c r="BW14" s="68">
        <f>'RD T1'!E216</f>
        <v>2.1192509257222936</v>
      </c>
      <c r="BX14" s="68">
        <f t="shared" si="44"/>
        <v>0.10275121977431567</v>
      </c>
      <c r="BZ14" t="str">
        <f t="shared" si="45"/>
        <v>31 Science, engineering and technology associate professionals</v>
      </c>
      <c r="CA14" s="68">
        <v>4.6727776828100405</v>
      </c>
      <c r="CB14" s="68">
        <v>5.3815051405035934</v>
      </c>
      <c r="CC14" s="68">
        <v>6.2121345829137935</v>
      </c>
      <c r="CD14" s="68">
        <v>4.7426619137418227</v>
      </c>
      <c r="CE14" s="68">
        <v>3.7614285833054959</v>
      </c>
      <c r="CF14" s="68"/>
      <c r="CG14" s="68">
        <f t="shared" si="46"/>
        <v>-2.4507059996082976</v>
      </c>
      <c r="CH14" s="68">
        <f>'RD T1'!E245</f>
        <v>1.6929938909689859</v>
      </c>
      <c r="CI14" s="68">
        <f t="shared" si="47"/>
        <v>-0.75771210863931171</v>
      </c>
      <c r="CK14" t="str">
        <f t="shared" si="48"/>
        <v>31 Science, engineering and technology associate professionals</v>
      </c>
      <c r="CL14" s="68">
        <v>0.69577916514571503</v>
      </c>
      <c r="CM14" s="68">
        <v>0.96544477294904429</v>
      </c>
      <c r="CN14" s="68">
        <v>1.0622292991685967</v>
      </c>
      <c r="CO14" s="68">
        <v>1.2114529143739072</v>
      </c>
      <c r="CP14" s="68">
        <v>1.2250335954197367</v>
      </c>
      <c r="CQ14" s="68"/>
      <c r="CR14" s="68">
        <f t="shared" si="49"/>
        <v>0.16280429625114001</v>
      </c>
      <c r="CS14" s="68">
        <f>'RD T1'!E274</f>
        <v>0.47650819099852904</v>
      </c>
      <c r="CT14" s="68">
        <f t="shared" si="50"/>
        <v>0.63931248724966905</v>
      </c>
    </row>
    <row r="15" spans="1:98" x14ac:dyDescent="0.2">
      <c r="A15" s="10" t="str">
        <f>name!D11</f>
        <v>32 Health and social care associate professionals</v>
      </c>
      <c r="B15" s="68">
        <v>0.1480359514798566</v>
      </c>
      <c r="C15" s="68">
        <v>0.24396184845037983</v>
      </c>
      <c r="D15" s="68">
        <v>0.17804935826636681</v>
      </c>
      <c r="E15" s="68">
        <v>0.23309771408862376</v>
      </c>
      <c r="F15" s="68">
        <v>0.34170263107473425</v>
      </c>
      <c r="G15" s="11"/>
      <c r="H15" s="68">
        <f t="shared" si="51"/>
        <v>0.16365327280836744</v>
      </c>
      <c r="I15" s="68">
        <f>'RD T1'!E43</f>
        <v>0.14392364675141864</v>
      </c>
      <c r="J15" s="68">
        <f t="shared" si="26"/>
        <v>0.30757691955978606</v>
      </c>
      <c r="L15" t="str">
        <f t="shared" si="27"/>
        <v>32 Health and social care associate professionals</v>
      </c>
      <c r="M15" s="68">
        <v>3.0639607156311541</v>
      </c>
      <c r="N15" s="68">
        <v>4.9213638449647634</v>
      </c>
      <c r="O15" s="68">
        <v>4.2797847244070386</v>
      </c>
      <c r="P15" s="68">
        <v>5.2845332765088724</v>
      </c>
      <c r="Q15" s="68">
        <v>7.3216578738294658</v>
      </c>
      <c r="R15" s="11"/>
      <c r="S15" s="68">
        <f t="shared" si="28"/>
        <v>3.0418731494224271</v>
      </c>
      <c r="T15" s="68">
        <f>'RD T1'!E72</f>
        <v>2.9678587571929316</v>
      </c>
      <c r="U15" s="68">
        <f t="shared" si="29"/>
        <v>6.0097319066153592</v>
      </c>
      <c r="W15" t="str">
        <f t="shared" si="30"/>
        <v>32 Health and social care associate professionals</v>
      </c>
      <c r="X15" s="68">
        <v>10.196894176030055</v>
      </c>
      <c r="Y15" s="68">
        <v>12.247589410316085</v>
      </c>
      <c r="Z15" s="68">
        <v>12.658988387421289</v>
      </c>
      <c r="AA15" s="68">
        <v>14.67474261856222</v>
      </c>
      <c r="AB15" s="68">
        <v>19.123092218862038</v>
      </c>
      <c r="AC15" s="68"/>
      <c r="AD15" s="68">
        <f t="shared" si="31"/>
        <v>6.4641038314407488</v>
      </c>
      <c r="AE15" s="68">
        <f>'RD T1'!E101</f>
        <v>10.285417266721476</v>
      </c>
      <c r="AF15" s="68">
        <f t="shared" si="32"/>
        <v>16.749521098162226</v>
      </c>
      <c r="AH15" t="str">
        <f t="shared" si="33"/>
        <v>32 Health and social care associate professionals</v>
      </c>
      <c r="AI15" s="68">
        <v>7.1941263738574195</v>
      </c>
      <c r="AJ15" s="68">
        <v>6.2478226245508228</v>
      </c>
      <c r="AK15" s="68">
        <v>6.1808571974984314</v>
      </c>
      <c r="AL15" s="68">
        <v>4.7405245572457781</v>
      </c>
      <c r="AM15" s="68">
        <v>2.8878198343220891</v>
      </c>
      <c r="AN15" s="68"/>
      <c r="AO15" s="68">
        <f t="shared" si="34"/>
        <v>-3.2930373631763423</v>
      </c>
      <c r="AP15" s="68">
        <f>'RD T1'!E130</f>
        <v>1.8902266243098997</v>
      </c>
      <c r="AQ15" s="68">
        <f t="shared" si="35"/>
        <v>-1.4028107388664426</v>
      </c>
      <c r="AS15" t="str">
        <f t="shared" si="36"/>
        <v>32 Health and social care associate professionals</v>
      </c>
      <c r="AT15" s="68">
        <v>1.6404244236138679</v>
      </c>
      <c r="AU15" s="68">
        <v>1.9392665503023587</v>
      </c>
      <c r="AV15" s="68">
        <v>2.1542387510571275</v>
      </c>
      <c r="AW15" s="68">
        <v>2.1268801495817367</v>
      </c>
      <c r="AX15" s="68">
        <v>2.4558874314827088</v>
      </c>
      <c r="AY15" s="68"/>
      <c r="AZ15" s="68">
        <f t="shared" si="37"/>
        <v>0.30164868042558135</v>
      </c>
      <c r="BA15" s="68">
        <f>'RD T1'!E159</f>
        <v>1.3167069761781658</v>
      </c>
      <c r="BB15" s="68">
        <f t="shared" si="38"/>
        <v>1.6183556566037471</v>
      </c>
      <c r="BD15" t="str">
        <f t="shared" si="39"/>
        <v>32 Health and social care associate professionals</v>
      </c>
      <c r="BE15" s="68">
        <v>6.7880673419631412</v>
      </c>
      <c r="BF15" s="68">
        <v>8.5276518181534016</v>
      </c>
      <c r="BG15" s="68">
        <v>9.2813408349669864</v>
      </c>
      <c r="BH15" s="68">
        <v>9.2199840710980734</v>
      </c>
      <c r="BI15" s="68">
        <v>10.300895657024734</v>
      </c>
      <c r="BJ15" s="68"/>
      <c r="BK15" s="68">
        <f t="shared" si="40"/>
        <v>1.0195548220577475</v>
      </c>
      <c r="BL15" s="68">
        <f>'RD T1'!E188</f>
        <v>5.4564746824757062</v>
      </c>
      <c r="BM15" s="68">
        <f t="shared" si="41"/>
        <v>6.4760295045334537</v>
      </c>
      <c r="BO15" t="str">
        <f t="shared" si="42"/>
        <v>32 Health and social care associate professionals</v>
      </c>
      <c r="BP15" s="68">
        <v>5.8510315050300017</v>
      </c>
      <c r="BQ15" s="68">
        <v>6.6284015624094703</v>
      </c>
      <c r="BR15" s="68">
        <v>6.7846131226644575</v>
      </c>
      <c r="BS15" s="68">
        <v>5.8610395280008873</v>
      </c>
      <c r="BT15" s="68">
        <v>4.5450291662930775</v>
      </c>
      <c r="BU15" s="68"/>
      <c r="BV15" s="68">
        <f t="shared" si="43"/>
        <v>-2.23958395637138</v>
      </c>
      <c r="BW15" s="68">
        <f>'RD T1'!E217</f>
        <v>3.070111232772351</v>
      </c>
      <c r="BX15" s="68">
        <f t="shared" si="44"/>
        <v>0.83052727640097102</v>
      </c>
      <c r="BZ15" t="str">
        <f t="shared" si="45"/>
        <v>32 Health and social care associate professionals</v>
      </c>
      <c r="CA15" s="68">
        <v>2.6029901227303749</v>
      </c>
      <c r="CB15" s="68">
        <v>1.9975834824305876</v>
      </c>
      <c r="CC15" s="68">
        <v>1.9978622916732287</v>
      </c>
      <c r="CD15" s="68">
        <v>1.8916987773414347</v>
      </c>
      <c r="CE15" s="68">
        <v>1.2253545548770686</v>
      </c>
      <c r="CF15" s="68"/>
      <c r="CG15" s="68">
        <f t="shared" si="46"/>
        <v>-0.77250773679616014</v>
      </c>
      <c r="CH15" s="68">
        <f>'RD T1'!E246</f>
        <v>0.72039473453131719</v>
      </c>
      <c r="CI15" s="68">
        <f t="shared" si="47"/>
        <v>-5.2113002264842945E-2</v>
      </c>
      <c r="CK15" t="str">
        <f t="shared" si="48"/>
        <v>32 Health and social care associate professionals</v>
      </c>
      <c r="CL15" s="68">
        <v>0.27067105496365157</v>
      </c>
      <c r="CM15" s="68">
        <v>0.30523688942404575</v>
      </c>
      <c r="CN15" s="68">
        <v>0.2928042437341184</v>
      </c>
      <c r="CO15" s="68">
        <v>0.36519726096798216</v>
      </c>
      <c r="CP15" s="68">
        <v>0.41339183400768142</v>
      </c>
      <c r="CQ15" s="68"/>
      <c r="CR15" s="68">
        <f t="shared" si="49"/>
        <v>0.12058759027356303</v>
      </c>
      <c r="CS15" s="68">
        <f>'RD T1'!E275</f>
        <v>0.16950574991665465</v>
      </c>
      <c r="CT15" s="68">
        <f t="shared" si="50"/>
        <v>0.29009334019021771</v>
      </c>
    </row>
    <row r="16" spans="1:98" x14ac:dyDescent="0.2">
      <c r="A16" s="10" t="str">
        <f>name!D12</f>
        <v>33 Protective service occupations</v>
      </c>
      <c r="B16" s="68">
        <v>6.3623477966950684E-2</v>
      </c>
      <c r="C16" s="68">
        <v>8.7142154257649262E-2</v>
      </c>
      <c r="D16" s="68">
        <v>8.2425309127186083E-2</v>
      </c>
      <c r="E16" s="68">
        <v>0.12919252469070425</v>
      </c>
      <c r="F16" s="68">
        <v>0.21216762230073385</v>
      </c>
      <c r="G16" s="11"/>
      <c r="H16" s="68">
        <f t="shared" si="51"/>
        <v>0.12974231317354779</v>
      </c>
      <c r="I16" s="68">
        <f>'RD T1'!E44</f>
        <v>5.5738003197730923E-2</v>
      </c>
      <c r="J16" s="68">
        <f t="shared" si="26"/>
        <v>0.18548031637127871</v>
      </c>
      <c r="L16" t="str">
        <f t="shared" si="27"/>
        <v>33 Protective service occupations</v>
      </c>
      <c r="M16" s="68">
        <v>1.0029177364032247</v>
      </c>
      <c r="N16" s="68">
        <v>1.2910050384972258</v>
      </c>
      <c r="O16" s="68">
        <v>1.2954075792655328</v>
      </c>
      <c r="P16" s="68">
        <v>1.9895258748611571</v>
      </c>
      <c r="Q16" s="68">
        <v>3.2035793333923985</v>
      </c>
      <c r="R16" s="11"/>
      <c r="S16" s="68">
        <f t="shared" si="28"/>
        <v>1.9081717541268657</v>
      </c>
      <c r="T16" s="68">
        <f>'RD T1'!E73</f>
        <v>0.75285377246525798</v>
      </c>
      <c r="U16" s="68">
        <f t="shared" si="29"/>
        <v>2.6610255265921237</v>
      </c>
      <c r="W16" t="str">
        <f t="shared" si="30"/>
        <v>33 Protective service occupations</v>
      </c>
      <c r="X16" s="68">
        <v>4.8897402134923036</v>
      </c>
      <c r="Y16" s="68">
        <v>5.1919333999153405</v>
      </c>
      <c r="Z16" s="68">
        <v>6.190894388640956</v>
      </c>
      <c r="AA16" s="68">
        <v>8.2834802054955752</v>
      </c>
      <c r="AB16" s="68">
        <v>12.151536314885414</v>
      </c>
      <c r="AC16" s="68"/>
      <c r="AD16" s="68">
        <f t="shared" si="31"/>
        <v>5.9606419262444579</v>
      </c>
      <c r="AE16" s="68">
        <f>'RD T1'!E102</f>
        <v>3.7563509703553128</v>
      </c>
      <c r="AF16" s="68">
        <f t="shared" si="32"/>
        <v>9.7169928965997698</v>
      </c>
      <c r="AH16" t="str">
        <f t="shared" si="33"/>
        <v>33 Protective service occupations</v>
      </c>
      <c r="AI16" s="68">
        <v>1.4119634349303121</v>
      </c>
      <c r="AJ16" s="68">
        <v>1.412419088132155</v>
      </c>
      <c r="AK16" s="68">
        <v>1.7511234992303564</v>
      </c>
      <c r="AL16" s="68">
        <v>2.2437274676737342</v>
      </c>
      <c r="AM16" s="68">
        <v>3.1028350899794144</v>
      </c>
      <c r="AN16" s="68"/>
      <c r="AO16" s="68">
        <f t="shared" si="34"/>
        <v>1.351711590749058</v>
      </c>
      <c r="AP16" s="68">
        <f>'RD T1'!E131</f>
        <v>0.88919541139064029</v>
      </c>
      <c r="AQ16" s="68">
        <f t="shared" si="35"/>
        <v>2.2409070021396982</v>
      </c>
      <c r="AS16" t="str">
        <f t="shared" si="36"/>
        <v>33 Protective service occupations</v>
      </c>
      <c r="AT16" s="68">
        <v>1.2520183526011279</v>
      </c>
      <c r="AU16" s="68">
        <v>1.0698719943372419</v>
      </c>
      <c r="AV16" s="68">
        <v>1.2469610677201208</v>
      </c>
      <c r="AW16" s="68">
        <v>1.3714358964378202</v>
      </c>
      <c r="AX16" s="68">
        <v>1.5988004144600318</v>
      </c>
      <c r="AY16" s="68"/>
      <c r="AZ16" s="68">
        <f t="shared" si="37"/>
        <v>0.35183934673991102</v>
      </c>
      <c r="BA16" s="68">
        <f>'RD T1'!E160</f>
        <v>0.49158259595296366</v>
      </c>
      <c r="BB16" s="68">
        <f t="shared" si="38"/>
        <v>0.84342194269287463</v>
      </c>
      <c r="BD16" t="str">
        <f t="shared" si="39"/>
        <v>33 Protective service occupations</v>
      </c>
      <c r="BE16" s="68">
        <v>6.0290638961984593</v>
      </c>
      <c r="BF16" s="68">
        <v>6.3500207794632066</v>
      </c>
      <c r="BG16" s="68">
        <v>6.1175411636457797</v>
      </c>
      <c r="BH16" s="68">
        <v>7.4903782647382178</v>
      </c>
      <c r="BI16" s="68">
        <v>8.1558408032799221</v>
      </c>
      <c r="BJ16" s="68"/>
      <c r="BK16" s="68">
        <f t="shared" si="40"/>
        <v>2.0382996396341424</v>
      </c>
      <c r="BL16" s="68">
        <f>'RD T1'!E189</f>
        <v>1.9529870884670846</v>
      </c>
      <c r="BM16" s="68">
        <f t="shared" si="41"/>
        <v>3.991286728101227</v>
      </c>
      <c r="BO16" t="str">
        <f t="shared" si="42"/>
        <v>33 Protective service occupations</v>
      </c>
      <c r="BP16" s="68">
        <v>6.0226409694189185</v>
      </c>
      <c r="BQ16" s="68">
        <v>6.3589920040920411</v>
      </c>
      <c r="BR16" s="68">
        <v>6.1064273714251716</v>
      </c>
      <c r="BS16" s="68">
        <v>6.5851037443189178</v>
      </c>
      <c r="BT16" s="68">
        <v>5.6908187367516083</v>
      </c>
      <c r="BU16" s="68"/>
      <c r="BV16" s="68">
        <f t="shared" si="43"/>
        <v>-0.41560863467356324</v>
      </c>
      <c r="BW16" s="68">
        <f>'RD T1'!E218</f>
        <v>1.7835335154124503</v>
      </c>
      <c r="BX16" s="68">
        <f t="shared" si="44"/>
        <v>1.3679248807388871</v>
      </c>
      <c r="BZ16" t="str">
        <f t="shared" si="45"/>
        <v>33 Protective service occupations</v>
      </c>
      <c r="CA16" s="68">
        <v>3.4616984115699485</v>
      </c>
      <c r="CB16" s="68">
        <v>3.0466151290450725</v>
      </c>
      <c r="CC16" s="68">
        <v>3.2146274251961078</v>
      </c>
      <c r="CD16" s="68">
        <v>3.4498274291578501</v>
      </c>
      <c r="CE16" s="68">
        <v>2.3592644978212935</v>
      </c>
      <c r="CF16" s="68"/>
      <c r="CG16" s="68">
        <f t="shared" si="46"/>
        <v>-0.85536292737481423</v>
      </c>
      <c r="CH16" s="68">
        <f>'RD T1'!E247</f>
        <v>0.99828614887866451</v>
      </c>
      <c r="CI16" s="68">
        <f t="shared" si="47"/>
        <v>0.14292322150385028</v>
      </c>
      <c r="CK16" t="str">
        <f t="shared" si="48"/>
        <v>33 Protective service occupations</v>
      </c>
      <c r="CL16" s="68">
        <v>0.54107402336385546</v>
      </c>
      <c r="CM16" s="68">
        <v>0.47736486268625195</v>
      </c>
      <c r="CN16" s="68">
        <v>0.41773733607969721</v>
      </c>
      <c r="CO16" s="68">
        <v>0.4075597409681968</v>
      </c>
      <c r="CP16" s="68">
        <v>0.18273180968772568</v>
      </c>
      <c r="CQ16" s="68"/>
      <c r="CR16" s="68">
        <f t="shared" si="49"/>
        <v>-0.23500552639197153</v>
      </c>
      <c r="CS16" s="68">
        <f>'RD T1'!E276</f>
        <v>7.7272917403306218E-2</v>
      </c>
      <c r="CT16" s="68">
        <f t="shared" si="50"/>
        <v>-0.15773260898866531</v>
      </c>
    </row>
    <row r="17" spans="1:98" x14ac:dyDescent="0.2">
      <c r="A17" s="10" t="str">
        <f>name!D13</f>
        <v>34 Culture, media and sports occupations</v>
      </c>
      <c r="B17" s="68">
        <v>0.26435166554762773</v>
      </c>
      <c r="C17" s="68">
        <v>0.39407903214569023</v>
      </c>
      <c r="D17" s="68">
        <v>0.40610536445545642</v>
      </c>
      <c r="E17" s="68">
        <v>0.44469733165505865</v>
      </c>
      <c r="F17" s="68">
        <v>0.58636456413464499</v>
      </c>
      <c r="G17" s="11"/>
      <c r="H17" s="68">
        <f t="shared" si="51"/>
        <v>0.18025919967918858</v>
      </c>
      <c r="I17" s="68">
        <f>'RD T1'!E45</f>
        <v>0.22567447906719501</v>
      </c>
      <c r="J17" s="68">
        <f t="shared" si="26"/>
        <v>0.40593367874638359</v>
      </c>
      <c r="L17" t="str">
        <f t="shared" si="27"/>
        <v>34 Culture, media and sports occupations</v>
      </c>
      <c r="M17" s="68">
        <v>4.5059437426965934</v>
      </c>
      <c r="N17" s="68">
        <v>6.0904167045720845</v>
      </c>
      <c r="O17" s="68">
        <v>5.6420501592323733</v>
      </c>
      <c r="P17" s="68">
        <v>6.0110548626226894</v>
      </c>
      <c r="Q17" s="68">
        <v>7.7455032669612063</v>
      </c>
      <c r="R17" s="11"/>
      <c r="S17" s="68">
        <f t="shared" si="28"/>
        <v>2.103453107728833</v>
      </c>
      <c r="T17" s="68">
        <f>'RD T1'!E74</f>
        <v>3.0043183994762974</v>
      </c>
      <c r="U17" s="68">
        <f t="shared" si="29"/>
        <v>5.1077715072051308</v>
      </c>
      <c r="W17" t="str">
        <f t="shared" si="30"/>
        <v>34 Culture, media and sports occupations</v>
      </c>
      <c r="X17" s="68">
        <v>12.058701902592894</v>
      </c>
      <c r="Y17" s="68">
        <v>10.779418595248668</v>
      </c>
      <c r="Z17" s="68">
        <v>12.147966167359151</v>
      </c>
      <c r="AA17" s="68">
        <v>11.447666264987115</v>
      </c>
      <c r="AB17" s="68">
        <v>12.572526933093995</v>
      </c>
      <c r="AC17" s="68"/>
      <c r="AD17" s="68">
        <f t="shared" si="31"/>
        <v>0.42456076573484403</v>
      </c>
      <c r="AE17" s="68">
        <f>'RD T1'!E103</f>
        <v>5.8400443129704618</v>
      </c>
      <c r="AF17" s="68">
        <f t="shared" si="32"/>
        <v>6.2646050787053058</v>
      </c>
      <c r="AH17" t="str">
        <f t="shared" si="33"/>
        <v>34 Culture, media and sports occupations</v>
      </c>
      <c r="AI17" s="68">
        <v>1.405578325527042</v>
      </c>
      <c r="AJ17" s="68">
        <v>1.3552705198362387</v>
      </c>
      <c r="AK17" s="68">
        <v>1.6612916854827138</v>
      </c>
      <c r="AL17" s="68">
        <v>1.552801692686224</v>
      </c>
      <c r="AM17" s="68">
        <v>1.9834298284442409</v>
      </c>
      <c r="AN17" s="68"/>
      <c r="AO17" s="68">
        <f t="shared" si="34"/>
        <v>0.3221381429615271</v>
      </c>
      <c r="AP17" s="68">
        <f>'RD T1'!E132</f>
        <v>0.81154057394133727</v>
      </c>
      <c r="AQ17" s="68">
        <f t="shared" si="35"/>
        <v>1.1336787169028644</v>
      </c>
      <c r="AS17" t="str">
        <f t="shared" si="36"/>
        <v>34 Culture, media and sports occupations</v>
      </c>
      <c r="AT17" s="68">
        <v>2.0235481470977397</v>
      </c>
      <c r="AU17" s="68">
        <v>1.8054692959338747</v>
      </c>
      <c r="AV17" s="68">
        <v>2.0130657084323942</v>
      </c>
      <c r="AW17" s="68">
        <v>1.7800191802835108</v>
      </c>
      <c r="AX17" s="68">
        <v>1.8510440529259129</v>
      </c>
      <c r="AY17" s="68"/>
      <c r="AZ17" s="68">
        <f t="shared" si="37"/>
        <v>-0.16202165550648129</v>
      </c>
      <c r="BA17" s="68">
        <f>'RD T1'!E161</f>
        <v>0.87430789493773253</v>
      </c>
      <c r="BB17" s="68">
        <f t="shared" si="38"/>
        <v>0.71228623943125124</v>
      </c>
      <c r="BD17" t="str">
        <f t="shared" si="39"/>
        <v>34 Culture, media and sports occupations</v>
      </c>
      <c r="BE17" s="68">
        <v>5.6136069379062352</v>
      </c>
      <c r="BF17" s="68">
        <v>5.5912813924763247</v>
      </c>
      <c r="BG17" s="68">
        <v>5.3565671831535226</v>
      </c>
      <c r="BH17" s="68">
        <v>4.5323842452204701</v>
      </c>
      <c r="BI17" s="68">
        <v>4.7397382636367409</v>
      </c>
      <c r="BJ17" s="68"/>
      <c r="BK17" s="68">
        <f t="shared" si="40"/>
        <v>-0.61682891951678176</v>
      </c>
      <c r="BL17" s="68">
        <f>'RD T1'!E190</f>
        <v>1.8019265103484057</v>
      </c>
      <c r="BM17" s="68">
        <f t="shared" si="41"/>
        <v>1.1850975908316239</v>
      </c>
      <c r="BO17" t="str">
        <f t="shared" si="42"/>
        <v>34 Culture, media and sports occupations</v>
      </c>
      <c r="BP17" s="68">
        <v>3.1045309655140754</v>
      </c>
      <c r="BQ17" s="68">
        <v>2.585440354818024</v>
      </c>
      <c r="BR17" s="68">
        <v>2.4441418058771855</v>
      </c>
      <c r="BS17" s="68">
        <v>1.7146720152652735</v>
      </c>
      <c r="BT17" s="68">
        <v>1.0848068218053983</v>
      </c>
      <c r="BU17" s="68"/>
      <c r="BV17" s="68">
        <f t="shared" si="43"/>
        <v>-1.3593349840717872</v>
      </c>
      <c r="BW17" s="68">
        <f>'RD T1'!E219</f>
        <v>0.61182183073958829</v>
      </c>
      <c r="BX17" s="68">
        <f t="shared" si="44"/>
        <v>-0.74751315333219892</v>
      </c>
      <c r="BZ17" t="str">
        <f t="shared" si="45"/>
        <v>34 Culture, media and sports occupations</v>
      </c>
      <c r="CA17" s="68">
        <v>2.5660671896540492</v>
      </c>
      <c r="CB17" s="68">
        <v>2.1352675084620132</v>
      </c>
      <c r="CC17" s="68">
        <v>2.1579825766016785</v>
      </c>
      <c r="CD17" s="68">
        <v>1.8060077960016003</v>
      </c>
      <c r="CE17" s="68">
        <v>1.2564212840620215</v>
      </c>
      <c r="CF17" s="68"/>
      <c r="CG17" s="68">
        <f t="shared" si="46"/>
        <v>-0.901561292539657</v>
      </c>
      <c r="CH17" s="68">
        <f>'RD T1'!E248</f>
        <v>0.62306547597740891</v>
      </c>
      <c r="CI17" s="68">
        <f t="shared" si="47"/>
        <v>-0.27849581656224809</v>
      </c>
      <c r="CK17" t="str">
        <f t="shared" si="48"/>
        <v>34 Culture, media and sports occupations</v>
      </c>
      <c r="CL17" s="68">
        <v>0.6294807001585383</v>
      </c>
      <c r="CM17" s="68">
        <v>0.75595950153725977</v>
      </c>
      <c r="CN17" s="68">
        <v>0.70239111002273458</v>
      </c>
      <c r="CO17" s="68">
        <v>0.73666844454613856</v>
      </c>
      <c r="CP17" s="68">
        <v>0.62176732646487709</v>
      </c>
      <c r="CQ17" s="68"/>
      <c r="CR17" s="68">
        <f t="shared" si="49"/>
        <v>-8.0623783557857487E-2</v>
      </c>
      <c r="CS17" s="68">
        <f>'RD T1'!E277</f>
        <v>0.25225895879945848</v>
      </c>
      <c r="CT17" s="68">
        <f t="shared" si="50"/>
        <v>0.17163517524160099</v>
      </c>
    </row>
    <row r="18" spans="1:98" x14ac:dyDescent="0.2">
      <c r="A18" s="10" t="str">
        <f>name!D14</f>
        <v>35 Business and public service associate professionals</v>
      </c>
      <c r="B18" s="68">
        <v>1.2072880708534925</v>
      </c>
      <c r="C18" s="68">
        <v>1.5747747028637649</v>
      </c>
      <c r="D18" s="68">
        <v>1.5140417570661675</v>
      </c>
      <c r="E18" s="68">
        <v>1.8176269745128195</v>
      </c>
      <c r="F18" s="68">
        <v>2.4826411980511618</v>
      </c>
      <c r="G18" s="11"/>
      <c r="H18" s="68">
        <f t="shared" si="51"/>
        <v>0.96859944098499429</v>
      </c>
      <c r="I18" s="68">
        <f>'RD T1'!E46</f>
        <v>0.90081941684573508</v>
      </c>
      <c r="J18" s="68">
        <f t="shared" si="26"/>
        <v>1.8694188578307294</v>
      </c>
      <c r="L18" t="str">
        <f t="shared" si="27"/>
        <v>35 Business and public service associate professionals</v>
      </c>
      <c r="M18" s="68">
        <v>11.915618414209419</v>
      </c>
      <c r="N18" s="68">
        <v>17.18463403692121</v>
      </c>
      <c r="O18" s="68">
        <v>16.325404024404811</v>
      </c>
      <c r="P18" s="68">
        <v>19.1871176601564</v>
      </c>
      <c r="Q18" s="68">
        <v>25.007094019899842</v>
      </c>
      <c r="R18" s="11"/>
      <c r="S18" s="68">
        <f t="shared" si="28"/>
        <v>8.6816899954950308</v>
      </c>
      <c r="T18" s="68">
        <f>'RD T1'!E75</f>
        <v>9.421609361118529</v>
      </c>
      <c r="U18" s="68">
        <f t="shared" si="29"/>
        <v>18.103299356613562</v>
      </c>
      <c r="W18" t="str">
        <f t="shared" si="30"/>
        <v>35 Business and public service associate professionals</v>
      </c>
      <c r="X18" s="68">
        <v>30.98482860258429</v>
      </c>
      <c r="Y18" s="68">
        <v>32.412629678490163</v>
      </c>
      <c r="Z18" s="68">
        <v>36.494105682675091</v>
      </c>
      <c r="AA18" s="68">
        <v>36.73014411669773</v>
      </c>
      <c r="AB18" s="68">
        <v>41.078797371425011</v>
      </c>
      <c r="AC18" s="68"/>
      <c r="AD18" s="68">
        <f t="shared" si="31"/>
        <v>4.5846916887499205</v>
      </c>
      <c r="AE18" s="68">
        <f>'RD T1'!E104</f>
        <v>19.569464679267004</v>
      </c>
      <c r="AF18" s="68">
        <f t="shared" si="32"/>
        <v>24.154156368016924</v>
      </c>
      <c r="AH18" t="str">
        <f t="shared" si="33"/>
        <v>35 Business and public service associate professionals</v>
      </c>
      <c r="AI18" s="68">
        <v>8.6703724504768847</v>
      </c>
      <c r="AJ18" s="68">
        <v>8.7303130939084337</v>
      </c>
      <c r="AK18" s="68">
        <v>10.190676471094534</v>
      </c>
      <c r="AL18" s="68">
        <v>10.349665186665787</v>
      </c>
      <c r="AM18" s="68">
        <v>12.328328836709666</v>
      </c>
      <c r="AN18" s="68"/>
      <c r="AO18" s="68">
        <f t="shared" si="34"/>
        <v>2.1376523656151321</v>
      </c>
      <c r="AP18" s="68">
        <f>'RD T1'!E133</f>
        <v>5.3970143650035975</v>
      </c>
      <c r="AQ18" s="68">
        <f t="shared" si="35"/>
        <v>7.5346667306187296</v>
      </c>
      <c r="AS18" t="str">
        <f t="shared" si="36"/>
        <v>35 Business and public service associate professionals</v>
      </c>
      <c r="AT18" s="68">
        <v>8.1321106973328838</v>
      </c>
      <c r="AU18" s="68">
        <v>7.94051396203644</v>
      </c>
      <c r="AV18" s="68">
        <v>9.2774830270840596</v>
      </c>
      <c r="AW18" s="68">
        <v>9.0683928398120219</v>
      </c>
      <c r="AX18" s="68">
        <v>10.43397798307149</v>
      </c>
      <c r="AY18" s="68"/>
      <c r="AZ18" s="68">
        <f t="shared" si="37"/>
        <v>1.15649495598743</v>
      </c>
      <c r="BA18" s="68">
        <f>'RD T1'!E162</f>
        <v>4.526132780016372</v>
      </c>
      <c r="BB18" s="68">
        <f t="shared" si="38"/>
        <v>5.682627736003802</v>
      </c>
      <c r="BD18" t="str">
        <f t="shared" si="39"/>
        <v>35 Business and public service associate professionals</v>
      </c>
      <c r="BE18" s="68">
        <v>24.844877469168736</v>
      </c>
      <c r="BF18" s="68">
        <v>27.999366341929328</v>
      </c>
      <c r="BG18" s="68">
        <v>29.344022746378315</v>
      </c>
      <c r="BH18" s="68">
        <v>26.649089190764393</v>
      </c>
      <c r="BI18" s="68">
        <v>26.024880576903378</v>
      </c>
      <c r="BJ18" s="68"/>
      <c r="BK18" s="68">
        <f t="shared" si="40"/>
        <v>-3.3191421694749366</v>
      </c>
      <c r="BL18" s="68">
        <f>'RD T1'!E191</f>
        <v>11.309845160570127</v>
      </c>
      <c r="BM18" s="68">
        <f t="shared" si="41"/>
        <v>7.9907029910951906</v>
      </c>
      <c r="BO18" t="str">
        <f t="shared" si="42"/>
        <v>35 Business and public service associate professionals</v>
      </c>
      <c r="BP18" s="68">
        <v>20.78849170010416</v>
      </c>
      <c r="BQ18" s="68">
        <v>21.91873269967633</v>
      </c>
      <c r="BR18" s="68">
        <v>22.533914641153782</v>
      </c>
      <c r="BS18" s="68">
        <v>18.497019266579947</v>
      </c>
      <c r="BT18" s="68">
        <v>14.540525368235373</v>
      </c>
      <c r="BU18" s="68"/>
      <c r="BV18" s="68">
        <f t="shared" si="43"/>
        <v>-7.9933892729184084</v>
      </c>
      <c r="BW18" s="68">
        <f>'RD T1'!E220</f>
        <v>7.1154711905911414</v>
      </c>
      <c r="BX18" s="68">
        <f t="shared" si="44"/>
        <v>-0.87791808232726698</v>
      </c>
      <c r="BZ18" t="str">
        <f t="shared" si="45"/>
        <v>35 Business and public service associate professionals</v>
      </c>
      <c r="CA18" s="68">
        <v>14.177482788786273</v>
      </c>
      <c r="CB18" s="68">
        <v>13.282071503395589</v>
      </c>
      <c r="CC18" s="68">
        <v>13.630872494131557</v>
      </c>
      <c r="CD18" s="68">
        <v>11.160096071699078</v>
      </c>
      <c r="CE18" s="68">
        <v>7.1277984505214302</v>
      </c>
      <c r="CF18" s="68"/>
      <c r="CG18" s="68">
        <f t="shared" si="46"/>
        <v>-6.5030740436101269</v>
      </c>
      <c r="CH18" s="68">
        <f>'RD T1'!E249</f>
        <v>3.7230227506538149</v>
      </c>
      <c r="CI18" s="68">
        <f t="shared" si="47"/>
        <v>-2.7800512929563119</v>
      </c>
      <c r="CK18" t="str">
        <f t="shared" si="48"/>
        <v>35 Business and public service associate professionals</v>
      </c>
      <c r="CL18" s="68">
        <v>2.2739200001262923</v>
      </c>
      <c r="CM18" s="68">
        <v>2.7208299924825265</v>
      </c>
      <c r="CN18" s="68">
        <v>2.3910709297334374</v>
      </c>
      <c r="CO18" s="68">
        <v>2.1707260206953212</v>
      </c>
      <c r="CP18" s="68">
        <v>1.9407087825190998</v>
      </c>
      <c r="CQ18" s="68"/>
      <c r="CR18" s="68">
        <f t="shared" si="49"/>
        <v>-0.45036214721433754</v>
      </c>
      <c r="CS18" s="68">
        <f>'RD T1'!E278</f>
        <v>0.74332152779327521</v>
      </c>
      <c r="CT18" s="68">
        <f t="shared" si="50"/>
        <v>0.29295938057893767</v>
      </c>
    </row>
    <row r="19" spans="1:98" x14ac:dyDescent="0.2">
      <c r="A19" s="10" t="str">
        <f>name!D15</f>
        <v>41 Administrative occupations</v>
      </c>
      <c r="B19" s="68">
        <v>0.77414937838777942</v>
      </c>
      <c r="C19" s="68">
        <v>1.0563407162842269</v>
      </c>
      <c r="D19" s="68">
        <v>0.94702694334003035</v>
      </c>
      <c r="E19" s="68">
        <v>1.144594287818764</v>
      </c>
      <c r="F19" s="68">
        <v>1.5917428281850279</v>
      </c>
      <c r="G19" s="11"/>
      <c r="H19" s="68">
        <f t="shared" si="51"/>
        <v>0.64471588484499753</v>
      </c>
      <c r="I19" s="68">
        <f>'RD T1'!E47</f>
        <v>0.61041758117622635</v>
      </c>
      <c r="J19" s="68">
        <f t="shared" si="26"/>
        <v>1.2551334660212239</v>
      </c>
      <c r="L19" t="str">
        <f t="shared" si="27"/>
        <v>41 Administrative occupations</v>
      </c>
      <c r="M19" s="68">
        <v>8.792552684188621</v>
      </c>
      <c r="N19" s="68">
        <v>13.013254188776701</v>
      </c>
      <c r="O19" s="68">
        <v>11.86194423177899</v>
      </c>
      <c r="P19" s="68">
        <v>14.333343144666568</v>
      </c>
      <c r="Q19" s="68">
        <v>19.463679981650468</v>
      </c>
      <c r="R19" s="11"/>
      <c r="S19" s="68">
        <f t="shared" si="28"/>
        <v>7.6017357498714784</v>
      </c>
      <c r="T19" s="68">
        <f>'RD T1'!E76</f>
        <v>7.6685236959816674</v>
      </c>
      <c r="U19" s="68">
        <f t="shared" si="29"/>
        <v>15.270259445853146</v>
      </c>
      <c r="W19" t="str">
        <f t="shared" si="30"/>
        <v>41 Administrative occupations</v>
      </c>
      <c r="X19" s="68">
        <v>32.575657219080881</v>
      </c>
      <c r="Y19" s="68">
        <v>35.5166183139089</v>
      </c>
      <c r="Z19" s="68">
        <v>38.298989718764105</v>
      </c>
      <c r="AA19" s="68">
        <v>40.562526382204517</v>
      </c>
      <c r="AB19" s="68">
        <v>47.810667843691782</v>
      </c>
      <c r="AC19" s="68"/>
      <c r="AD19" s="68">
        <f t="shared" si="31"/>
        <v>9.5116781249276769</v>
      </c>
      <c r="AE19" s="68">
        <f>'RD T1'!E105</f>
        <v>24.584768389854435</v>
      </c>
      <c r="AF19" s="68">
        <f t="shared" si="32"/>
        <v>34.096446514782116</v>
      </c>
      <c r="AH19" t="str">
        <f t="shared" si="33"/>
        <v>41 Administrative occupations</v>
      </c>
      <c r="AI19" s="68">
        <v>12.793343074579633</v>
      </c>
      <c r="AJ19" s="68">
        <v>14.159525952503351</v>
      </c>
      <c r="AK19" s="68">
        <v>14.847597342781587</v>
      </c>
      <c r="AL19" s="68">
        <v>15.622195063641723</v>
      </c>
      <c r="AM19" s="68">
        <v>18.485962102992243</v>
      </c>
      <c r="AN19" s="68"/>
      <c r="AO19" s="68">
        <f t="shared" si="34"/>
        <v>3.6383647602106564</v>
      </c>
      <c r="AP19" s="68">
        <f>'RD T1'!E134</f>
        <v>9.9646528995205408</v>
      </c>
      <c r="AQ19" s="68">
        <f t="shared" si="35"/>
        <v>13.603017659731197</v>
      </c>
      <c r="AS19" t="str">
        <f t="shared" si="36"/>
        <v>41 Administrative occupations</v>
      </c>
      <c r="AT19" s="68">
        <v>12.058134543954914</v>
      </c>
      <c r="AU19" s="68">
        <v>13.031198778747042</v>
      </c>
      <c r="AV19" s="68">
        <v>13.864198644483045</v>
      </c>
      <c r="AW19" s="68">
        <v>14.17744025067395</v>
      </c>
      <c r="AX19" s="68">
        <v>16.764051222797644</v>
      </c>
      <c r="AY19" s="68"/>
      <c r="AZ19" s="68">
        <f t="shared" si="37"/>
        <v>2.899852578314599</v>
      </c>
      <c r="BA19" s="68">
        <f>'RD T1'!E163</f>
        <v>8.6589975781525901</v>
      </c>
      <c r="BB19" s="68">
        <f t="shared" si="38"/>
        <v>11.558850156467189</v>
      </c>
      <c r="BD19" t="str">
        <f t="shared" si="39"/>
        <v>41 Administrative occupations</v>
      </c>
      <c r="BE19" s="68">
        <v>40.621690950736053</v>
      </c>
      <c r="BF19" s="68">
        <v>42.857011886914513</v>
      </c>
      <c r="BG19" s="68">
        <v>47.140111040435933</v>
      </c>
      <c r="BH19" s="68">
        <v>41.712296493164352</v>
      </c>
      <c r="BI19" s="68">
        <v>37.777424828764943</v>
      </c>
      <c r="BJ19" s="68"/>
      <c r="BK19" s="68">
        <f t="shared" si="40"/>
        <v>-9.3626862116709901</v>
      </c>
      <c r="BL19" s="68">
        <f>'RD T1'!E192</f>
        <v>19.582243808603124</v>
      </c>
      <c r="BM19" s="68">
        <f t="shared" si="41"/>
        <v>10.219557596932134</v>
      </c>
      <c r="BO19" t="str">
        <f t="shared" si="42"/>
        <v>41 Administrative occupations</v>
      </c>
      <c r="BP19" s="68">
        <v>51.264974999549175</v>
      </c>
      <c r="BQ19" s="68">
        <v>49.188773670018037</v>
      </c>
      <c r="BR19" s="68">
        <v>51.981119649082835</v>
      </c>
      <c r="BS19" s="68">
        <v>41.193951766933772</v>
      </c>
      <c r="BT19" s="68">
        <v>28.197634470525273</v>
      </c>
      <c r="BU19" s="68"/>
      <c r="BV19" s="68">
        <f t="shared" si="43"/>
        <v>-23.783485178557562</v>
      </c>
      <c r="BW19" s="68">
        <f>'RD T1'!E221</f>
        <v>17.623124016324841</v>
      </c>
      <c r="BX19" s="68">
        <f t="shared" si="44"/>
        <v>-6.1603611622327215</v>
      </c>
      <c r="BZ19" t="str">
        <f t="shared" si="45"/>
        <v>41 Administrative occupations</v>
      </c>
      <c r="CA19" s="68">
        <v>30.788328446778181</v>
      </c>
      <c r="CB19" s="68">
        <v>22.840019754393634</v>
      </c>
      <c r="CC19" s="68">
        <v>23.355806917935499</v>
      </c>
      <c r="CD19" s="68">
        <v>16.670318812425137</v>
      </c>
      <c r="CE19" s="68">
        <v>6.5839203695082427</v>
      </c>
      <c r="CF19" s="68"/>
      <c r="CG19" s="68">
        <f t="shared" si="46"/>
        <v>-16.771886548427258</v>
      </c>
      <c r="CH19" s="68">
        <f>'RD T1'!E250</f>
        <v>4.8987544923374475</v>
      </c>
      <c r="CI19" s="68">
        <f t="shared" si="47"/>
        <v>-11.87313205608981</v>
      </c>
      <c r="CK19" t="str">
        <f t="shared" si="48"/>
        <v>41 Administrative occupations</v>
      </c>
      <c r="CL19" s="68">
        <v>5.6585554790499915</v>
      </c>
      <c r="CM19" s="68">
        <v>5.2930741171275102</v>
      </c>
      <c r="CN19" s="68">
        <v>4.5772702568579371</v>
      </c>
      <c r="CO19" s="68">
        <v>3.9192696249930186</v>
      </c>
      <c r="CP19" s="68">
        <v>2.5787522387252824</v>
      </c>
      <c r="CQ19" s="68"/>
      <c r="CR19" s="68">
        <f t="shared" si="49"/>
        <v>-1.9985180181326547</v>
      </c>
      <c r="CS19" s="68">
        <f>'RD T1'!E279</f>
        <v>1.257213836640916</v>
      </c>
      <c r="CT19" s="68">
        <f t="shared" si="50"/>
        <v>-0.74130418149173871</v>
      </c>
    </row>
    <row r="20" spans="1:98" x14ac:dyDescent="0.2">
      <c r="A20" s="10" t="str">
        <f>name!D16</f>
        <v>42 Secretarial and related occupations</v>
      </c>
      <c r="B20" s="68">
        <v>6.3514164905278198E-2</v>
      </c>
      <c r="C20" s="68">
        <v>9.6643082661119054E-2</v>
      </c>
      <c r="D20" s="68">
        <v>8.6894519621524488E-2</v>
      </c>
      <c r="E20" s="68">
        <v>0.13650554910059706</v>
      </c>
      <c r="F20" s="68">
        <v>0.21864213374990946</v>
      </c>
      <c r="G20" s="11"/>
      <c r="H20" s="68">
        <f t="shared" si="51"/>
        <v>0.13174761412838498</v>
      </c>
      <c r="I20" s="68">
        <f>'RD T1'!E48</f>
        <v>8.3037450538754567E-2</v>
      </c>
      <c r="J20" s="68">
        <f t="shared" si="26"/>
        <v>0.21478506466713954</v>
      </c>
      <c r="L20" t="str">
        <f t="shared" si="27"/>
        <v>42 Secretarial and related occupations</v>
      </c>
      <c r="M20" s="68">
        <v>1.5644519405231458</v>
      </c>
      <c r="N20" s="68">
        <v>2.2211453037753435</v>
      </c>
      <c r="O20" s="68">
        <v>1.8403557192564781</v>
      </c>
      <c r="P20" s="68">
        <v>2.9523354457451871</v>
      </c>
      <c r="Q20" s="68">
        <v>3.81389309476004</v>
      </c>
      <c r="R20" s="11"/>
      <c r="S20" s="68">
        <f t="shared" si="28"/>
        <v>1.9735373755035619</v>
      </c>
      <c r="T20" s="68">
        <f>'RD T1'!E77</f>
        <v>1.5547182341072965</v>
      </c>
      <c r="U20" s="68">
        <f t="shared" si="29"/>
        <v>3.5282556096108584</v>
      </c>
      <c r="W20" t="str">
        <f t="shared" si="30"/>
        <v>42 Secretarial and related occupations</v>
      </c>
      <c r="X20" s="68">
        <v>6.0935594987532022</v>
      </c>
      <c r="Y20" s="68">
        <v>6.7629385067080729</v>
      </c>
      <c r="Z20" s="68">
        <v>6.7524142354836121</v>
      </c>
      <c r="AA20" s="68">
        <v>9.9165647671101649</v>
      </c>
      <c r="AB20" s="68">
        <v>13.655531377639566</v>
      </c>
      <c r="AC20" s="68"/>
      <c r="AD20" s="68">
        <f t="shared" si="31"/>
        <v>6.9031171421559536</v>
      </c>
      <c r="AE20" s="68">
        <f>'RD T1'!E106</f>
        <v>6.7911945050594795</v>
      </c>
      <c r="AF20" s="68">
        <f t="shared" si="32"/>
        <v>13.694311647215432</v>
      </c>
      <c r="AH20" t="str">
        <f t="shared" si="33"/>
        <v>42 Secretarial and related occupations</v>
      </c>
      <c r="AI20" s="68">
        <v>2.6995189412217422</v>
      </c>
      <c r="AJ20" s="68">
        <v>2.9927666283500498</v>
      </c>
      <c r="AK20" s="68">
        <v>3.068153399100443</v>
      </c>
      <c r="AL20" s="68">
        <v>4.2522597703330796</v>
      </c>
      <c r="AM20" s="68">
        <v>4.8630839667591905</v>
      </c>
      <c r="AN20" s="68"/>
      <c r="AO20" s="68">
        <f t="shared" si="34"/>
        <v>1.7949305676587475</v>
      </c>
      <c r="AP20" s="68">
        <f>'RD T1'!E135</f>
        <v>2.578653770409435</v>
      </c>
      <c r="AQ20" s="68">
        <f t="shared" si="35"/>
        <v>4.3735843380681825</v>
      </c>
      <c r="AS20" t="str">
        <f t="shared" si="36"/>
        <v>42 Secretarial and related occupations</v>
      </c>
      <c r="AT20" s="68">
        <v>2.182090084752347</v>
      </c>
      <c r="AU20" s="68">
        <v>2.3215174236120046</v>
      </c>
      <c r="AV20" s="68">
        <v>2.3537598065783718</v>
      </c>
      <c r="AW20" s="68">
        <v>3.0461188691409409</v>
      </c>
      <c r="AX20" s="68">
        <v>2.8253935275082984</v>
      </c>
      <c r="AY20" s="68"/>
      <c r="AZ20" s="68">
        <f t="shared" si="37"/>
        <v>0.47163372092992661</v>
      </c>
      <c r="BA20" s="68">
        <f>'RD T1'!E164</f>
        <v>1.7017086415741227</v>
      </c>
      <c r="BB20" s="68">
        <f t="shared" si="38"/>
        <v>2.1733423625040493</v>
      </c>
      <c r="BD20" t="str">
        <f t="shared" si="39"/>
        <v>42 Secretarial and related occupations</v>
      </c>
      <c r="BE20" s="68">
        <v>8.6774262645886928</v>
      </c>
      <c r="BF20" s="68">
        <v>8.6907747440224963</v>
      </c>
      <c r="BG20" s="68">
        <v>8.8234004009958191</v>
      </c>
      <c r="BH20" s="68">
        <v>9.4273216115236718</v>
      </c>
      <c r="BI20" s="68">
        <v>4.1476472445968167</v>
      </c>
      <c r="BJ20" s="68"/>
      <c r="BK20" s="68">
        <f t="shared" si="40"/>
        <v>-4.6757531563990025</v>
      </c>
      <c r="BL20" s="68">
        <f>'RD T1'!E193</f>
        <v>3.5361539622563223</v>
      </c>
      <c r="BM20" s="68">
        <f t="shared" si="41"/>
        <v>-1.1395991941426802</v>
      </c>
      <c r="BO20" t="str">
        <f t="shared" si="42"/>
        <v>42 Secretarial and related occupations</v>
      </c>
      <c r="BP20" s="68">
        <v>12.191716130846515</v>
      </c>
      <c r="BQ20" s="68">
        <v>11.054872917956683</v>
      </c>
      <c r="BR20" s="68">
        <v>11.077162616420068</v>
      </c>
      <c r="BS20" s="68">
        <v>9.5275179990772738</v>
      </c>
      <c r="BT20" s="68">
        <v>3.7147302905203174</v>
      </c>
      <c r="BU20" s="68"/>
      <c r="BV20" s="68">
        <f t="shared" si="43"/>
        <v>-7.3624323258997508</v>
      </c>
      <c r="BW20" s="68">
        <f>'RD T1'!E222</f>
        <v>3.7166804718726389</v>
      </c>
      <c r="BX20" s="68">
        <f t="shared" si="44"/>
        <v>-3.6457518540271119</v>
      </c>
      <c r="BZ20" t="str">
        <f t="shared" si="45"/>
        <v>42 Secretarial and related occupations</v>
      </c>
      <c r="CA20" s="68">
        <v>11.963316695683952</v>
      </c>
      <c r="CB20" s="68">
        <v>9.268418284663035</v>
      </c>
      <c r="CC20" s="68">
        <v>9.0285930390702145</v>
      </c>
      <c r="CD20" s="68">
        <v>5.5492300086571094</v>
      </c>
      <c r="CE20" s="68">
        <v>1.9574922902583407</v>
      </c>
      <c r="CF20" s="68"/>
      <c r="CG20" s="68">
        <f t="shared" si="46"/>
        <v>-7.0711007488118742</v>
      </c>
      <c r="CH20" s="68">
        <f>'RD T1'!E251</f>
        <v>1.8866731571103732</v>
      </c>
      <c r="CI20" s="68">
        <f t="shared" si="47"/>
        <v>-5.1844275917015015</v>
      </c>
      <c r="CK20" t="str">
        <f t="shared" si="48"/>
        <v>42 Secretarial and related occupations</v>
      </c>
      <c r="CL20" s="68">
        <v>1.9409688088688737</v>
      </c>
      <c r="CM20" s="68">
        <v>2.1834734820556911</v>
      </c>
      <c r="CN20" s="68">
        <v>2.0489624444942627</v>
      </c>
      <c r="CO20" s="68">
        <v>2.5239035198168063</v>
      </c>
      <c r="CP20" s="68">
        <v>2.3041874826993869</v>
      </c>
      <c r="CQ20" s="68"/>
      <c r="CR20" s="68">
        <f t="shared" si="49"/>
        <v>0.25522503820512421</v>
      </c>
      <c r="CS20" s="68">
        <f>'RD T1'!E280</f>
        <v>1.1513668120911742</v>
      </c>
      <c r="CT20" s="68">
        <f t="shared" si="50"/>
        <v>1.4065918502962984</v>
      </c>
    </row>
    <row r="21" spans="1:98" x14ac:dyDescent="0.2">
      <c r="A21" s="10" t="str">
        <f>name!D17</f>
        <v>51 Skilled agricultural and related trades</v>
      </c>
      <c r="B21" s="68">
        <v>5.0703939343924594E-2</v>
      </c>
      <c r="C21" s="68">
        <v>0.13770621689110779</v>
      </c>
      <c r="D21" s="68">
        <v>6.2815548716252098E-2</v>
      </c>
      <c r="E21" s="68">
        <v>7.4781542839864074E-2</v>
      </c>
      <c r="F21" s="68">
        <v>9.9560764518279055E-2</v>
      </c>
      <c r="G21" s="11"/>
      <c r="H21" s="68">
        <f t="shared" si="51"/>
        <v>3.6745215802026956E-2</v>
      </c>
      <c r="I21" s="68">
        <f>'RD T1'!E49</f>
        <v>5.3950362382415504E-2</v>
      </c>
      <c r="J21" s="68">
        <f t="shared" si="26"/>
        <v>9.069557818444246E-2</v>
      </c>
      <c r="L21" t="str">
        <f t="shared" si="27"/>
        <v>51 Skilled agricultural and related trades</v>
      </c>
      <c r="M21" s="68">
        <v>0.35259967255356595</v>
      </c>
      <c r="N21" s="68">
        <v>0.4445246737093812</v>
      </c>
      <c r="O21" s="68">
        <v>0.38490695750335713</v>
      </c>
      <c r="P21" s="68">
        <v>0.41291109238173934</v>
      </c>
      <c r="Q21" s="68">
        <v>0.58585825648509871</v>
      </c>
      <c r="R21" s="11"/>
      <c r="S21" s="68">
        <f t="shared" si="28"/>
        <v>0.20095129898174158</v>
      </c>
      <c r="T21" s="68">
        <f>'RD T1'!E78</f>
        <v>0.24981275458313745</v>
      </c>
      <c r="U21" s="68">
        <f t="shared" si="29"/>
        <v>0.45076405356487903</v>
      </c>
      <c r="W21" t="str">
        <f t="shared" si="30"/>
        <v>51 Skilled agricultural and related trades</v>
      </c>
      <c r="X21" s="68">
        <v>3.4924258585030912</v>
      </c>
      <c r="Y21" s="68">
        <v>3.9688900950864165</v>
      </c>
      <c r="Z21" s="68">
        <v>5.6954081084633525</v>
      </c>
      <c r="AA21" s="68">
        <v>6.21473116568293</v>
      </c>
      <c r="AB21" s="68">
        <v>8.2666823260656681</v>
      </c>
      <c r="AC21" s="68"/>
      <c r="AD21" s="68">
        <f t="shared" si="31"/>
        <v>2.5712742176023156</v>
      </c>
      <c r="AE21" s="68">
        <f>'RD T1'!E107</f>
        <v>4.4665631605620861</v>
      </c>
      <c r="AF21" s="68">
        <f t="shared" si="32"/>
        <v>7.0378373781644017</v>
      </c>
      <c r="AH21" t="str">
        <f t="shared" si="33"/>
        <v>51 Skilled agricultural and related trades</v>
      </c>
      <c r="AI21" s="68">
        <v>1.518036316690573</v>
      </c>
      <c r="AJ21" s="68">
        <v>1.6138567729724524</v>
      </c>
      <c r="AK21" s="68">
        <v>1.864176242451413</v>
      </c>
      <c r="AL21" s="68">
        <v>1.9791681714180136</v>
      </c>
      <c r="AM21" s="68">
        <v>2.5050495273175226</v>
      </c>
      <c r="AN21" s="68"/>
      <c r="AO21" s="68">
        <f t="shared" si="34"/>
        <v>0.64087328486610962</v>
      </c>
      <c r="AP21" s="68">
        <f>'RD T1'!E136</f>
        <v>1.5416029383518703</v>
      </c>
      <c r="AQ21" s="68">
        <f t="shared" si="35"/>
        <v>2.18247622321798</v>
      </c>
      <c r="AS21" t="str">
        <f t="shared" si="36"/>
        <v>51 Skilled agricultural and related trades</v>
      </c>
      <c r="AT21" s="68">
        <v>2.0468217262067872</v>
      </c>
      <c r="AU21" s="68">
        <v>1.940870963150199</v>
      </c>
      <c r="AV21" s="68">
        <v>2.7871316741399652</v>
      </c>
      <c r="AW21" s="68">
        <v>2.8619573559604166</v>
      </c>
      <c r="AX21" s="68">
        <v>3.762335764141179</v>
      </c>
      <c r="AY21" s="68"/>
      <c r="AZ21" s="68">
        <f t="shared" si="37"/>
        <v>0.97520409000121377</v>
      </c>
      <c r="BA21" s="68">
        <f>'RD T1'!E165</f>
        <v>1.9602551988835737</v>
      </c>
      <c r="BB21" s="68">
        <f t="shared" si="38"/>
        <v>2.9354592888847875</v>
      </c>
      <c r="BD21" t="str">
        <f t="shared" si="39"/>
        <v>51 Skilled agricultural and related trades</v>
      </c>
      <c r="BE21" s="68">
        <v>4.497111722118281</v>
      </c>
      <c r="BF21" s="68">
        <v>4.9290668821906856</v>
      </c>
      <c r="BG21" s="68">
        <v>5.6953468151879534</v>
      </c>
      <c r="BH21" s="68">
        <v>5.2559862345892947</v>
      </c>
      <c r="BI21" s="68">
        <v>5.2556144047025022</v>
      </c>
      <c r="BJ21" s="68"/>
      <c r="BK21" s="68">
        <f t="shared" si="40"/>
        <v>-0.4397324104854512</v>
      </c>
      <c r="BL21" s="68">
        <f>'RD T1'!E194</f>
        <v>2.813474646355075</v>
      </c>
      <c r="BM21" s="68">
        <f t="shared" si="41"/>
        <v>2.3737422358696239</v>
      </c>
      <c r="BO21" t="str">
        <f t="shared" si="42"/>
        <v>51 Skilled agricultural and related trades</v>
      </c>
      <c r="BP21" s="68">
        <v>6.616507077136605</v>
      </c>
      <c r="BQ21" s="68">
        <v>7.3853687271781494</v>
      </c>
      <c r="BR21" s="68">
        <v>8.1834707161363021</v>
      </c>
      <c r="BS21" s="68">
        <v>7.4685340101693338</v>
      </c>
      <c r="BT21" s="68">
        <v>6.9172228601124512</v>
      </c>
      <c r="BU21" s="68"/>
      <c r="BV21" s="68">
        <f t="shared" si="43"/>
        <v>-1.2662478560238508</v>
      </c>
      <c r="BW21" s="68">
        <f>'RD T1'!E223</f>
        <v>3.9001784823707801</v>
      </c>
      <c r="BX21" s="68">
        <f t="shared" si="44"/>
        <v>2.6339306263469293</v>
      </c>
      <c r="BZ21" t="str">
        <f t="shared" si="45"/>
        <v>51 Skilled agricultural and related trades</v>
      </c>
      <c r="CA21" s="68">
        <v>5.6323040590351674</v>
      </c>
      <c r="CB21" s="68">
        <v>4.988180955995948</v>
      </c>
      <c r="CC21" s="68">
        <v>5.9954490114478309</v>
      </c>
      <c r="CD21" s="68">
        <v>4.6535624322400784</v>
      </c>
      <c r="CE21" s="68">
        <v>3.3546430490832826</v>
      </c>
      <c r="CF21" s="68"/>
      <c r="CG21" s="68">
        <f t="shared" si="46"/>
        <v>-2.6408059623645483</v>
      </c>
      <c r="CH21" s="68">
        <f>'RD T1'!E252</f>
        <v>2.0653368029373662</v>
      </c>
      <c r="CI21" s="68">
        <f t="shared" si="47"/>
        <v>-0.57546915942718213</v>
      </c>
      <c r="CK21" t="str">
        <f t="shared" si="48"/>
        <v>51 Skilled agricultural and related trades</v>
      </c>
      <c r="CL21" s="68">
        <v>3.2189430336519886</v>
      </c>
      <c r="CM21" s="68">
        <v>2.8876367610853948</v>
      </c>
      <c r="CN21" s="68">
        <v>3.4407206432552813</v>
      </c>
      <c r="CO21" s="68">
        <v>3.7280787530839703</v>
      </c>
      <c r="CP21" s="68">
        <v>2.5286027584862314</v>
      </c>
      <c r="CQ21" s="68"/>
      <c r="CR21" s="68">
        <f t="shared" si="49"/>
        <v>-0.91211788476904987</v>
      </c>
      <c r="CS21" s="68">
        <f>'RD T1'!E281</f>
        <v>1.1288583786840125</v>
      </c>
      <c r="CT21" s="68">
        <f t="shared" si="50"/>
        <v>0.21674049391496264</v>
      </c>
    </row>
    <row r="22" spans="1:98" x14ac:dyDescent="0.2">
      <c r="A22" s="10" t="str">
        <f>name!D18</f>
        <v>52 Skilled metal, electrical and electronic trades</v>
      </c>
      <c r="B22" s="68">
        <v>7.0907192758446966E-2</v>
      </c>
      <c r="C22" s="68">
        <v>7.330598274359082E-2</v>
      </c>
      <c r="D22" s="68">
        <v>8.0875344725168885E-2</v>
      </c>
      <c r="E22" s="68">
        <v>0.10169622935144958</v>
      </c>
      <c r="F22" s="68">
        <v>0.14729188710509866</v>
      </c>
      <c r="G22" s="11"/>
      <c r="H22" s="68">
        <f t="shared" si="51"/>
        <v>6.6416542379929777E-2</v>
      </c>
      <c r="I22" s="68">
        <f>'RD T1'!E50</f>
        <v>5.1228220561502363E-2</v>
      </c>
      <c r="J22" s="68">
        <f t="shared" si="26"/>
        <v>0.11764476294143214</v>
      </c>
      <c r="L22" t="str">
        <f t="shared" si="27"/>
        <v>52 Skilled metal, electrical and electronic trades</v>
      </c>
      <c r="M22" s="68">
        <v>1.3380808321083388</v>
      </c>
      <c r="N22" s="68">
        <v>1.7050270026427301</v>
      </c>
      <c r="O22" s="68">
        <v>1.3499395549131403</v>
      </c>
      <c r="P22" s="68">
        <v>2.0100666402517642</v>
      </c>
      <c r="Q22" s="68">
        <v>3.0855119297407021</v>
      </c>
      <c r="R22" s="11"/>
      <c r="S22" s="68">
        <f t="shared" si="28"/>
        <v>1.7355723748275618</v>
      </c>
      <c r="T22" s="68">
        <f>'RD T1'!E79</f>
        <v>1.0582773415936284</v>
      </c>
      <c r="U22" s="68">
        <f t="shared" si="29"/>
        <v>2.7938497164211902</v>
      </c>
      <c r="W22" t="str">
        <f t="shared" si="30"/>
        <v>52 Skilled metal, electrical and electronic trades</v>
      </c>
      <c r="X22" s="68">
        <v>4.4310600039593755</v>
      </c>
      <c r="Y22" s="68">
        <v>4.259545229797844</v>
      </c>
      <c r="Z22" s="68">
        <v>4.3644748553905659</v>
      </c>
      <c r="AA22" s="68">
        <v>5.2786719736733891</v>
      </c>
      <c r="AB22" s="68">
        <v>6.7721785968840074</v>
      </c>
      <c r="AC22" s="68"/>
      <c r="AD22" s="68">
        <f t="shared" si="31"/>
        <v>2.4077037414934415</v>
      </c>
      <c r="AE22" s="68">
        <f>'RD T1'!E108</f>
        <v>2.7538590256710522</v>
      </c>
      <c r="AF22" s="68">
        <f t="shared" si="32"/>
        <v>5.1615627671644937</v>
      </c>
      <c r="AH22" t="str">
        <f t="shared" si="33"/>
        <v>52 Skilled metal, electrical and electronic trades</v>
      </c>
      <c r="AI22" s="68">
        <v>1.8699016708927931</v>
      </c>
      <c r="AJ22" s="68">
        <v>1.5944271269253996</v>
      </c>
      <c r="AK22" s="68">
        <v>1.7380424895597471</v>
      </c>
      <c r="AL22" s="68">
        <v>1.8306677461167222</v>
      </c>
      <c r="AM22" s="68">
        <v>2.239444007527009</v>
      </c>
      <c r="AN22" s="68"/>
      <c r="AO22" s="68">
        <f t="shared" si="34"/>
        <v>0.50140151796726196</v>
      </c>
      <c r="AP22" s="68">
        <f>'RD T1'!E137</f>
        <v>0.87209812198723091</v>
      </c>
      <c r="AQ22" s="68">
        <f t="shared" si="35"/>
        <v>1.3734996399544928</v>
      </c>
      <c r="AS22" t="str">
        <f t="shared" si="36"/>
        <v>52 Skilled metal, electrical and electronic trades</v>
      </c>
      <c r="AT22" s="68">
        <v>7.2054641155676684</v>
      </c>
      <c r="AU22" s="68">
        <v>6.0289949751536964</v>
      </c>
      <c r="AV22" s="68">
        <v>6.3631283556247187</v>
      </c>
      <c r="AW22" s="68">
        <v>6.491600158447123</v>
      </c>
      <c r="AX22" s="68">
        <v>7.3417083710091564</v>
      </c>
      <c r="AY22" s="68"/>
      <c r="AZ22" s="68">
        <f t="shared" si="37"/>
        <v>0.97858001538443773</v>
      </c>
      <c r="BA22" s="68">
        <f>'RD T1'!E166</f>
        <v>2.9277961272989899</v>
      </c>
      <c r="BB22" s="68">
        <f t="shared" si="38"/>
        <v>3.9063761426834276</v>
      </c>
      <c r="BD22" t="str">
        <f t="shared" si="39"/>
        <v>52 Skilled metal, electrical and electronic trades</v>
      </c>
      <c r="BE22" s="68">
        <v>41.388422295710981</v>
      </c>
      <c r="BF22" s="68">
        <v>45.278273871187302</v>
      </c>
      <c r="BG22" s="68">
        <v>37.750789097039906</v>
      </c>
      <c r="BH22" s="68">
        <v>37.955008132202366</v>
      </c>
      <c r="BI22" s="68">
        <v>36.588056781003246</v>
      </c>
      <c r="BJ22" s="68"/>
      <c r="BK22" s="68">
        <f t="shared" si="40"/>
        <v>-1.1627323160366601</v>
      </c>
      <c r="BL22" s="68">
        <f>'RD T1'!E195</f>
        <v>13.452251682612353</v>
      </c>
      <c r="BM22" s="68">
        <f t="shared" si="41"/>
        <v>12.289519366575693</v>
      </c>
      <c r="BO22" t="str">
        <f t="shared" si="42"/>
        <v>52 Skilled metal, electrical and electronic trades</v>
      </c>
      <c r="BP22" s="68">
        <v>24.025293051175069</v>
      </c>
      <c r="BQ22" s="68">
        <v>24.399811651008697</v>
      </c>
      <c r="BR22" s="68">
        <v>20.830193127251906</v>
      </c>
      <c r="BS22" s="68">
        <v>18.352435553358088</v>
      </c>
      <c r="BT22" s="68">
        <v>14.796357812422171</v>
      </c>
      <c r="BU22" s="68"/>
      <c r="BV22" s="68">
        <f t="shared" si="43"/>
        <v>-6.0338353148297355</v>
      </c>
      <c r="BW22" s="68">
        <f>'RD T1'!E224</f>
        <v>6.217869686771083</v>
      </c>
      <c r="BX22" s="68">
        <f t="shared" si="44"/>
        <v>0.18403437194134753</v>
      </c>
      <c r="BZ22" t="str">
        <f t="shared" si="45"/>
        <v>52 Skilled metal, electrical and electronic trades</v>
      </c>
      <c r="CA22" s="68">
        <v>13.161484752881375</v>
      </c>
      <c r="CB22" s="68">
        <v>11.569311733031682</v>
      </c>
      <c r="CC22" s="68">
        <v>10.522196265906457</v>
      </c>
      <c r="CD22" s="68">
        <v>8.5274351311858894</v>
      </c>
      <c r="CE22" s="68">
        <v>4.8690275592509709</v>
      </c>
      <c r="CF22" s="68"/>
      <c r="CG22" s="68">
        <f t="shared" si="46"/>
        <v>-5.6531687066554861</v>
      </c>
      <c r="CH22" s="68">
        <f>'RD T1'!E253</f>
        <v>2.8369687243419661</v>
      </c>
      <c r="CI22" s="68">
        <f t="shared" si="47"/>
        <v>-2.81619998231352</v>
      </c>
      <c r="CK22" t="str">
        <f t="shared" si="48"/>
        <v>52 Skilled metal, electrical and electronic trades</v>
      </c>
      <c r="CL22" s="68">
        <v>4.1277489523497355</v>
      </c>
      <c r="CM22" s="68">
        <v>4.3026457886626144</v>
      </c>
      <c r="CN22" s="68">
        <v>3.5770960825427496</v>
      </c>
      <c r="CO22" s="68">
        <v>3.6450183062597827</v>
      </c>
      <c r="CP22" s="68">
        <v>2.5974405874808504</v>
      </c>
      <c r="CQ22" s="68"/>
      <c r="CR22" s="68">
        <f t="shared" si="49"/>
        <v>-0.9796554950618992</v>
      </c>
      <c r="CS22" s="68">
        <f>'RD T1'!E282</f>
        <v>1.0766483216123637</v>
      </c>
      <c r="CT22" s="68">
        <f t="shared" si="50"/>
        <v>9.6992826550464484E-2</v>
      </c>
    </row>
    <row r="23" spans="1:98" x14ac:dyDescent="0.2">
      <c r="A23" s="10" t="str">
        <f>name!D19</f>
        <v>53 Skilled construction and building trades</v>
      </c>
      <c r="B23" s="68">
        <v>3.2804720543010008E-2</v>
      </c>
      <c r="C23" s="68">
        <v>2.1540661285760002E-2</v>
      </c>
      <c r="D23" s="68">
        <v>1.5524315377239738E-2</v>
      </c>
      <c r="E23" s="68">
        <v>2.6837541160139179E-2</v>
      </c>
      <c r="F23" s="68">
        <v>2.8166141954992948E-2</v>
      </c>
      <c r="G23" s="11"/>
      <c r="H23" s="68">
        <f t="shared" si="51"/>
        <v>1.264182657775321E-2</v>
      </c>
      <c r="I23" s="68">
        <f>'RD T1'!E51</f>
        <v>1.2155655882044593E-2</v>
      </c>
      <c r="J23" s="68">
        <f t="shared" si="26"/>
        <v>2.4797482459797803E-2</v>
      </c>
      <c r="L23" t="str">
        <f t="shared" si="27"/>
        <v>53 Skilled construction and building trades</v>
      </c>
      <c r="M23" s="68">
        <v>0.50318091228851103</v>
      </c>
      <c r="N23" s="68">
        <v>0.54419361525592624</v>
      </c>
      <c r="O23" s="68">
        <v>0.42129265225346985</v>
      </c>
      <c r="P23" s="68">
        <v>0.57696607937533739</v>
      </c>
      <c r="Q23" s="68">
        <v>0.75525937732424919</v>
      </c>
      <c r="R23" s="11"/>
      <c r="S23" s="68">
        <f t="shared" si="28"/>
        <v>0.33396672507077935</v>
      </c>
      <c r="T23" s="68">
        <f>'RD T1'!E80</f>
        <v>0.30263604922903564</v>
      </c>
      <c r="U23" s="68">
        <f t="shared" si="29"/>
        <v>0.63660277429981504</v>
      </c>
      <c r="W23" t="str">
        <f t="shared" si="30"/>
        <v>53 Skilled construction and building trades</v>
      </c>
      <c r="X23" s="68">
        <v>2.2476584282792698</v>
      </c>
      <c r="Y23" s="68">
        <v>1.8269884212977772</v>
      </c>
      <c r="Z23" s="68">
        <v>1.8098552167907753</v>
      </c>
      <c r="AA23" s="68">
        <v>2.2688240915918181</v>
      </c>
      <c r="AB23" s="68">
        <v>2.7888315579217391</v>
      </c>
      <c r="AC23" s="68"/>
      <c r="AD23" s="68">
        <f t="shared" si="31"/>
        <v>0.97897634113096377</v>
      </c>
      <c r="AE23" s="68">
        <f>'RD T1'!E109</f>
        <v>1.1972049886462874</v>
      </c>
      <c r="AF23" s="68">
        <f t="shared" si="32"/>
        <v>2.1761813297772514</v>
      </c>
      <c r="AH23" t="str">
        <f t="shared" si="33"/>
        <v>53 Skilled construction and building trades</v>
      </c>
      <c r="AI23" s="68">
        <v>1.2577782504338668</v>
      </c>
      <c r="AJ23" s="68">
        <v>1.1880663114387231</v>
      </c>
      <c r="AK23" s="68">
        <v>1.1857954687470371</v>
      </c>
      <c r="AL23" s="68">
        <v>1.3911192811261732</v>
      </c>
      <c r="AM23" s="68">
        <v>1.679809771862079</v>
      </c>
      <c r="AN23" s="68"/>
      <c r="AO23" s="68">
        <f t="shared" si="34"/>
        <v>0.49401430311504191</v>
      </c>
      <c r="AP23" s="68">
        <f>'RD T1'!E138</f>
        <v>0.76276257168839656</v>
      </c>
      <c r="AQ23" s="68">
        <f t="shared" si="35"/>
        <v>1.2567768748034385</v>
      </c>
      <c r="AS23" t="str">
        <f t="shared" si="36"/>
        <v>53 Skilled construction and building trades</v>
      </c>
      <c r="AT23" s="68">
        <v>2.0177130062742732</v>
      </c>
      <c r="AU23" s="68">
        <v>1.7541771208603656</v>
      </c>
      <c r="AV23" s="68">
        <v>1.669704925686617</v>
      </c>
      <c r="AW23" s="68">
        <v>2.0675917784057942</v>
      </c>
      <c r="AX23" s="68">
        <v>2.3964766550817562</v>
      </c>
      <c r="AY23" s="68"/>
      <c r="AZ23" s="68">
        <f t="shared" si="37"/>
        <v>0.72677172939513923</v>
      </c>
      <c r="BA23" s="68">
        <f>'RD T1'!E167</f>
        <v>1.0875641406787866</v>
      </c>
      <c r="BB23" s="68">
        <f t="shared" si="38"/>
        <v>1.8143358700739258</v>
      </c>
      <c r="BD23" t="str">
        <f t="shared" si="39"/>
        <v>53 Skilled construction and building trades</v>
      </c>
      <c r="BE23" s="68">
        <v>21.859859533605338</v>
      </c>
      <c r="BF23" s="68">
        <v>22.119330658275498</v>
      </c>
      <c r="BG23" s="68">
        <v>17.124524480833454</v>
      </c>
      <c r="BH23" s="68">
        <v>17.329184480743191</v>
      </c>
      <c r="BI23" s="68">
        <v>15.254094932314446</v>
      </c>
      <c r="BJ23" s="68"/>
      <c r="BK23" s="68">
        <f t="shared" si="40"/>
        <v>-1.8704295485190077</v>
      </c>
      <c r="BL23" s="68">
        <f>'RD T1'!E196</f>
        <v>6.2569332285333399</v>
      </c>
      <c r="BM23" s="68">
        <f t="shared" si="41"/>
        <v>4.3865036800143322</v>
      </c>
      <c r="BO23" t="str">
        <f t="shared" si="42"/>
        <v>53 Skilled construction and building trades</v>
      </c>
      <c r="BP23" s="68">
        <v>19.19709975734613</v>
      </c>
      <c r="BQ23" s="68">
        <v>20.492526082005696</v>
      </c>
      <c r="BR23" s="68">
        <v>16.039297191558294</v>
      </c>
      <c r="BS23" s="68">
        <v>16.512131139105605</v>
      </c>
      <c r="BT23" s="68">
        <v>15.352326038790562</v>
      </c>
      <c r="BU23" s="68"/>
      <c r="BV23" s="68">
        <f t="shared" si="43"/>
        <v>-0.68697115276773246</v>
      </c>
      <c r="BW23" s="68">
        <f>'RD T1'!E225</f>
        <v>6.8021939503172142</v>
      </c>
      <c r="BX23" s="68">
        <f t="shared" si="44"/>
        <v>6.1152227975494817</v>
      </c>
      <c r="BZ23" t="str">
        <f t="shared" si="45"/>
        <v>53 Skilled construction and building trades</v>
      </c>
      <c r="CA23" s="68">
        <v>10.764314042846445</v>
      </c>
      <c r="CB23" s="68">
        <v>9.8129318154127105</v>
      </c>
      <c r="CC23" s="68">
        <v>8.2204700862459923</v>
      </c>
      <c r="CD23" s="68">
        <v>7.2308239469637998</v>
      </c>
      <c r="CE23" s="68">
        <v>5.1002478075720417</v>
      </c>
      <c r="CF23" s="68"/>
      <c r="CG23" s="68">
        <f t="shared" si="46"/>
        <v>-3.1202222786739506</v>
      </c>
      <c r="CH23" s="68">
        <f>'RD T1'!E254</f>
        <v>2.7979865831837984</v>
      </c>
      <c r="CI23" s="68">
        <f t="shared" si="47"/>
        <v>-0.32223569549015219</v>
      </c>
      <c r="CK23" t="str">
        <f t="shared" si="48"/>
        <v>53 Skilled construction and building trades</v>
      </c>
      <c r="CL23" s="68">
        <v>4.9711043556769088</v>
      </c>
      <c r="CM23" s="68">
        <v>4.7488773102716735</v>
      </c>
      <c r="CN23" s="68">
        <v>3.3439488251859011</v>
      </c>
      <c r="CO23" s="68">
        <v>3.1487886215935097</v>
      </c>
      <c r="CP23" s="68">
        <v>1.1030521879978965</v>
      </c>
      <c r="CQ23" s="68"/>
      <c r="CR23" s="68">
        <f t="shared" si="49"/>
        <v>-2.2408966371880048</v>
      </c>
      <c r="CS23" s="68">
        <f>'RD T1'!E283</f>
        <v>0.68569553198444355</v>
      </c>
      <c r="CT23" s="68">
        <f t="shared" si="50"/>
        <v>-1.5552011052035613</v>
      </c>
    </row>
    <row r="24" spans="1:98" x14ac:dyDescent="0.2">
      <c r="A24" s="10" t="str">
        <f>name!D20</f>
        <v>54 Textiles, printing and other skilled trades</v>
      </c>
      <c r="B24" s="68">
        <v>0.15329830628638899</v>
      </c>
      <c r="C24" s="68">
        <v>0.17034353111838979</v>
      </c>
      <c r="D24" s="68">
        <v>0.15033525430547726</v>
      </c>
      <c r="E24" s="68">
        <v>0.20037338631013804</v>
      </c>
      <c r="F24" s="68">
        <v>0.27202084671780258</v>
      </c>
      <c r="G24" s="11"/>
      <c r="H24" s="68">
        <f t="shared" si="51"/>
        <v>0.12168559241232532</v>
      </c>
      <c r="I24" s="68">
        <f>'RD T1'!E52</f>
        <v>9.5482659476378434E-2</v>
      </c>
      <c r="J24" s="68">
        <f t="shared" si="26"/>
        <v>0.21716825188870376</v>
      </c>
      <c r="L24" t="str">
        <f t="shared" si="27"/>
        <v>54 Textiles, printing and other skilled trades</v>
      </c>
      <c r="M24" s="68">
        <v>1.1667234671709004</v>
      </c>
      <c r="N24" s="68">
        <v>1.7510204610896867</v>
      </c>
      <c r="O24" s="68">
        <v>1.3866660443047192</v>
      </c>
      <c r="P24" s="68">
        <v>1.7347253368679139</v>
      </c>
      <c r="Q24" s="68">
        <v>2.360666124188266</v>
      </c>
      <c r="R24" s="11"/>
      <c r="S24" s="68">
        <f t="shared" si="28"/>
        <v>0.97400007988354687</v>
      </c>
      <c r="T24" s="68">
        <f>'RD T1'!E81</f>
        <v>0.94554100386528173</v>
      </c>
      <c r="U24" s="68">
        <f t="shared" si="29"/>
        <v>1.9195410837488285</v>
      </c>
      <c r="W24" t="str">
        <f t="shared" si="30"/>
        <v>54 Textiles, printing and other skilled trades</v>
      </c>
      <c r="X24" s="68">
        <v>3.2637651849732507</v>
      </c>
      <c r="Y24" s="68">
        <v>3.1975604434060951</v>
      </c>
      <c r="Z24" s="68">
        <v>3.1176403710172473</v>
      </c>
      <c r="AA24" s="68">
        <v>3.6657729024066876</v>
      </c>
      <c r="AB24" s="68">
        <v>4.5645936181040474</v>
      </c>
      <c r="AC24" s="68"/>
      <c r="AD24" s="68">
        <f t="shared" si="31"/>
        <v>1.4469532470868001</v>
      </c>
      <c r="AE24" s="68">
        <f>'RD T1'!E110</f>
        <v>2.1279950164558068</v>
      </c>
      <c r="AF24" s="68">
        <f t="shared" si="32"/>
        <v>3.5749482635426069</v>
      </c>
      <c r="AH24" t="str">
        <f t="shared" si="33"/>
        <v>54 Textiles, printing and other skilled trades</v>
      </c>
      <c r="AI24" s="68">
        <v>1.3726096795073222</v>
      </c>
      <c r="AJ24" s="68">
        <v>1.2530496308420664</v>
      </c>
      <c r="AK24" s="68">
        <v>1.3739343039167007</v>
      </c>
      <c r="AL24" s="68">
        <v>1.4572540630954469</v>
      </c>
      <c r="AM24" s="68">
        <v>1.8189687018938694</v>
      </c>
      <c r="AN24" s="68"/>
      <c r="AO24" s="68">
        <f t="shared" si="34"/>
        <v>0.44503439797716871</v>
      </c>
      <c r="AP24" s="68">
        <f>'RD T1'!E139</f>
        <v>0.85944206778901588</v>
      </c>
      <c r="AQ24" s="68">
        <f t="shared" si="35"/>
        <v>1.3044764657661845</v>
      </c>
      <c r="AS24" t="str">
        <f t="shared" si="36"/>
        <v>54 Textiles, printing and other skilled trades</v>
      </c>
      <c r="AT24" s="68">
        <v>1.474820831758844</v>
      </c>
      <c r="AU24" s="68">
        <v>1.3685943679417505</v>
      </c>
      <c r="AV24" s="68">
        <v>1.419192976349094</v>
      </c>
      <c r="AW24" s="68">
        <v>1.6692288047972654</v>
      </c>
      <c r="AX24" s="68">
        <v>2.0703452708927768</v>
      </c>
      <c r="AY24" s="68"/>
      <c r="AZ24" s="68">
        <f t="shared" si="37"/>
        <v>0.65115229454368273</v>
      </c>
      <c r="BA24" s="68">
        <f>'RD T1'!E168</f>
        <v>0.95982588142158876</v>
      </c>
      <c r="BB24" s="68">
        <f t="shared" si="38"/>
        <v>1.6109781759652715</v>
      </c>
      <c r="BD24" t="str">
        <f t="shared" si="39"/>
        <v>54 Textiles, printing and other skilled trades</v>
      </c>
      <c r="BE24" s="68">
        <v>9.8882853820208592</v>
      </c>
      <c r="BF24" s="68">
        <v>9.4204463009745965</v>
      </c>
      <c r="BG24" s="68">
        <v>8.8352314210865117</v>
      </c>
      <c r="BH24" s="68">
        <v>8.7632044749925786</v>
      </c>
      <c r="BI24" s="68">
        <v>8.1205158418549921</v>
      </c>
      <c r="BJ24" s="68"/>
      <c r="BK24" s="68">
        <f t="shared" si="40"/>
        <v>-0.71471557923151963</v>
      </c>
      <c r="BL24" s="68">
        <f>'RD T1'!E197</f>
        <v>3.5259525744866589</v>
      </c>
      <c r="BM24" s="68">
        <f t="shared" si="41"/>
        <v>2.8112369952551393</v>
      </c>
      <c r="BO24" t="str">
        <f t="shared" si="42"/>
        <v>54 Textiles, printing and other skilled trades</v>
      </c>
      <c r="BP24" s="68">
        <v>12.842812941023027</v>
      </c>
      <c r="BQ24" s="68">
        <v>10.801462624152247</v>
      </c>
      <c r="BR24" s="68">
        <v>10.392380314051771</v>
      </c>
      <c r="BS24" s="68">
        <v>8.8215045132846761</v>
      </c>
      <c r="BT24" s="68">
        <v>6.8783305288248142</v>
      </c>
      <c r="BU24" s="68"/>
      <c r="BV24" s="68">
        <f t="shared" si="43"/>
        <v>-3.5140497852269563</v>
      </c>
      <c r="BW24" s="68">
        <f>'RD T1'!E226</f>
        <v>3.3081903402434092</v>
      </c>
      <c r="BX24" s="68">
        <f t="shared" si="44"/>
        <v>-0.20585944498354714</v>
      </c>
      <c r="BZ24" t="str">
        <f t="shared" si="45"/>
        <v>54 Textiles, printing and other skilled trades</v>
      </c>
      <c r="CA24" s="68">
        <v>10.9289854262649</v>
      </c>
      <c r="CB24" s="68">
        <v>8.3767904435621698</v>
      </c>
      <c r="CC24" s="68">
        <v>8.6192550552444676</v>
      </c>
      <c r="CD24" s="68">
        <v>7.6851609523104116</v>
      </c>
      <c r="CE24" s="68">
        <v>5.9191595188197237</v>
      </c>
      <c r="CF24" s="68"/>
      <c r="CG24" s="68">
        <f t="shared" si="46"/>
        <v>-2.7000955364247439</v>
      </c>
      <c r="CH24" s="68">
        <f>'RD T1'!E255</f>
        <v>2.6393962394746899</v>
      </c>
      <c r="CI24" s="68">
        <f t="shared" si="47"/>
        <v>-6.0699296950053938E-2</v>
      </c>
      <c r="CK24" t="str">
        <f t="shared" si="48"/>
        <v>54 Textiles, printing and other skilled trades</v>
      </c>
      <c r="CL24" s="68">
        <v>4.0235289364570299</v>
      </c>
      <c r="CM24" s="68">
        <v>3.3391014503411429</v>
      </c>
      <c r="CN24" s="68">
        <v>2.9939452355082508</v>
      </c>
      <c r="CO24" s="68">
        <v>2.3886616765172226</v>
      </c>
      <c r="CP24" s="68">
        <v>1.5493130153935777</v>
      </c>
      <c r="CQ24" s="68"/>
      <c r="CR24" s="68">
        <f t="shared" si="49"/>
        <v>-1.4446322201146731</v>
      </c>
      <c r="CS24" s="68">
        <f>'RD T1'!E284</f>
        <v>0.67780844270153817</v>
      </c>
      <c r="CT24" s="68">
        <f t="shared" si="50"/>
        <v>-0.7668237774131349</v>
      </c>
    </row>
    <row r="25" spans="1:98" x14ac:dyDescent="0.2">
      <c r="A25" s="10" t="str">
        <f>name!D21</f>
        <v>61 Caring personal service occupations</v>
      </c>
      <c r="B25" s="68">
        <v>0.12082775529398825</v>
      </c>
      <c r="C25" s="68">
        <v>0.1541917507828236</v>
      </c>
      <c r="D25" s="68">
        <v>0.12389962710039584</v>
      </c>
      <c r="E25" s="68">
        <v>0.18175816611075835</v>
      </c>
      <c r="F25" s="68">
        <v>0.26687849783996098</v>
      </c>
      <c r="G25" s="11"/>
      <c r="H25" s="68">
        <f t="shared" si="51"/>
        <v>0.14297887073956514</v>
      </c>
      <c r="I25" s="68">
        <f>'RD T1'!E53</f>
        <v>0.10271490926062729</v>
      </c>
      <c r="J25" s="68">
        <f t="shared" si="26"/>
        <v>0.24569378000019243</v>
      </c>
      <c r="L25" t="str">
        <f t="shared" si="27"/>
        <v>61 Caring personal service occupations</v>
      </c>
      <c r="M25" s="68">
        <v>6.0620728435065399</v>
      </c>
      <c r="N25" s="68">
        <v>8.9818037762883165</v>
      </c>
      <c r="O25" s="68">
        <v>7.3407299502860646</v>
      </c>
      <c r="P25" s="68">
        <v>10.265418802527103</v>
      </c>
      <c r="Q25" s="68">
        <v>14.882096068009053</v>
      </c>
      <c r="R25" s="11"/>
      <c r="S25" s="68">
        <f t="shared" si="28"/>
        <v>7.5413661177229887</v>
      </c>
      <c r="T25" s="68">
        <f>'RD T1'!E82</f>
        <v>6.0272565428653948</v>
      </c>
      <c r="U25" s="68">
        <f t="shared" si="29"/>
        <v>13.568622660588384</v>
      </c>
      <c r="W25" t="str">
        <f t="shared" si="30"/>
        <v>61 Caring personal service occupations</v>
      </c>
      <c r="X25" s="68">
        <v>21.780969479040291</v>
      </c>
      <c r="Y25" s="68">
        <v>24.992981730726626</v>
      </c>
      <c r="Z25" s="68">
        <v>24.549237010790382</v>
      </c>
      <c r="AA25" s="68">
        <v>30.972942338840323</v>
      </c>
      <c r="AB25" s="68">
        <v>41.076814933604538</v>
      </c>
      <c r="AC25" s="68"/>
      <c r="AD25" s="68">
        <f t="shared" si="31"/>
        <v>16.527577922814157</v>
      </c>
      <c r="AE25" s="68">
        <f>'RD T1'!E111</f>
        <v>22.115308876453195</v>
      </c>
      <c r="AF25" s="68">
        <f t="shared" si="32"/>
        <v>38.642886799267352</v>
      </c>
      <c r="AH25" t="str">
        <f t="shared" si="33"/>
        <v>61 Caring personal service occupations</v>
      </c>
      <c r="AI25" s="68">
        <v>19.699191317367617</v>
      </c>
      <c r="AJ25" s="68">
        <v>19.507958146165816</v>
      </c>
      <c r="AK25" s="68">
        <v>18.713169497631657</v>
      </c>
      <c r="AL25" s="68">
        <v>21.061186592480638</v>
      </c>
      <c r="AM25" s="68">
        <v>23.236138481977466</v>
      </c>
      <c r="AN25" s="68"/>
      <c r="AO25" s="68">
        <f t="shared" si="34"/>
        <v>4.522968984345809</v>
      </c>
      <c r="AP25" s="68">
        <f>'RD T1'!E140</f>
        <v>12.679127029379359</v>
      </c>
      <c r="AQ25" s="68">
        <f t="shared" si="35"/>
        <v>17.202096013725168</v>
      </c>
      <c r="AS25" t="str">
        <f t="shared" si="36"/>
        <v>61 Caring personal service occupations</v>
      </c>
      <c r="AT25" s="68">
        <v>10.179117963076587</v>
      </c>
      <c r="AU25" s="68">
        <v>11.248936900259052</v>
      </c>
      <c r="AV25" s="68">
        <v>10.734185173605185</v>
      </c>
      <c r="AW25" s="68">
        <v>12.216202569960727</v>
      </c>
      <c r="AX25" s="68">
        <v>14.270389707193704</v>
      </c>
      <c r="AY25" s="68"/>
      <c r="AZ25" s="68">
        <f t="shared" si="37"/>
        <v>3.5362045335885188</v>
      </c>
      <c r="BA25" s="68">
        <f>'RD T1'!E169</f>
        <v>7.537769655417403</v>
      </c>
      <c r="BB25" s="68">
        <f t="shared" si="38"/>
        <v>11.073974189005922</v>
      </c>
      <c r="BD25" t="str">
        <f t="shared" si="39"/>
        <v>61 Caring personal service occupations</v>
      </c>
      <c r="BE25" s="68">
        <v>64.287828597211529</v>
      </c>
      <c r="BF25" s="68">
        <v>73.269715369413774</v>
      </c>
      <c r="BG25" s="68">
        <v>73.521764091800037</v>
      </c>
      <c r="BH25" s="68">
        <v>81.04129258637893</v>
      </c>
      <c r="BI25" s="68">
        <v>91.748271529015256</v>
      </c>
      <c r="BJ25" s="68"/>
      <c r="BK25" s="68">
        <f t="shared" si="40"/>
        <v>18.226507437215218</v>
      </c>
      <c r="BL25" s="68">
        <f>'RD T1'!E198</f>
        <v>45.869534328799084</v>
      </c>
      <c r="BM25" s="68">
        <f t="shared" si="41"/>
        <v>64.096041766014309</v>
      </c>
      <c r="BO25" t="str">
        <f t="shared" si="42"/>
        <v>61 Caring personal service occupations</v>
      </c>
      <c r="BP25" s="68">
        <v>55.12582226841095</v>
      </c>
      <c r="BQ25" s="68">
        <v>53.444992781832077</v>
      </c>
      <c r="BR25" s="68">
        <v>50.482602325723718</v>
      </c>
      <c r="BS25" s="68">
        <v>48.130288165015195</v>
      </c>
      <c r="BT25" s="68">
        <v>37.41128407755857</v>
      </c>
      <c r="BU25" s="68"/>
      <c r="BV25" s="68">
        <f t="shared" si="43"/>
        <v>-13.071318248165149</v>
      </c>
      <c r="BW25" s="68">
        <f>'RD T1'!E227</f>
        <v>23.059668197687873</v>
      </c>
      <c r="BX25" s="68">
        <f t="shared" si="44"/>
        <v>9.9883499495227248</v>
      </c>
      <c r="BZ25" t="str">
        <f t="shared" si="45"/>
        <v>61 Caring personal service occupations</v>
      </c>
      <c r="CA25" s="68">
        <v>17.912269110215462</v>
      </c>
      <c r="CB25" s="68">
        <v>8.6954758328087394</v>
      </c>
      <c r="CC25" s="68">
        <v>8.1037806074152972</v>
      </c>
      <c r="CD25" s="68">
        <v>5.3801383294266598</v>
      </c>
      <c r="CE25" s="68">
        <v>3.9180476562231279</v>
      </c>
      <c r="CF25" s="68"/>
      <c r="CG25" s="68">
        <f t="shared" si="46"/>
        <v>-4.1857329511921693</v>
      </c>
      <c r="CH25" s="68">
        <f>'RD T1'!E256</f>
        <v>1.7500947612840698</v>
      </c>
      <c r="CI25" s="68">
        <f t="shared" si="47"/>
        <v>-2.4356381899080994</v>
      </c>
      <c r="CK25" t="str">
        <f t="shared" si="48"/>
        <v>61 Caring personal service occupations</v>
      </c>
      <c r="CL25" s="68">
        <v>1.9525338399031182</v>
      </c>
      <c r="CM25" s="68">
        <v>1.8057817333591408</v>
      </c>
      <c r="CN25" s="68">
        <v>1.5897251077980727</v>
      </c>
      <c r="CO25" s="68">
        <v>2.2151183765150564</v>
      </c>
      <c r="CP25" s="68">
        <v>2.460905767105976</v>
      </c>
      <c r="CQ25" s="68"/>
      <c r="CR25" s="68">
        <f t="shared" si="49"/>
        <v>0.87118065930790323</v>
      </c>
      <c r="CS25" s="68">
        <f>'RD T1'!E285</f>
        <v>0.65505360419151115</v>
      </c>
      <c r="CT25" s="68">
        <f t="shared" si="50"/>
        <v>1.5262342634994144</v>
      </c>
    </row>
    <row r="26" spans="1:98" x14ac:dyDescent="0.2">
      <c r="A26" s="10" t="str">
        <f>name!D22</f>
        <v>62 Leisure, travel and related personal service occupations</v>
      </c>
      <c r="B26" s="68">
        <v>4.3547208666321752E-2</v>
      </c>
      <c r="C26" s="68">
        <v>8.3015646611872732E-2</v>
      </c>
      <c r="D26" s="68">
        <v>5.303031618806147E-2</v>
      </c>
      <c r="E26" s="68">
        <v>7.4332158758706746E-2</v>
      </c>
      <c r="F26" s="68">
        <v>0.11890720729487546</v>
      </c>
      <c r="G26" s="11"/>
      <c r="H26" s="68">
        <f t="shared" si="51"/>
        <v>6.5876891106813995E-2</v>
      </c>
      <c r="I26" s="68">
        <f>'RD T1'!E54</f>
        <v>4.1787998906416678E-2</v>
      </c>
      <c r="J26" s="68">
        <f t="shared" si="26"/>
        <v>0.10766489001323068</v>
      </c>
      <c r="L26" t="str">
        <f t="shared" si="27"/>
        <v>62 Leisure, travel and related personal service occupations</v>
      </c>
      <c r="M26" s="68">
        <v>0.90972090453892229</v>
      </c>
      <c r="N26" s="68">
        <v>1.6115596465039046</v>
      </c>
      <c r="O26" s="68">
        <v>1.2118235659789609</v>
      </c>
      <c r="P26" s="68">
        <v>1.5531798656651068</v>
      </c>
      <c r="Q26" s="68">
        <v>2.129425380020157</v>
      </c>
      <c r="R26" s="11"/>
      <c r="S26" s="68">
        <f t="shared" si="28"/>
        <v>0.91760181404119612</v>
      </c>
      <c r="T26" s="68">
        <f>'RD T1'!E83</f>
        <v>0.82334580945210323</v>
      </c>
      <c r="U26" s="68">
        <f t="shared" si="29"/>
        <v>1.7409476234932995</v>
      </c>
      <c r="W26" t="str">
        <f t="shared" si="30"/>
        <v>62 Leisure, travel and related personal service occupations</v>
      </c>
      <c r="X26" s="68">
        <v>4.3116449141560951</v>
      </c>
      <c r="Y26" s="68">
        <v>5.8709536124901618</v>
      </c>
      <c r="Z26" s="68">
        <v>5.7773647177682736</v>
      </c>
      <c r="AA26" s="68">
        <v>7.2075871378210286</v>
      </c>
      <c r="AB26" s="68">
        <v>10.187153018393392</v>
      </c>
      <c r="AC26" s="68"/>
      <c r="AD26" s="68">
        <f t="shared" si="31"/>
        <v>4.4097883006251184</v>
      </c>
      <c r="AE26" s="68">
        <f>'RD T1'!E112</f>
        <v>5.015808563697453</v>
      </c>
      <c r="AF26" s="68">
        <f t="shared" si="32"/>
        <v>9.4255968643225714</v>
      </c>
      <c r="AH26" t="str">
        <f t="shared" si="33"/>
        <v>62 Leisure, travel and related personal service occupations</v>
      </c>
      <c r="AI26" s="68">
        <v>2.6667164406301263</v>
      </c>
      <c r="AJ26" s="68">
        <v>3.9082599746150088</v>
      </c>
      <c r="AK26" s="68">
        <v>3.7504479538379263</v>
      </c>
      <c r="AL26" s="68">
        <v>4.3408966759097272</v>
      </c>
      <c r="AM26" s="68">
        <v>6.1573802843657033</v>
      </c>
      <c r="AN26" s="68"/>
      <c r="AO26" s="68">
        <f t="shared" si="34"/>
        <v>2.406932330527777</v>
      </c>
      <c r="AP26" s="68">
        <f>'RD T1'!E141</f>
        <v>2.9933950851351128</v>
      </c>
      <c r="AQ26" s="68">
        <f t="shared" si="35"/>
        <v>5.4003274156628898</v>
      </c>
      <c r="AS26" t="str">
        <f t="shared" si="36"/>
        <v>62 Leisure, travel and related personal service occupations</v>
      </c>
      <c r="AT26" s="68">
        <v>3.0051144730388244</v>
      </c>
      <c r="AU26" s="68">
        <v>4.4541487835011555</v>
      </c>
      <c r="AV26" s="68">
        <v>4.8222916510403744</v>
      </c>
      <c r="AW26" s="68">
        <v>5.7185330172059059</v>
      </c>
      <c r="AX26" s="68">
        <v>8.511604539899567</v>
      </c>
      <c r="AY26" s="68"/>
      <c r="AZ26" s="68">
        <f t="shared" si="37"/>
        <v>3.6893128888591926</v>
      </c>
      <c r="BA26" s="68">
        <f>'RD T1'!E170</f>
        <v>4.0426647254226316</v>
      </c>
      <c r="BB26" s="68">
        <f t="shared" si="38"/>
        <v>7.7319776142818242</v>
      </c>
      <c r="BD26" t="str">
        <f t="shared" si="39"/>
        <v>62 Leisure, travel and related personal service occupations</v>
      </c>
      <c r="BE26" s="68">
        <v>12.429118787536082</v>
      </c>
      <c r="BF26" s="68">
        <v>16.100863681702435</v>
      </c>
      <c r="BG26" s="68">
        <v>15.604087537226874</v>
      </c>
      <c r="BH26" s="68">
        <v>14.474090471140141</v>
      </c>
      <c r="BI26" s="68">
        <v>13.724764404331108</v>
      </c>
      <c r="BJ26" s="68"/>
      <c r="BK26" s="68">
        <f t="shared" si="40"/>
        <v>-1.8793231328957667</v>
      </c>
      <c r="BL26" s="68">
        <f>'RD T1'!E199</f>
        <v>6.4322396563569217</v>
      </c>
      <c r="BM26" s="68">
        <f t="shared" si="41"/>
        <v>4.5529165234611551</v>
      </c>
      <c r="BO26" t="str">
        <f t="shared" si="42"/>
        <v>62 Leisure, travel and related personal service occupations</v>
      </c>
      <c r="BP26" s="68">
        <v>13.365475320877199</v>
      </c>
      <c r="BQ26" s="68">
        <v>16.47008993917418</v>
      </c>
      <c r="BR26" s="68">
        <v>15.417628344037782</v>
      </c>
      <c r="BS26" s="68">
        <v>12.879109520719238</v>
      </c>
      <c r="BT26" s="68">
        <v>10.073439794362278</v>
      </c>
      <c r="BU26" s="68"/>
      <c r="BV26" s="68">
        <f t="shared" si="43"/>
        <v>-5.3441885496755042</v>
      </c>
      <c r="BW26" s="68">
        <f>'RD T1'!E228</f>
        <v>5.9721679637039706</v>
      </c>
      <c r="BX26" s="68">
        <f t="shared" si="44"/>
        <v>0.62797941402846646</v>
      </c>
      <c r="BZ26" t="str">
        <f t="shared" si="45"/>
        <v>62 Leisure, travel and related personal service occupations</v>
      </c>
      <c r="CA26" s="68">
        <v>9.8202871553319202</v>
      </c>
      <c r="CB26" s="68">
        <v>10.590431615670653</v>
      </c>
      <c r="CC26" s="68">
        <v>10.09804674790823</v>
      </c>
      <c r="CD26" s="68">
        <v>10.629857688408309</v>
      </c>
      <c r="CE26" s="68">
        <v>8.320676890050855</v>
      </c>
      <c r="CF26" s="68"/>
      <c r="CG26" s="68">
        <f t="shared" si="46"/>
        <v>-1.7773698578573747</v>
      </c>
      <c r="CH26" s="68">
        <f>'RD T1'!E257</f>
        <v>4.0686682774151945</v>
      </c>
      <c r="CI26" s="68">
        <f t="shared" si="47"/>
        <v>2.2912984195578199</v>
      </c>
      <c r="CK26" t="str">
        <f t="shared" si="48"/>
        <v>62 Leisure, travel and related personal service occupations</v>
      </c>
      <c r="CL26" s="68">
        <v>2.8336920369137295</v>
      </c>
      <c r="CM26" s="68">
        <v>2.8483789927514436</v>
      </c>
      <c r="CN26" s="68">
        <v>2.2544484343525872</v>
      </c>
      <c r="CO26" s="68">
        <v>2.050946845972625</v>
      </c>
      <c r="CP26" s="68">
        <v>1.1807645212052753</v>
      </c>
      <c r="CQ26" s="68"/>
      <c r="CR26" s="68">
        <f t="shared" si="49"/>
        <v>-1.0736839131473119</v>
      </c>
      <c r="CS26" s="68">
        <f>'RD T1'!E286</f>
        <v>0.57587884736946438</v>
      </c>
      <c r="CT26" s="68">
        <f t="shared" si="50"/>
        <v>-0.49780506577784756</v>
      </c>
    </row>
    <row r="27" spans="1:98" x14ac:dyDescent="0.2">
      <c r="A27" s="10" t="str">
        <f>name!D23</f>
        <v>63 Community and civil enforcement occupations</v>
      </c>
      <c r="B27" s="68">
        <v>4.2815649746427258E-3</v>
      </c>
      <c r="C27" s="68">
        <v>5.7534574165672009E-3</v>
      </c>
      <c r="D27" s="68">
        <v>5.031273929037211E-3</v>
      </c>
      <c r="E27" s="68">
        <v>7.0523296660830884E-3</v>
      </c>
      <c r="F27" s="68">
        <v>1.0486582664745907E-2</v>
      </c>
      <c r="G27" s="11"/>
      <c r="H27" s="68">
        <f t="shared" si="51"/>
        <v>5.4553087357086961E-3</v>
      </c>
      <c r="I27" s="68">
        <f>'RD T1'!E55</f>
        <v>4.1024275156326361E-3</v>
      </c>
      <c r="J27" s="68">
        <f t="shared" si="26"/>
        <v>9.5577362513413321E-3</v>
      </c>
      <c r="L27" t="str">
        <f t="shared" si="27"/>
        <v>63 Community and civil enforcement occupations</v>
      </c>
      <c r="M27" s="68">
        <v>6.6126727412795142E-2</v>
      </c>
      <c r="N27" s="68">
        <v>6.9677534611422037E-2</v>
      </c>
      <c r="O27" s="68">
        <v>7.9440370260884519E-2</v>
      </c>
      <c r="P27" s="68">
        <v>8.8492342053166653E-2</v>
      </c>
      <c r="Q27" s="68">
        <v>0.13527660439762154</v>
      </c>
      <c r="R27" s="11"/>
      <c r="S27" s="68">
        <f t="shared" si="28"/>
        <v>5.5836234136737023E-2</v>
      </c>
      <c r="T27" s="68">
        <f>'RD T1'!E84</f>
        <v>5.0490465589074753E-2</v>
      </c>
      <c r="U27" s="68">
        <f t="shared" si="29"/>
        <v>0.10632669972581177</v>
      </c>
      <c r="W27" t="str">
        <f t="shared" si="30"/>
        <v>63 Community and civil enforcement occupations</v>
      </c>
      <c r="X27" s="68">
        <v>0.3288137214396365</v>
      </c>
      <c r="Y27" s="68">
        <v>0.32000038383423024</v>
      </c>
      <c r="Z27" s="68">
        <v>0.38646451519666664</v>
      </c>
      <c r="AA27" s="68">
        <v>0.42591134187704832</v>
      </c>
      <c r="AB27" s="68">
        <v>0.57661450908981893</v>
      </c>
      <c r="AC27" s="68"/>
      <c r="AD27" s="68">
        <f t="shared" si="31"/>
        <v>0.19014999389315229</v>
      </c>
      <c r="AE27" s="68">
        <f>'RD T1'!E113</f>
        <v>0.28206776780159731</v>
      </c>
      <c r="AF27" s="68">
        <f t="shared" si="32"/>
        <v>0.4722177616947496</v>
      </c>
      <c r="AH27" t="str">
        <f t="shared" si="33"/>
        <v>63 Community and civil enforcement occupations</v>
      </c>
      <c r="AI27" s="68">
        <v>9.7648455313552429E-2</v>
      </c>
      <c r="AJ27" s="68">
        <v>8.2865091037679681E-2</v>
      </c>
      <c r="AK27" s="68">
        <v>0.11956484890224195</v>
      </c>
      <c r="AL27" s="68">
        <v>0.11009452747955542</v>
      </c>
      <c r="AM27" s="68">
        <v>0.14843943617905217</v>
      </c>
      <c r="AN27" s="68"/>
      <c r="AO27" s="68">
        <f t="shared" si="34"/>
        <v>2.8874587276810221E-2</v>
      </c>
      <c r="AP27" s="68">
        <f>'RD T1'!E142</f>
        <v>6.6905474699901574E-2</v>
      </c>
      <c r="AQ27" s="68">
        <f t="shared" si="35"/>
        <v>9.5780061976711794E-2</v>
      </c>
      <c r="AS27" t="str">
        <f t="shared" si="36"/>
        <v>63 Community and civil enforcement occupations</v>
      </c>
      <c r="AT27" s="68">
        <v>9.3695304327236925E-2</v>
      </c>
      <c r="AU27" s="68">
        <v>7.465298710702585E-2</v>
      </c>
      <c r="AV27" s="68">
        <v>9.9522136120127044E-2</v>
      </c>
      <c r="AW27" s="68">
        <v>8.3450555675083166E-2</v>
      </c>
      <c r="AX27" s="68">
        <v>9.5529247299055306E-2</v>
      </c>
      <c r="AY27" s="68"/>
      <c r="AZ27" s="68">
        <f t="shared" si="37"/>
        <v>-3.9928888210717384E-3</v>
      </c>
      <c r="BA27" s="68">
        <f>'RD T1'!E171</f>
        <v>4.9262809013629207E-2</v>
      </c>
      <c r="BB27" s="68">
        <f t="shared" si="38"/>
        <v>4.5269920192557468E-2</v>
      </c>
      <c r="BD27" t="str">
        <f t="shared" si="39"/>
        <v>63 Community and civil enforcement occupations</v>
      </c>
      <c r="BE27" s="68">
        <v>0.46755379227461391</v>
      </c>
      <c r="BF27" s="68">
        <v>0.35995738852491327</v>
      </c>
      <c r="BG27" s="68">
        <v>0.48186100744233085</v>
      </c>
      <c r="BH27" s="68">
        <v>0.3519252007141076</v>
      </c>
      <c r="BI27" s="68">
        <v>0.42654825210988184</v>
      </c>
      <c r="BJ27" s="68"/>
      <c r="BK27" s="68">
        <f t="shared" si="40"/>
        <v>-5.5312755332449004E-2</v>
      </c>
      <c r="BL27" s="68">
        <f>'RD T1'!E200</f>
        <v>0.13847852921746237</v>
      </c>
      <c r="BM27" s="68">
        <f t="shared" si="41"/>
        <v>8.3165773885013367E-2</v>
      </c>
      <c r="BO27" t="str">
        <f t="shared" si="42"/>
        <v>63 Community and civil enforcement occupations</v>
      </c>
      <c r="BP27" s="68">
        <v>0.62598902877113582</v>
      </c>
      <c r="BQ27" s="68">
        <v>0.53031927820619895</v>
      </c>
      <c r="BR27" s="68">
        <v>0.6700856283168577</v>
      </c>
      <c r="BS27" s="68">
        <v>0.50655455387306392</v>
      </c>
      <c r="BT27" s="68">
        <v>0.51953765743891722</v>
      </c>
      <c r="BU27" s="68"/>
      <c r="BV27" s="68">
        <f t="shared" si="43"/>
        <v>-0.15054797087794047</v>
      </c>
      <c r="BW27" s="68">
        <f>'RD T1'!E229</f>
        <v>0.21465276891734786</v>
      </c>
      <c r="BX27" s="68">
        <f t="shared" si="44"/>
        <v>6.4104798039407385E-2</v>
      </c>
      <c r="BZ27" t="str">
        <f t="shared" si="45"/>
        <v>63 Community and civil enforcement occupations</v>
      </c>
      <c r="CA27" s="68">
        <v>0.55609701791436672</v>
      </c>
      <c r="CB27" s="68">
        <v>0.42258042396410933</v>
      </c>
      <c r="CC27" s="68">
        <v>0.58722615952340285</v>
      </c>
      <c r="CD27" s="68">
        <v>0.45230743153076758</v>
      </c>
      <c r="CE27" s="68">
        <v>0.36382675255776142</v>
      </c>
      <c r="CF27" s="68"/>
      <c r="CG27" s="68">
        <f t="shared" si="46"/>
        <v>-0.22339940696564142</v>
      </c>
      <c r="CH27" s="68">
        <f>'RD T1'!E258</f>
        <v>0.17281393947367785</v>
      </c>
      <c r="CI27" s="68">
        <f t="shared" si="47"/>
        <v>-5.0585467491963576E-2</v>
      </c>
      <c r="CK27" t="str">
        <f t="shared" si="48"/>
        <v>63 Community and civil enforcement occupations</v>
      </c>
      <c r="CL27" s="68">
        <v>0.15539731512878097</v>
      </c>
      <c r="CM27" s="68">
        <v>0.10227328345124169</v>
      </c>
      <c r="CN27" s="68">
        <v>0.12367587045570863</v>
      </c>
      <c r="CO27" s="68">
        <v>7.6447581219331096E-2</v>
      </c>
      <c r="CP27" s="68">
        <v>5.6564531767459833E-2</v>
      </c>
      <c r="CQ27" s="68"/>
      <c r="CR27" s="68">
        <f t="shared" si="49"/>
        <v>-6.7111338688248798E-2</v>
      </c>
      <c r="CS27" s="68">
        <f>'RD T1'!E287</f>
        <v>1.86261558706474E-2</v>
      </c>
      <c r="CT27" s="68">
        <f t="shared" si="50"/>
        <v>-4.8485182817601398E-2</v>
      </c>
    </row>
    <row r="28" spans="1:98" x14ac:dyDescent="0.2">
      <c r="A28" s="10" t="str">
        <f>name!D24</f>
        <v>71 Sales occupations</v>
      </c>
      <c r="B28" s="68">
        <v>0.30848520241662691</v>
      </c>
      <c r="C28" s="68">
        <v>0.41783213066650349</v>
      </c>
      <c r="D28" s="68">
        <v>0.29517858274623621</v>
      </c>
      <c r="E28" s="68">
        <v>0.34785492745745966</v>
      </c>
      <c r="F28" s="68">
        <v>0.44413495161297195</v>
      </c>
      <c r="G28" s="11"/>
      <c r="H28" s="68">
        <f t="shared" si="51"/>
        <v>0.14895636886673574</v>
      </c>
      <c r="I28" s="68">
        <f>'RD T1'!E56</f>
        <v>0.15992243891392149</v>
      </c>
      <c r="J28" s="68">
        <f t="shared" si="26"/>
        <v>0.30887880778065724</v>
      </c>
      <c r="L28" t="str">
        <f t="shared" si="27"/>
        <v>71 Sales occupations</v>
      </c>
      <c r="M28" s="68">
        <v>3.9286031108978556</v>
      </c>
      <c r="N28" s="68">
        <v>5.0762166696671622</v>
      </c>
      <c r="O28" s="68">
        <v>4.3344988675076701</v>
      </c>
      <c r="P28" s="68">
        <v>5.2534498244908123</v>
      </c>
      <c r="Q28" s="68">
        <v>7.6874182814680605</v>
      </c>
      <c r="R28" s="11"/>
      <c r="S28" s="68">
        <f t="shared" si="28"/>
        <v>3.3529194139603904</v>
      </c>
      <c r="T28" s="68">
        <f>'RD T1'!E85</f>
        <v>2.6432732095939824</v>
      </c>
      <c r="U28" s="68">
        <f t="shared" si="29"/>
        <v>5.9961926235543732</v>
      </c>
      <c r="W28" t="str">
        <f t="shared" si="30"/>
        <v>71 Sales occupations</v>
      </c>
      <c r="X28" s="68">
        <v>18.208075005128659</v>
      </c>
      <c r="Y28" s="68">
        <v>18.417273113712813</v>
      </c>
      <c r="Z28" s="68">
        <v>19.396145375662364</v>
      </c>
      <c r="AA28" s="68">
        <v>21.417856630153555</v>
      </c>
      <c r="AB28" s="68">
        <v>29.098891529467522</v>
      </c>
      <c r="AC28" s="68"/>
      <c r="AD28" s="68">
        <f t="shared" si="31"/>
        <v>9.7027461538051583</v>
      </c>
      <c r="AE28" s="68">
        <f>'RD T1'!E114</f>
        <v>13.155825837048765</v>
      </c>
      <c r="AF28" s="68">
        <f t="shared" si="32"/>
        <v>22.858571990853925</v>
      </c>
      <c r="AH28" t="str">
        <f t="shared" si="33"/>
        <v>71 Sales occupations</v>
      </c>
      <c r="AI28" s="68">
        <v>6.5645064171680154</v>
      </c>
      <c r="AJ28" s="68">
        <v>6.6840498166392281</v>
      </c>
      <c r="AK28" s="68">
        <v>6.8027622999505928</v>
      </c>
      <c r="AL28" s="68">
        <v>7.2576134294076979</v>
      </c>
      <c r="AM28" s="68">
        <v>9.8257488228373919</v>
      </c>
      <c r="AN28" s="68"/>
      <c r="AO28" s="68">
        <f t="shared" si="34"/>
        <v>3.0229865228867991</v>
      </c>
      <c r="AP28" s="68">
        <f>'RD T1'!E143</f>
        <v>4.6481392258234289</v>
      </c>
      <c r="AQ28" s="68">
        <f t="shared" si="35"/>
        <v>7.671125748710228</v>
      </c>
      <c r="AS28" t="str">
        <f t="shared" si="36"/>
        <v>71 Sales occupations</v>
      </c>
      <c r="AT28" s="68">
        <v>5.557740667850517</v>
      </c>
      <c r="AU28" s="68">
        <v>5.3006563166842682</v>
      </c>
      <c r="AV28" s="68">
        <v>5.7702374678472674</v>
      </c>
      <c r="AW28" s="68">
        <v>5.7348702164634409</v>
      </c>
      <c r="AX28" s="68">
        <v>7.0488116027544025</v>
      </c>
      <c r="AY28" s="68"/>
      <c r="AZ28" s="68">
        <f t="shared" si="37"/>
        <v>1.2785741349071351</v>
      </c>
      <c r="BA28" s="68">
        <f>'RD T1'!E172</f>
        <v>2.9150830056066841</v>
      </c>
      <c r="BB28" s="68">
        <f t="shared" si="38"/>
        <v>4.1936571405138192</v>
      </c>
      <c r="BD28" t="str">
        <f t="shared" si="39"/>
        <v>71 Sales occupations</v>
      </c>
      <c r="BE28" s="68">
        <v>42.823895509639321</v>
      </c>
      <c r="BF28" s="68">
        <v>44.55193317330221</v>
      </c>
      <c r="BG28" s="68">
        <v>43.884896345316463</v>
      </c>
      <c r="BH28" s="68">
        <v>42.05783503177063</v>
      </c>
      <c r="BI28" s="68">
        <v>44.840295605728933</v>
      </c>
      <c r="BJ28" s="68"/>
      <c r="BK28" s="68">
        <f t="shared" si="40"/>
        <v>0.95539926041247014</v>
      </c>
      <c r="BL28" s="68">
        <f>'RD T1'!E201</f>
        <v>19.703202101508523</v>
      </c>
      <c r="BM28" s="68">
        <f t="shared" si="41"/>
        <v>20.658601361920994</v>
      </c>
      <c r="BO28" t="str">
        <f t="shared" si="42"/>
        <v>71 Sales occupations</v>
      </c>
      <c r="BP28" s="68">
        <v>47.33049127591643</v>
      </c>
      <c r="BQ28" s="68">
        <v>43.815893692013567</v>
      </c>
      <c r="BR28" s="68">
        <v>41.686139986289888</v>
      </c>
      <c r="BS28" s="68">
        <v>35.289368806479516</v>
      </c>
      <c r="BT28" s="68">
        <v>27.831391347727539</v>
      </c>
      <c r="BU28" s="68"/>
      <c r="BV28" s="68">
        <f t="shared" si="43"/>
        <v>-13.854748638562349</v>
      </c>
      <c r="BW28" s="68">
        <f>'RD T1'!E230</f>
        <v>16.849959779245882</v>
      </c>
      <c r="BX28" s="68">
        <f t="shared" si="44"/>
        <v>2.9952111406835336</v>
      </c>
      <c r="BZ28" t="str">
        <f t="shared" si="45"/>
        <v>71 Sales occupations</v>
      </c>
      <c r="CA28" s="68">
        <v>36.498238686134123</v>
      </c>
      <c r="CB28" s="68">
        <v>29.141061273482105</v>
      </c>
      <c r="CC28" s="68">
        <v>27.729304361046662</v>
      </c>
      <c r="CD28" s="68">
        <v>23.029520618085414</v>
      </c>
      <c r="CE28" s="68">
        <v>8.0159273681839398</v>
      </c>
      <c r="CF28" s="68"/>
      <c r="CG28" s="68">
        <f t="shared" si="46"/>
        <v>-19.71337699286272</v>
      </c>
      <c r="CH28" s="68">
        <f>'RD T1'!E259</f>
        <v>6.5303545559820293</v>
      </c>
      <c r="CI28" s="68">
        <f t="shared" si="47"/>
        <v>-13.183022436880691</v>
      </c>
      <c r="CK28" t="str">
        <f t="shared" si="48"/>
        <v>71 Sales occupations</v>
      </c>
      <c r="CL28" s="68">
        <v>12.08393625130936</v>
      </c>
      <c r="CM28" s="68">
        <v>10.406122973986456</v>
      </c>
      <c r="CN28" s="68">
        <v>8.2722120469202967</v>
      </c>
      <c r="CO28" s="68">
        <v>6.8031213786355176</v>
      </c>
      <c r="CP28" s="68">
        <v>4.3660878953942159</v>
      </c>
      <c r="CQ28" s="68"/>
      <c r="CR28" s="68">
        <f t="shared" si="49"/>
        <v>-3.9061241515260807</v>
      </c>
      <c r="CS28" s="68">
        <f>'RD T1'!E288</f>
        <v>1.654208334663275</v>
      </c>
      <c r="CT28" s="68">
        <f t="shared" si="50"/>
        <v>-2.2519158168628057</v>
      </c>
    </row>
    <row r="29" spans="1:98" x14ac:dyDescent="0.2">
      <c r="A29" s="10" t="str">
        <f>name!D25</f>
        <v>72 Customer service occupations</v>
      </c>
      <c r="B29" s="68">
        <v>0.10139614633121627</v>
      </c>
      <c r="C29" s="68">
        <v>0.13092957678515232</v>
      </c>
      <c r="D29" s="68">
        <v>0.12262500167612882</v>
      </c>
      <c r="E29" s="68">
        <v>0.20363989588631579</v>
      </c>
      <c r="F29" s="68">
        <v>0.30438639425387576</v>
      </c>
      <c r="G29" s="11"/>
      <c r="H29" s="68">
        <f>F29-D29</f>
        <v>0.18176139257774693</v>
      </c>
      <c r="I29" s="68">
        <f>'RD T1'!E57</f>
        <v>9.4832930667567816E-2</v>
      </c>
      <c r="J29" s="68">
        <f t="shared" si="26"/>
        <v>0.27659432324531474</v>
      </c>
      <c r="L29" t="str">
        <f t="shared" si="27"/>
        <v>72 Customer service occupations</v>
      </c>
      <c r="M29" s="68">
        <v>1.1349011220218408</v>
      </c>
      <c r="N29" s="68">
        <v>1.7230928256482265</v>
      </c>
      <c r="O29" s="68">
        <v>1.4958958623126226</v>
      </c>
      <c r="P29" s="68">
        <v>2.4795925210600109</v>
      </c>
      <c r="Q29" s="68">
        <v>3.78659978409762</v>
      </c>
      <c r="R29" s="11"/>
      <c r="S29" s="68">
        <f t="shared" si="28"/>
        <v>2.2907039217849974</v>
      </c>
      <c r="T29" s="68">
        <f>'RD T1'!E86</f>
        <v>1.2428828195575834</v>
      </c>
      <c r="U29" s="68">
        <f t="shared" si="29"/>
        <v>3.5335867413425808</v>
      </c>
      <c r="W29" t="str">
        <f t="shared" si="30"/>
        <v>72 Customer service occupations</v>
      </c>
      <c r="X29" s="68">
        <v>5.06863308804658</v>
      </c>
      <c r="Y29" s="68">
        <v>5.7244013962284281</v>
      </c>
      <c r="Z29" s="68">
        <v>6.0756074672339908</v>
      </c>
      <c r="AA29" s="68">
        <v>8.6388054819818336</v>
      </c>
      <c r="AB29" s="68">
        <v>12.115875360879485</v>
      </c>
      <c r="AC29" s="68"/>
      <c r="AD29" s="68">
        <f t="shared" si="31"/>
        <v>6.0402678936454945</v>
      </c>
      <c r="AE29" s="68">
        <f>'RD T1'!E115</f>
        <v>5.0908552623917398</v>
      </c>
      <c r="AF29" s="68">
        <f t="shared" si="32"/>
        <v>11.131123156037233</v>
      </c>
      <c r="AH29" t="str">
        <f t="shared" si="33"/>
        <v>72 Customer service occupations</v>
      </c>
      <c r="AI29" s="68">
        <v>1.6698604467605453</v>
      </c>
      <c r="AJ29" s="68">
        <v>2.0018477123188672</v>
      </c>
      <c r="AK29" s="68">
        <v>2.1818636362212995</v>
      </c>
      <c r="AL29" s="68">
        <v>3.1549342615867064</v>
      </c>
      <c r="AM29" s="68">
        <v>4.4987316989757824</v>
      </c>
      <c r="AN29" s="68"/>
      <c r="AO29" s="68">
        <f t="shared" si="34"/>
        <v>2.3168680627544829</v>
      </c>
      <c r="AP29" s="68">
        <f>'RD T1'!E144</f>
        <v>1.9131079453508439</v>
      </c>
      <c r="AQ29" s="68">
        <f t="shared" si="35"/>
        <v>4.2299760081053268</v>
      </c>
      <c r="AS29" t="str">
        <f t="shared" si="36"/>
        <v>72 Customer service occupations</v>
      </c>
      <c r="AT29" s="68">
        <v>2.3022799546610715</v>
      </c>
      <c r="AU29" s="68">
        <v>2.3718179514738442</v>
      </c>
      <c r="AV29" s="68">
        <v>2.5970430589070714</v>
      </c>
      <c r="AW29" s="68">
        <v>3.5875576815710764</v>
      </c>
      <c r="AX29" s="68">
        <v>4.500476657510684</v>
      </c>
      <c r="AY29" s="68"/>
      <c r="AZ29" s="68">
        <f t="shared" si="37"/>
        <v>1.9034335986036126</v>
      </c>
      <c r="BA29" s="68">
        <f>'RD T1'!E173</f>
        <v>1.8546736656636269</v>
      </c>
      <c r="BB29" s="68">
        <f t="shared" si="38"/>
        <v>3.7581072642672395</v>
      </c>
      <c r="BD29" t="str">
        <f t="shared" si="39"/>
        <v>72 Customer service occupations</v>
      </c>
      <c r="BE29" s="68">
        <v>9.1208985642144036</v>
      </c>
      <c r="BF29" s="68">
        <v>10.195673056892195</v>
      </c>
      <c r="BG29" s="68">
        <v>10.863742079530279</v>
      </c>
      <c r="BH29" s="68">
        <v>13.590725152212842</v>
      </c>
      <c r="BI29" s="68">
        <v>15.634772917864181</v>
      </c>
      <c r="BJ29" s="68"/>
      <c r="BK29" s="68">
        <f t="shared" si="40"/>
        <v>4.7710308383339015</v>
      </c>
      <c r="BL29" s="68">
        <f>'RD T1'!E202</f>
        <v>6.1937002339911391</v>
      </c>
      <c r="BM29" s="68">
        <f t="shared" si="41"/>
        <v>10.964731072325041</v>
      </c>
      <c r="BO29" t="str">
        <f t="shared" si="42"/>
        <v>72 Customer service occupations</v>
      </c>
      <c r="BP29" s="68">
        <v>9.854084325306518</v>
      </c>
      <c r="BQ29" s="68">
        <v>10.362493978076598</v>
      </c>
      <c r="BR29" s="68">
        <v>10.449338915103173</v>
      </c>
      <c r="BS29" s="68">
        <v>12.152016760652284</v>
      </c>
      <c r="BT29" s="68">
        <v>10.993892091544987</v>
      </c>
      <c r="BU29" s="68"/>
      <c r="BV29" s="68">
        <f t="shared" si="43"/>
        <v>0.54455317644181456</v>
      </c>
      <c r="BW29" s="68">
        <f>'RD T1'!E231</f>
        <v>5.8935977148921488</v>
      </c>
      <c r="BX29" s="68">
        <f t="shared" si="44"/>
        <v>6.4381508913339633</v>
      </c>
      <c r="BZ29" t="str">
        <f t="shared" si="45"/>
        <v>72 Customer service occupations</v>
      </c>
      <c r="CA29" s="68">
        <v>5.7905973988493269</v>
      </c>
      <c r="CB29" s="68">
        <v>4.8689960615526031</v>
      </c>
      <c r="CC29" s="68">
        <v>4.8694243217999551</v>
      </c>
      <c r="CD29" s="68">
        <v>5.0740414391655255</v>
      </c>
      <c r="CE29" s="68">
        <v>3.5799566681664814</v>
      </c>
      <c r="CF29" s="68"/>
      <c r="CG29" s="68">
        <f t="shared" si="46"/>
        <v>-1.2894676536334737</v>
      </c>
      <c r="CH29" s="68">
        <f>'RD T1'!E260</f>
        <v>1.525379264006927</v>
      </c>
      <c r="CI29" s="68">
        <f t="shared" si="47"/>
        <v>0.23591161037345332</v>
      </c>
      <c r="CK29" t="str">
        <f t="shared" si="48"/>
        <v>72 Customer service occupations</v>
      </c>
      <c r="CL29" s="68">
        <v>1.2317066338703735</v>
      </c>
      <c r="CM29" s="68">
        <v>1.5536367277553109</v>
      </c>
      <c r="CN29" s="68">
        <v>1.3551899694452725</v>
      </c>
      <c r="CO29" s="68">
        <v>2.1833134012982676</v>
      </c>
      <c r="CP29" s="68">
        <v>2.4576418648760958</v>
      </c>
      <c r="CQ29" s="68"/>
      <c r="CR29" s="68">
        <f t="shared" si="49"/>
        <v>1.1024518954308233</v>
      </c>
      <c r="CS29" s="68">
        <f>'RD T1'!E289</f>
        <v>0.76704624235215602</v>
      </c>
      <c r="CT29" s="68">
        <f t="shared" si="50"/>
        <v>1.8694981377829794</v>
      </c>
    </row>
    <row r="30" spans="1:98" x14ac:dyDescent="0.2">
      <c r="A30" s="10" t="str">
        <f>name!D26</f>
        <v>81 Process, plant and machine operatives</v>
      </c>
      <c r="B30" s="68">
        <v>0.11799735298055272</v>
      </c>
      <c r="C30" s="68">
        <v>0.19426672062906525</v>
      </c>
      <c r="D30" s="68">
        <v>0.13811839000991052</v>
      </c>
      <c r="E30" s="68">
        <v>0.2110014257278848</v>
      </c>
      <c r="F30" s="68">
        <v>0.4325153518492455</v>
      </c>
      <c r="G30" s="11"/>
      <c r="H30" s="68">
        <f t="shared" si="51"/>
        <v>0.29439696183933495</v>
      </c>
      <c r="I30" s="68">
        <f>'RD T1'!E58</f>
        <v>0.14098864331495803</v>
      </c>
      <c r="J30" s="68">
        <f t="shared" si="26"/>
        <v>0.43538560515429298</v>
      </c>
      <c r="L30" t="str">
        <f t="shared" si="27"/>
        <v>81 Process, plant and machine operatives</v>
      </c>
      <c r="M30" s="68">
        <v>0.91359549048698008</v>
      </c>
      <c r="N30" s="68">
        <v>1.2999289358469968</v>
      </c>
      <c r="O30" s="68">
        <v>0.98471031701039824</v>
      </c>
      <c r="P30" s="68">
        <v>1.7819172246936335</v>
      </c>
      <c r="Q30" s="68">
        <v>3.5313734536556196</v>
      </c>
      <c r="R30" s="11"/>
      <c r="S30" s="68">
        <f t="shared" si="28"/>
        <v>2.5466631366452215</v>
      </c>
      <c r="T30" s="68">
        <f>'RD T1'!E87</f>
        <v>1.0850763705619273</v>
      </c>
      <c r="U30" s="68">
        <f t="shared" si="29"/>
        <v>3.6317395072071488</v>
      </c>
      <c r="W30" t="str">
        <f t="shared" si="30"/>
        <v>81 Process, plant and machine operatives</v>
      </c>
      <c r="X30" s="68">
        <v>2.8774896228847764</v>
      </c>
      <c r="Y30" s="68">
        <v>3.1567940028423744</v>
      </c>
      <c r="Z30" s="68">
        <v>2.9909682054105065</v>
      </c>
      <c r="AA30" s="68">
        <v>4.7901800645383048</v>
      </c>
      <c r="AB30" s="68">
        <v>8.759943404867224</v>
      </c>
      <c r="AC30" s="68"/>
      <c r="AD30" s="68">
        <f t="shared" si="31"/>
        <v>5.7689751994567171</v>
      </c>
      <c r="AE30" s="68">
        <f>'RD T1'!E116</f>
        <v>3.1001455934285409</v>
      </c>
      <c r="AF30" s="68">
        <f t="shared" si="32"/>
        <v>8.8691207928852585</v>
      </c>
      <c r="AH30" t="str">
        <f t="shared" si="33"/>
        <v>81 Process, plant and machine operatives</v>
      </c>
      <c r="AI30" s="68">
        <v>1.3150906271695322</v>
      </c>
      <c r="AJ30" s="68">
        <v>1.3420741617998835</v>
      </c>
      <c r="AK30" s="68">
        <v>1.4024058135445052</v>
      </c>
      <c r="AL30" s="68">
        <v>2.0500766353141127</v>
      </c>
      <c r="AM30" s="68">
        <v>2.922184396449329</v>
      </c>
      <c r="AN30" s="68"/>
      <c r="AO30" s="68">
        <f t="shared" si="34"/>
        <v>1.5197785829048238</v>
      </c>
      <c r="AP30" s="68">
        <f>'RD T1'!E145</f>
        <v>1.1017070964979154</v>
      </c>
      <c r="AQ30" s="68">
        <f t="shared" si="35"/>
        <v>2.6214856794027392</v>
      </c>
      <c r="AS30" t="str">
        <f t="shared" si="36"/>
        <v>81 Process, plant and machine operatives</v>
      </c>
      <c r="AT30" s="68">
        <v>3.0187517565471849</v>
      </c>
      <c r="AU30" s="68">
        <v>2.9120829201630656</v>
      </c>
      <c r="AV30" s="68">
        <v>3.1583501287851861</v>
      </c>
      <c r="AW30" s="68">
        <v>4.5029790343686233</v>
      </c>
      <c r="AX30" s="68">
        <v>6.4120441461428861</v>
      </c>
      <c r="AY30" s="68"/>
      <c r="AZ30" s="68">
        <f t="shared" si="37"/>
        <v>3.2536940173577</v>
      </c>
      <c r="BA30" s="68">
        <f>'RD T1'!E174</f>
        <v>2.4372280198740985</v>
      </c>
      <c r="BB30" s="68">
        <f t="shared" si="38"/>
        <v>5.6909220372317986</v>
      </c>
      <c r="BD30" t="str">
        <f t="shared" si="39"/>
        <v>81 Process, plant and machine operatives</v>
      </c>
      <c r="BE30" s="68">
        <v>21.710151137975423</v>
      </c>
      <c r="BF30" s="68">
        <v>23.875774226109129</v>
      </c>
      <c r="BG30" s="68">
        <v>20.687463794629419</v>
      </c>
      <c r="BH30" s="68">
        <v>28.179228628898304</v>
      </c>
      <c r="BI30" s="68">
        <v>33.195673167553828</v>
      </c>
      <c r="BJ30" s="68"/>
      <c r="BK30" s="68">
        <f t="shared" si="40"/>
        <v>12.508209372924409</v>
      </c>
      <c r="BL30" s="68">
        <f>'RD T1'!E203</f>
        <v>10.941841058167284</v>
      </c>
      <c r="BM30" s="68">
        <f t="shared" si="41"/>
        <v>23.450050431091693</v>
      </c>
      <c r="BO30" t="str">
        <f t="shared" si="42"/>
        <v>81 Process, plant and machine operatives</v>
      </c>
      <c r="BP30" s="68">
        <v>29.337724598762975</v>
      </c>
      <c r="BQ30" s="68">
        <v>30.55866023941784</v>
      </c>
      <c r="BR30" s="68">
        <v>25.906685251828858</v>
      </c>
      <c r="BS30" s="68">
        <v>31.86631242991303</v>
      </c>
      <c r="BT30" s="68">
        <v>30.432526160417467</v>
      </c>
      <c r="BU30" s="68"/>
      <c r="BV30" s="68">
        <f t="shared" si="43"/>
        <v>4.5258409085886093</v>
      </c>
      <c r="BW30" s="68">
        <f>'RD T1'!E232</f>
        <v>12.378969039635246</v>
      </c>
      <c r="BX30" s="68">
        <f t="shared" si="44"/>
        <v>16.904809948223857</v>
      </c>
      <c r="BZ30" t="str">
        <f t="shared" si="45"/>
        <v>81 Process, plant and machine operatives</v>
      </c>
      <c r="CA30" s="68">
        <v>26.743160731114113</v>
      </c>
      <c r="CB30" s="68">
        <v>23.617947092121131</v>
      </c>
      <c r="CC30" s="68">
        <v>21.310007740614683</v>
      </c>
      <c r="CD30" s="68">
        <v>22.874254972609581</v>
      </c>
      <c r="CE30" s="68">
        <v>11.26294814236228</v>
      </c>
      <c r="CF30" s="68"/>
      <c r="CG30" s="68">
        <f t="shared" si="46"/>
        <v>-10.047059598252403</v>
      </c>
      <c r="CH30" s="68">
        <f>'RD T1'!E261</f>
        <v>6.7228857333148468</v>
      </c>
      <c r="CI30" s="68">
        <f t="shared" si="47"/>
        <v>-3.3241738649375563</v>
      </c>
      <c r="CK30" t="str">
        <f t="shared" si="48"/>
        <v>81 Process, plant and machine operatives</v>
      </c>
      <c r="CL30" s="68">
        <v>10.302545987655469</v>
      </c>
      <c r="CM30" s="68">
        <v>8.3727037799181794</v>
      </c>
      <c r="CN30" s="68">
        <v>6.4022523677677654</v>
      </c>
      <c r="CO30" s="68">
        <v>3.8056798050222578</v>
      </c>
      <c r="CP30" s="68">
        <v>1.6826855323655787</v>
      </c>
      <c r="CQ30" s="68"/>
      <c r="CR30" s="68">
        <f t="shared" si="49"/>
        <v>-4.7195668354021869</v>
      </c>
      <c r="CS30" s="68">
        <f>'RD T1'!E290</f>
        <v>0.8829117284786433</v>
      </c>
      <c r="CT30" s="68">
        <f t="shared" si="50"/>
        <v>-3.8366551069235437</v>
      </c>
    </row>
    <row r="31" spans="1:98" x14ac:dyDescent="0.2">
      <c r="A31" s="10" t="str">
        <f>name!D27</f>
        <v>82 Transport and mobile machine drivers and operatives</v>
      </c>
      <c r="B31" s="68">
        <v>0.12912720803374428</v>
      </c>
      <c r="C31" s="68">
        <v>0.17542276753522906</v>
      </c>
      <c r="D31" s="68">
        <v>0.19160184284593068</v>
      </c>
      <c r="E31" s="68">
        <v>0.29143725432988038</v>
      </c>
      <c r="F31" s="68">
        <v>0.46111566603063653</v>
      </c>
      <c r="G31" s="11"/>
      <c r="H31" s="68">
        <f t="shared" si="51"/>
        <v>0.26951382318470585</v>
      </c>
      <c r="I31" s="68">
        <f>'RD T1'!E59</f>
        <v>0.20733119621248719</v>
      </c>
      <c r="J31" s="68">
        <f t="shared" si="26"/>
        <v>0.47684501939719304</v>
      </c>
      <c r="L31" t="str">
        <f t="shared" si="27"/>
        <v>82 Transport and mobile machine drivers and operatives</v>
      </c>
      <c r="M31" s="68">
        <v>0.85659503164354223</v>
      </c>
      <c r="N31" s="68">
        <v>1.1564175149090083</v>
      </c>
      <c r="O31" s="68">
        <v>1.1967932697344292</v>
      </c>
      <c r="P31" s="68">
        <v>1.604030895568971</v>
      </c>
      <c r="Q31" s="68">
        <v>2.3418052725444758</v>
      </c>
      <c r="R31" s="11"/>
      <c r="S31" s="68">
        <f t="shared" si="28"/>
        <v>1.1450120028100466</v>
      </c>
      <c r="T31" s="68">
        <f>'RD T1'!E88</f>
        <v>1.0964320842866859</v>
      </c>
      <c r="U31" s="68">
        <f t="shared" si="29"/>
        <v>2.2414440870967325</v>
      </c>
      <c r="W31" t="str">
        <f t="shared" si="30"/>
        <v>82 Transport and mobile machine drivers and operatives</v>
      </c>
      <c r="X31" s="68">
        <v>3.5084041142242479</v>
      </c>
      <c r="Y31" s="68">
        <v>3.823803784152938</v>
      </c>
      <c r="Z31" s="68">
        <v>4.8901124652382819</v>
      </c>
      <c r="AA31" s="68">
        <v>5.7090200155879742</v>
      </c>
      <c r="AB31" s="68">
        <v>7.4260474370696832</v>
      </c>
      <c r="AC31" s="68"/>
      <c r="AD31" s="68">
        <f t="shared" si="31"/>
        <v>2.5359349718314013</v>
      </c>
      <c r="AE31" s="68">
        <f>'RD T1'!E117</f>
        <v>4.0607687207227396</v>
      </c>
      <c r="AF31" s="68">
        <f t="shared" si="32"/>
        <v>6.5967036925541409</v>
      </c>
      <c r="AH31" t="str">
        <f t="shared" si="33"/>
        <v>82 Transport and mobile machine drivers and operatives</v>
      </c>
      <c r="AI31" s="68">
        <v>1.7119425062151785</v>
      </c>
      <c r="AJ31" s="68">
        <v>1.8441324709294444</v>
      </c>
      <c r="AK31" s="68">
        <v>2.5178314851103836</v>
      </c>
      <c r="AL31" s="68">
        <v>2.943102555090912</v>
      </c>
      <c r="AM31" s="68">
        <v>3.896958727314213</v>
      </c>
      <c r="AN31" s="68"/>
      <c r="AO31" s="68">
        <f t="shared" si="34"/>
        <v>1.3791272422038294</v>
      </c>
      <c r="AP31" s="68">
        <f>'RD T1'!E146</f>
        <v>2.0502742471421422</v>
      </c>
      <c r="AQ31" s="68">
        <f t="shared" si="35"/>
        <v>3.4294014893459717</v>
      </c>
      <c r="AS31" t="str">
        <f t="shared" si="36"/>
        <v>82 Transport and mobile machine drivers and operatives</v>
      </c>
      <c r="AT31" s="68">
        <v>2.646614734960405</v>
      </c>
      <c r="AU31" s="68">
        <v>2.7625452902582279</v>
      </c>
      <c r="AV31" s="68">
        <v>3.6398916078554402</v>
      </c>
      <c r="AW31" s="68">
        <v>4.3065961109042004</v>
      </c>
      <c r="AX31" s="68">
        <v>5.5760934970994791</v>
      </c>
      <c r="AY31" s="68"/>
      <c r="AZ31" s="68">
        <f t="shared" si="37"/>
        <v>1.9362018892440389</v>
      </c>
      <c r="BA31" s="68">
        <f>'RD T1'!E175</f>
        <v>3.0438960056723943</v>
      </c>
      <c r="BB31" s="68">
        <f t="shared" si="38"/>
        <v>4.9800978949164332</v>
      </c>
      <c r="BD31" t="str">
        <f t="shared" si="39"/>
        <v>82 Transport and mobile machine drivers and operatives</v>
      </c>
      <c r="BE31" s="68">
        <v>18.048982752196491</v>
      </c>
      <c r="BF31" s="68">
        <v>22.41809700829927</v>
      </c>
      <c r="BG31" s="68">
        <v>21.822078955781254</v>
      </c>
      <c r="BH31" s="68">
        <v>25.47217748776761</v>
      </c>
      <c r="BI31" s="68">
        <v>30.380643999782961</v>
      </c>
      <c r="BJ31" s="68"/>
      <c r="BK31" s="68">
        <f t="shared" si="40"/>
        <v>8.5585650440017069</v>
      </c>
      <c r="BL31" s="68">
        <f>'RD T1'!E204</f>
        <v>13.974144584509867</v>
      </c>
      <c r="BM31" s="68">
        <f t="shared" si="41"/>
        <v>22.532709628511576</v>
      </c>
      <c r="BO31" t="str">
        <f t="shared" si="42"/>
        <v>82 Transport and mobile machine drivers and operatives</v>
      </c>
      <c r="BP31" s="68">
        <v>28.682642156127152</v>
      </c>
      <c r="BQ31" s="68">
        <v>34.421766648742768</v>
      </c>
      <c r="BR31" s="68">
        <v>32.628981522939021</v>
      </c>
      <c r="BS31" s="68">
        <v>34.807305671411427</v>
      </c>
      <c r="BT31" s="68">
        <v>34.807413468669083</v>
      </c>
      <c r="BU31" s="68"/>
      <c r="BV31" s="68">
        <f t="shared" si="43"/>
        <v>2.1784319457300612</v>
      </c>
      <c r="BW31" s="68">
        <f>'RD T1'!E233</f>
        <v>18.524094513683117</v>
      </c>
      <c r="BX31" s="68">
        <f t="shared" si="44"/>
        <v>20.702526459413178</v>
      </c>
      <c r="BZ31" t="str">
        <f t="shared" si="45"/>
        <v>82 Transport and mobile machine drivers and operatives</v>
      </c>
      <c r="CA31" s="68">
        <v>27.506282193663907</v>
      </c>
      <c r="CB31" s="68">
        <v>27.09674848193421</v>
      </c>
      <c r="CC31" s="68">
        <v>28.124361974389828</v>
      </c>
      <c r="CD31" s="68">
        <v>24.159765460431736</v>
      </c>
      <c r="CE31" s="68">
        <v>17.205236560612903</v>
      </c>
      <c r="CF31" s="68"/>
      <c r="CG31" s="68">
        <f t="shared" si="46"/>
        <v>-10.919125413776925</v>
      </c>
      <c r="CH31" s="68">
        <f>'RD T1'!E262</f>
        <v>10.984670927534113</v>
      </c>
      <c r="CI31" s="68">
        <f t="shared" si="47"/>
        <v>6.554551375718809E-2</v>
      </c>
      <c r="CK31" t="str">
        <f t="shared" si="48"/>
        <v>82 Transport and mobile machine drivers and operatives</v>
      </c>
      <c r="CL31" s="68">
        <v>9.8603414860503094</v>
      </c>
      <c r="CM31" s="68">
        <v>11.050643045672091</v>
      </c>
      <c r="CN31" s="68">
        <v>10.1550861727697</v>
      </c>
      <c r="CO31" s="68">
        <v>10.372792162910434</v>
      </c>
      <c r="CP31" s="68">
        <v>5.463091941077165</v>
      </c>
      <c r="CQ31" s="68"/>
      <c r="CR31" s="68">
        <f t="shared" si="49"/>
        <v>-4.6919942316925347</v>
      </c>
      <c r="CS31" s="68">
        <f>'RD T1'!E291</f>
        <v>3.358710875920397</v>
      </c>
      <c r="CT31" s="68">
        <f t="shared" si="50"/>
        <v>-1.3332833557721377</v>
      </c>
    </row>
    <row r="32" spans="1:98" x14ac:dyDescent="0.2">
      <c r="A32" s="10" t="str">
        <f>name!D28</f>
        <v>91 Elementary trades and related occupations</v>
      </c>
      <c r="B32" s="68">
        <v>1.7066354623706188E-3</v>
      </c>
      <c r="C32" s="68">
        <v>1.9103928399164202E-3</v>
      </c>
      <c r="D32" s="68">
        <v>1.6719106833800984E-3</v>
      </c>
      <c r="E32" s="68">
        <v>1.6280984436300276E-3</v>
      </c>
      <c r="F32" s="68">
        <v>2.1976848146301482E-3</v>
      </c>
      <c r="G32" s="11"/>
      <c r="H32" s="68">
        <f t="shared" si="51"/>
        <v>5.2577413125004979E-4</v>
      </c>
      <c r="I32" s="68">
        <f>'RD T1'!E60</f>
        <v>1.0102253247521759E-3</v>
      </c>
      <c r="J32" s="68">
        <f t="shared" si="26"/>
        <v>1.5359994560022257E-3</v>
      </c>
      <c r="L32" t="str">
        <f t="shared" si="27"/>
        <v>91 Elementary trades and related occupations</v>
      </c>
      <c r="M32" s="68">
        <v>0.51273254625993803</v>
      </c>
      <c r="N32" s="68">
        <v>0.64539152127425681</v>
      </c>
      <c r="O32" s="68">
        <v>0.55380605832537921</v>
      </c>
      <c r="P32" s="68">
        <v>0.63793732366889033</v>
      </c>
      <c r="Q32" s="68">
        <v>0.90678557892168143</v>
      </c>
      <c r="R32" s="11"/>
      <c r="S32" s="68">
        <f t="shared" si="28"/>
        <v>0.35297952059630222</v>
      </c>
      <c r="T32" s="68">
        <f>'RD T1'!E89</f>
        <v>0.35127717240241235</v>
      </c>
      <c r="U32" s="68">
        <f t="shared" si="29"/>
        <v>0.70425669299871463</v>
      </c>
      <c r="W32" t="str">
        <f t="shared" si="30"/>
        <v>91 Elementary trades and related occupations</v>
      </c>
      <c r="X32" s="68">
        <v>1.9042998205092609</v>
      </c>
      <c r="Y32" s="68">
        <v>2.0096699738468486</v>
      </c>
      <c r="Z32" s="68">
        <v>2.091169290854936</v>
      </c>
      <c r="AA32" s="68">
        <v>2.047786934889678</v>
      </c>
      <c r="AB32" s="68">
        <v>2.5259329402401423</v>
      </c>
      <c r="AC32" s="68"/>
      <c r="AD32" s="68">
        <f t="shared" si="31"/>
        <v>0.43476364938520629</v>
      </c>
      <c r="AE32" s="68">
        <f>'RD T1'!E118</f>
        <v>1.3475190412499458</v>
      </c>
      <c r="AF32" s="68">
        <f t="shared" si="32"/>
        <v>1.7822826906351521</v>
      </c>
      <c r="AH32" t="str">
        <f t="shared" si="33"/>
        <v>91 Elementary trades and related occupations</v>
      </c>
      <c r="AI32" s="68">
        <v>1.3919566664220278</v>
      </c>
      <c r="AJ32" s="68">
        <v>1.5059600715571893</v>
      </c>
      <c r="AK32" s="68">
        <v>1.5244610398831835</v>
      </c>
      <c r="AL32" s="68">
        <v>1.4427646056371268</v>
      </c>
      <c r="AM32" s="68">
        <v>1.8470074980260132</v>
      </c>
      <c r="AN32" s="68"/>
      <c r="AO32" s="68">
        <f t="shared" si="34"/>
        <v>0.32254645814282967</v>
      </c>
      <c r="AP32" s="68">
        <f>'RD T1'!E147</f>
        <v>0.97195202219297938</v>
      </c>
      <c r="AQ32" s="68">
        <f t="shared" si="35"/>
        <v>1.2944984803358091</v>
      </c>
      <c r="AS32" t="str">
        <f t="shared" si="36"/>
        <v>91 Elementary trades and related occupations</v>
      </c>
      <c r="AT32" s="68">
        <v>1.4375672260772858</v>
      </c>
      <c r="AU32" s="68">
        <v>1.418085366062815</v>
      </c>
      <c r="AV32" s="68">
        <v>1.6734431361935971</v>
      </c>
      <c r="AW32" s="68">
        <v>1.6197770766935251</v>
      </c>
      <c r="AX32" s="68">
        <v>1.9449048020619486</v>
      </c>
      <c r="AY32" s="68"/>
      <c r="AZ32" s="68">
        <f t="shared" si="37"/>
        <v>0.27146166586835152</v>
      </c>
      <c r="BA32" s="68">
        <f>'RD T1'!E176</f>
        <v>0.93899674983181403</v>
      </c>
      <c r="BB32" s="68">
        <f t="shared" si="38"/>
        <v>1.2104584157001654</v>
      </c>
      <c r="BD32" t="str">
        <f t="shared" si="39"/>
        <v>91 Elementary trades and related occupations</v>
      </c>
      <c r="BE32" s="68">
        <v>7.6282482213312877</v>
      </c>
      <c r="BF32" s="68">
        <v>7.4911633796229298</v>
      </c>
      <c r="BG32" s="68">
        <v>6.783133276656474</v>
      </c>
      <c r="BH32" s="68">
        <v>6.2359380084292804</v>
      </c>
      <c r="BI32" s="68">
        <v>7.1532249228443758</v>
      </c>
      <c r="BJ32" s="68"/>
      <c r="BK32" s="68">
        <f t="shared" si="40"/>
        <v>0.3700916461879018</v>
      </c>
      <c r="BL32" s="68">
        <f>'RD T1'!E205</f>
        <v>2.3742104493669869</v>
      </c>
      <c r="BM32" s="68">
        <f t="shared" si="41"/>
        <v>2.7443020955548887</v>
      </c>
      <c r="BO32" t="str">
        <f t="shared" si="42"/>
        <v>91 Elementary trades and related occupations</v>
      </c>
      <c r="BP32" s="68">
        <v>13.37268447996505</v>
      </c>
      <c r="BQ32" s="68">
        <v>12.034188951616501</v>
      </c>
      <c r="BR32" s="68">
        <v>10.849296829772342</v>
      </c>
      <c r="BS32" s="68">
        <v>8.5723078135071518</v>
      </c>
      <c r="BT32" s="68">
        <v>7.5469268770677962</v>
      </c>
      <c r="BU32" s="68"/>
      <c r="BV32" s="68">
        <f t="shared" si="43"/>
        <v>-3.302369952704546</v>
      </c>
      <c r="BW32" s="68">
        <f>'RD T1'!E234</f>
        <v>3.1875344088431947</v>
      </c>
      <c r="BX32" s="68">
        <f t="shared" si="44"/>
        <v>-0.11483554386135131</v>
      </c>
      <c r="BZ32" t="str">
        <f t="shared" si="45"/>
        <v>91 Elementary trades and related occupations</v>
      </c>
      <c r="CA32" s="68">
        <v>18.732413225469674</v>
      </c>
      <c r="CB32" s="68">
        <v>16.161395060306361</v>
      </c>
      <c r="CC32" s="68">
        <v>15.235790674416139</v>
      </c>
      <c r="CD32" s="68">
        <v>11.523098076261094</v>
      </c>
      <c r="CE32" s="68">
        <v>8.9600084439763652</v>
      </c>
      <c r="CF32" s="68"/>
      <c r="CG32" s="68">
        <f t="shared" si="46"/>
        <v>-6.2757822304397735</v>
      </c>
      <c r="CH32" s="68">
        <f>'RD T1'!E263</f>
        <v>4.4827118852737327</v>
      </c>
      <c r="CI32" s="68">
        <f t="shared" si="47"/>
        <v>-1.7930703451660408</v>
      </c>
      <c r="CK32" t="str">
        <f t="shared" si="48"/>
        <v>91 Elementary trades and related occupations</v>
      </c>
      <c r="CL32" s="68">
        <v>7.2702024903765974</v>
      </c>
      <c r="CM32" s="68">
        <v>6.7471150392889534</v>
      </c>
      <c r="CN32" s="68">
        <v>5.7208586718439234</v>
      </c>
      <c r="CO32" s="68">
        <v>5.2779399186618301</v>
      </c>
      <c r="CP32" s="68">
        <v>3.9547271794208672</v>
      </c>
      <c r="CQ32" s="68"/>
      <c r="CR32" s="68">
        <f t="shared" si="49"/>
        <v>-1.7661314924230562</v>
      </c>
      <c r="CS32" s="68">
        <f>'RD T1'!E292</f>
        <v>1.4823806985399366</v>
      </c>
      <c r="CT32" s="68">
        <f t="shared" si="50"/>
        <v>-0.28375079388311963</v>
      </c>
    </row>
    <row r="33" spans="1:98" x14ac:dyDescent="0.2">
      <c r="A33" s="10" t="str">
        <f>name!D29</f>
        <v>92 Elementary administration and service occupations</v>
      </c>
      <c r="B33" s="68">
        <v>0.13588552557322128</v>
      </c>
      <c r="C33" s="68">
        <v>0.16969547717575723</v>
      </c>
      <c r="D33" s="68">
        <v>0.14642683525865008</v>
      </c>
      <c r="E33" s="68">
        <v>0.20321026053790761</v>
      </c>
      <c r="F33" s="68">
        <v>0.30314550158448772</v>
      </c>
      <c r="G33" s="11"/>
      <c r="H33" s="68">
        <f t="shared" ref="H33" si="52">F33-D33</f>
        <v>0.15671866632583764</v>
      </c>
      <c r="I33" s="68">
        <f>'RD T1'!E61</f>
        <v>0.11720140280648142</v>
      </c>
      <c r="J33" s="68">
        <f>SUM(H33:I33)</f>
        <v>0.27392006913231903</v>
      </c>
      <c r="L33" t="str">
        <f t="shared" ref="L33" si="53">A33</f>
        <v>92 Elementary administration and service occupations</v>
      </c>
      <c r="M33" s="68">
        <v>3.0832217360677037</v>
      </c>
      <c r="N33" s="68">
        <v>4.038686838108549</v>
      </c>
      <c r="O33" s="68">
        <v>3.4892072112308559</v>
      </c>
      <c r="P33" s="68">
        <v>4.8262633446290772</v>
      </c>
      <c r="Q33" s="68">
        <v>7.4070469797074345</v>
      </c>
      <c r="R33" s="11"/>
      <c r="S33" s="68">
        <f t="shared" ref="S33" si="54">Q33-O33</f>
        <v>3.9178397684765787</v>
      </c>
      <c r="T33" s="68">
        <f>'RD T1'!E90</f>
        <v>2.8167353433845044</v>
      </c>
      <c r="U33" s="68">
        <f t="shared" ref="U33" si="55">SUM(S33:T33)</f>
        <v>6.7345751118610835</v>
      </c>
      <c r="W33" t="str">
        <f t="shared" ref="W33" si="56">A33</f>
        <v>92 Elementary administration and service occupations</v>
      </c>
      <c r="X33" s="68">
        <v>13.125968179749757</v>
      </c>
      <c r="Y33" s="68">
        <v>14.588774274809332</v>
      </c>
      <c r="Z33" s="68">
        <v>15.060198091183464</v>
      </c>
      <c r="AA33" s="68">
        <v>18.217387353022264</v>
      </c>
      <c r="AB33" s="68">
        <v>24.676120512735</v>
      </c>
      <c r="AC33" s="68"/>
      <c r="AD33" s="68">
        <f t="shared" ref="AD33" si="57">AB33-Z33</f>
        <v>9.6159224215515362</v>
      </c>
      <c r="AE33" s="68">
        <f>'RD T1'!E119</f>
        <v>12.314009782735811</v>
      </c>
      <c r="AF33" s="68">
        <f t="shared" ref="AF33" si="58">SUM(AD33:AE33)</f>
        <v>21.929932204287347</v>
      </c>
      <c r="AH33" t="str">
        <f t="shared" ref="AH33" si="59">L33</f>
        <v>92 Elementary administration and service occupations</v>
      </c>
      <c r="AI33" s="68">
        <v>6.3324422636487832</v>
      </c>
      <c r="AJ33" s="68">
        <v>6.9308433516153469</v>
      </c>
      <c r="AK33" s="68">
        <v>7.2285210446503578</v>
      </c>
      <c r="AL33" s="68">
        <v>8.6626385574122651</v>
      </c>
      <c r="AM33" s="68">
        <v>11.944403872405374</v>
      </c>
      <c r="AN33" s="68"/>
      <c r="AO33" s="68">
        <f t="shared" ref="AO33" si="60">AM33-AK33</f>
        <v>4.7158828277550162</v>
      </c>
      <c r="AP33" s="68">
        <f>'RD T1'!E148</f>
        <v>5.6167452226208425</v>
      </c>
      <c r="AQ33" s="68">
        <f t="shared" ref="AQ33" si="61">SUM(AO33:AP33)</f>
        <v>10.33262805037586</v>
      </c>
      <c r="AS33" t="str">
        <f t="shared" ref="AS33" si="62">W33</f>
        <v>92 Elementary administration and service occupations</v>
      </c>
      <c r="AT33" s="68">
        <v>5.6653460250204182</v>
      </c>
      <c r="AU33" s="68">
        <v>6.0846697295061238</v>
      </c>
      <c r="AV33" s="68">
        <v>6.4752225667903476</v>
      </c>
      <c r="AW33" s="68">
        <v>7.468774346313289</v>
      </c>
      <c r="AX33" s="68">
        <v>9.955667702111743</v>
      </c>
      <c r="AY33" s="68"/>
      <c r="AZ33" s="68">
        <f t="shared" ref="AZ33" si="63">AX33-AV33</f>
        <v>3.4804451353213954</v>
      </c>
      <c r="BA33" s="68">
        <f>'RD T1'!E177</f>
        <v>4.7913529879672714</v>
      </c>
      <c r="BB33" s="68">
        <f t="shared" ref="BB33" si="64">SUM(AZ33:BA33)</f>
        <v>8.2717981232886668</v>
      </c>
      <c r="BD33" t="str">
        <f t="shared" ref="BD33" si="65">AH33</f>
        <v>92 Elementary administration and service occupations</v>
      </c>
      <c r="BE33" s="68">
        <v>39.142949425488069</v>
      </c>
      <c r="BF33" s="68">
        <v>40.704407395850623</v>
      </c>
      <c r="BG33" s="68">
        <v>38.384937970705565</v>
      </c>
      <c r="BH33" s="68">
        <v>38.311283457040027</v>
      </c>
      <c r="BI33" s="68">
        <v>39.776084729630057</v>
      </c>
      <c r="BJ33" s="68"/>
      <c r="BK33" s="68">
        <f t="shared" ref="BK33" si="66">BI33-BG33</f>
        <v>1.3911467589244921</v>
      </c>
      <c r="BL33" s="68">
        <f>'RD T1'!E206</f>
        <v>17.997686437943102</v>
      </c>
      <c r="BM33" s="68">
        <f t="shared" ref="BM33" si="67">SUM(BK33:BL33)</f>
        <v>19.388833196867594</v>
      </c>
      <c r="BO33" t="str">
        <f t="shared" ref="BO33" si="68">AS33</f>
        <v>92 Elementary administration and service occupations</v>
      </c>
      <c r="BP33" s="68">
        <v>66.776796351047253</v>
      </c>
      <c r="BQ33" s="68">
        <v>68.80963284606338</v>
      </c>
      <c r="BR33" s="68">
        <v>62.57427141915057</v>
      </c>
      <c r="BS33" s="68">
        <v>61.439012335453825</v>
      </c>
      <c r="BT33" s="68">
        <v>55.021489124930334</v>
      </c>
      <c r="BU33" s="68"/>
      <c r="BV33" s="68">
        <f t="shared" ref="BV33" si="69">BT33-BR33</f>
        <v>-7.5527822942202363</v>
      </c>
      <c r="BW33" s="68">
        <f>'RD T1'!E235</f>
        <v>28.428386580703989</v>
      </c>
      <c r="BX33" s="68">
        <f t="shared" ref="BX33" si="70">SUM(BV33:BW33)</f>
        <v>20.875604286483753</v>
      </c>
      <c r="BZ33" t="str">
        <f t="shared" ref="BZ33" si="71">BD33</f>
        <v>92 Elementary administration and service occupations</v>
      </c>
      <c r="CA33" s="68">
        <v>68.961247487616845</v>
      </c>
      <c r="CB33" s="68">
        <v>58.89030560101709</v>
      </c>
      <c r="CC33" s="68">
        <v>56.746439080394438</v>
      </c>
      <c r="CD33" s="68">
        <v>54.640519517647341</v>
      </c>
      <c r="CE33" s="68">
        <v>36.052980606925281</v>
      </c>
      <c r="CF33" s="68"/>
      <c r="CG33" s="68">
        <f t="shared" ref="CG33" si="72">CE33-CC33</f>
        <v>-20.693458473469157</v>
      </c>
      <c r="CH33" s="68">
        <f>'RD T1'!E264</f>
        <v>19.241296631417661</v>
      </c>
      <c r="CI33" s="68">
        <f t="shared" ref="CI33" si="73">SUM(CG33:CH33)</f>
        <v>-1.4521618420514955</v>
      </c>
      <c r="CK33" t="str">
        <f t="shared" ref="CK33" si="74">BO33</f>
        <v>92 Elementary administration and service occupations</v>
      </c>
      <c r="CL33" s="68">
        <v>26.558814319967929</v>
      </c>
      <c r="CM33" s="68">
        <v>20.693478594678925</v>
      </c>
      <c r="CN33" s="68">
        <v>15.452925460792875</v>
      </c>
      <c r="CO33" s="68">
        <v>11.731486451561279</v>
      </c>
      <c r="CP33" s="68">
        <v>6.9624689260141537</v>
      </c>
      <c r="CQ33" s="68"/>
      <c r="CR33" s="68">
        <f t="shared" ref="CR33" si="75">CP33-CN33</f>
        <v>-8.4904565347787209</v>
      </c>
      <c r="CS33" s="68">
        <f>'RD T1'!E293</f>
        <v>2.9657029676845168</v>
      </c>
      <c r="CT33" s="68">
        <f t="shared" ref="CT33" si="76">SUM(CR33:CS33)</f>
        <v>-5.5247535670942041</v>
      </c>
    </row>
    <row r="34" spans="1:98" x14ac:dyDescent="0.2">
      <c r="B34" s="11"/>
      <c r="C34" s="11"/>
      <c r="D34" s="11"/>
      <c r="E34" s="11"/>
      <c r="F34" s="11"/>
      <c r="G34" s="11"/>
      <c r="H34" s="68"/>
      <c r="I34" s="68"/>
      <c r="J34" s="68"/>
      <c r="M34" s="68"/>
      <c r="N34" s="68"/>
      <c r="O34" s="68"/>
      <c r="P34" s="68"/>
      <c r="Q34" s="68"/>
      <c r="R34" s="11"/>
      <c r="S34" s="68"/>
      <c r="T34" s="68"/>
      <c r="U34" s="68"/>
      <c r="X34" s="68"/>
      <c r="Y34" s="68"/>
      <c r="Z34" s="68"/>
      <c r="AA34" s="68"/>
      <c r="AB34" s="68"/>
      <c r="AC34" s="68"/>
      <c r="AD34" s="68"/>
      <c r="AE34" s="68"/>
      <c r="AF34" s="68"/>
      <c r="AI34" s="68"/>
      <c r="AJ34" s="68"/>
      <c r="AK34" s="68"/>
      <c r="AL34" s="68"/>
      <c r="AM34" s="68"/>
      <c r="AN34" s="68"/>
      <c r="AO34" s="68"/>
      <c r="AP34" s="68"/>
      <c r="AQ34" s="68"/>
      <c r="AT34" s="68"/>
      <c r="AU34" s="68"/>
      <c r="AV34" s="68"/>
      <c r="AW34" s="68"/>
      <c r="AX34" s="68"/>
      <c r="AY34" s="68"/>
      <c r="AZ34" s="68"/>
      <c r="BA34" s="68"/>
      <c r="BB34" s="68"/>
      <c r="BE34" s="68"/>
      <c r="BF34" s="68"/>
      <c r="BG34" s="68"/>
      <c r="BH34" s="68"/>
      <c r="BI34" s="68"/>
      <c r="BJ34" s="68"/>
      <c r="BK34" s="68"/>
      <c r="BL34" s="68"/>
      <c r="BM34" s="68"/>
      <c r="BP34" s="68"/>
      <c r="BQ34" s="68"/>
      <c r="BR34" s="68"/>
      <c r="BS34" s="68"/>
      <c r="BT34" s="68"/>
      <c r="BU34" s="68"/>
      <c r="BV34" s="68"/>
      <c r="BW34" s="68"/>
      <c r="BX34" s="68"/>
      <c r="CA34" s="68"/>
      <c r="CB34" s="68"/>
      <c r="CC34" s="68"/>
      <c r="CD34" s="68"/>
      <c r="CE34" s="68"/>
      <c r="CF34" s="68"/>
      <c r="CG34" s="68"/>
      <c r="CH34" s="68"/>
      <c r="CI34" s="68"/>
      <c r="CL34" s="68"/>
      <c r="CM34" s="68"/>
      <c r="CN34" s="68"/>
      <c r="CO34" s="68"/>
      <c r="CP34" s="68"/>
      <c r="CQ34" s="68"/>
      <c r="CR34" s="68"/>
      <c r="CS34" s="68"/>
      <c r="CT34" s="68"/>
    </row>
    <row r="35" spans="1:98" x14ac:dyDescent="0.2">
      <c r="A35" s="231" t="str">
        <f>name!D3</f>
        <v>All occupations</v>
      </c>
      <c r="B35" s="66">
        <f>SUM(B8:B33)</f>
        <v>23.913964921187773</v>
      </c>
      <c r="C35" s="66">
        <f t="shared" ref="C35:F35" si="77">SUM(C8:C33)</f>
        <v>32.613949913739638</v>
      </c>
      <c r="D35" s="66">
        <f t="shared" si="77"/>
        <v>30.954057953835957</v>
      </c>
      <c r="E35" s="66">
        <f t="shared" si="77"/>
        <v>37.596142868160427</v>
      </c>
      <c r="F35" s="66">
        <f t="shared" si="77"/>
        <v>48.860340121758824</v>
      </c>
      <c r="G35" s="11"/>
      <c r="H35" s="66">
        <f>F35-D35</f>
        <v>17.906282167922868</v>
      </c>
      <c r="I35" s="66">
        <f>SUM(I8:I33)</f>
        <v>18.327489579041742</v>
      </c>
      <c r="J35" s="66">
        <f>SUM(H35:I35)</f>
        <v>36.233771746964607</v>
      </c>
      <c r="L35" s="23" t="str">
        <f>A35</f>
        <v>All occupations</v>
      </c>
      <c r="M35" s="66">
        <f>SUM(M8:M33)</f>
        <v>160.42965103922194</v>
      </c>
      <c r="N35" s="66">
        <f t="shared" ref="N35:Q35" si="78">SUM(N8:N33)</f>
        <v>227.87188562349053</v>
      </c>
      <c r="O35" s="66">
        <f t="shared" si="78"/>
        <v>212.99487870195171</v>
      </c>
      <c r="P35" s="66">
        <f t="shared" si="78"/>
        <v>258.63593530804241</v>
      </c>
      <c r="Q35" s="66">
        <f t="shared" si="78"/>
        <v>340.01785069760444</v>
      </c>
      <c r="R35" s="11"/>
      <c r="S35" s="66">
        <f>Q35-O35</f>
        <v>127.02297199565274</v>
      </c>
      <c r="T35" s="66">
        <f>SUM(T8:T33)</f>
        <v>131.24264570915571</v>
      </c>
      <c r="U35" s="66">
        <f>SUM(S35:T35)</f>
        <v>258.26561770480845</v>
      </c>
      <c r="W35" s="23" t="str">
        <f>A35</f>
        <v>All occupations</v>
      </c>
      <c r="X35" s="66">
        <f>SUM(X8:X33)</f>
        <v>380.75669432289186</v>
      </c>
      <c r="Y35" s="66">
        <f t="shared" ref="Y35:AB35" si="79">SUM(Y8:Y33)</f>
        <v>412.00306056156478</v>
      </c>
      <c r="Z35" s="66">
        <f t="shared" si="79"/>
        <v>457.17129301962871</v>
      </c>
      <c r="AA35" s="66">
        <f t="shared" si="79"/>
        <v>501.0522827853793</v>
      </c>
      <c r="AB35" s="66">
        <f t="shared" si="79"/>
        <v>607.10599253045666</v>
      </c>
      <c r="AC35" s="11"/>
      <c r="AD35" s="66">
        <f>AB35-Z35</f>
        <v>149.93469951082795</v>
      </c>
      <c r="AE35" s="66">
        <f>SUM(AE8:AE33)</f>
        <v>293.04021579843993</v>
      </c>
      <c r="AF35" s="66">
        <f>SUM(AD35:AE35)</f>
        <v>442.97491530926789</v>
      </c>
      <c r="AH35" s="23" t="str">
        <f>L35</f>
        <v>All occupations</v>
      </c>
      <c r="AI35" s="66">
        <f>SUM(AI8:AI33)</f>
        <v>123.06624477321458</v>
      </c>
      <c r="AJ35" s="66">
        <f t="shared" ref="AJ35:AM35" si="80">SUM(AJ8:AJ33)</f>
        <v>121.4538850202924</v>
      </c>
      <c r="AK35" s="66">
        <f t="shared" si="80"/>
        <v>128.11968402111785</v>
      </c>
      <c r="AL35" s="66">
        <f t="shared" si="80"/>
        <v>131.79415220350816</v>
      </c>
      <c r="AM35" s="66">
        <f t="shared" si="80"/>
        <v>152.52117230598691</v>
      </c>
      <c r="AN35" s="11"/>
      <c r="AO35" s="66">
        <f>AM35-AK35</f>
        <v>24.40148828486906</v>
      </c>
      <c r="AP35" s="66">
        <f>SUM(AP8:AP33)</f>
        <v>74.491025837798304</v>
      </c>
      <c r="AQ35" s="66">
        <f>SUM(AO35:AP35)</f>
        <v>98.892514122667365</v>
      </c>
      <c r="AS35" s="23" t="str">
        <f>W35</f>
        <v>All occupations</v>
      </c>
      <c r="AT35" s="66">
        <f>SUM(AT8:AT33)</f>
        <v>116.80027616033051</v>
      </c>
      <c r="AU35" s="66">
        <f t="shared" ref="AU35:AX35" si="81">SUM(AU8:AU33)</f>
        <v>119.52488795776817</v>
      </c>
      <c r="AV35" s="66">
        <f t="shared" si="81"/>
        <v>134.63984360110572</v>
      </c>
      <c r="AW35" s="66">
        <f t="shared" si="81"/>
        <v>142.04375859989193</v>
      </c>
      <c r="AX35" s="66">
        <f t="shared" si="81"/>
        <v>169.13539239221706</v>
      </c>
      <c r="AY35" s="11"/>
      <c r="AZ35" s="66">
        <f>AX35-AV35</f>
        <v>34.495548791111332</v>
      </c>
      <c r="BA35" s="66">
        <f>SUM(BA8:BA33)</f>
        <v>77.961217128976116</v>
      </c>
      <c r="BB35" s="66">
        <f>SUM(AZ35:BA35)</f>
        <v>112.45676592008745</v>
      </c>
      <c r="BD35" s="23" t="str">
        <f>AH35</f>
        <v>All occupations</v>
      </c>
      <c r="BE35" s="66">
        <f>SUM(BE8:BE33)</f>
        <v>484.45172860631851</v>
      </c>
      <c r="BF35" s="66">
        <f t="shared" ref="BF35:BI35" si="82">SUM(BF8:BF33)</f>
        <v>544.17211461117756</v>
      </c>
      <c r="BG35" s="66">
        <f t="shared" si="82"/>
        <v>534.71951434715425</v>
      </c>
      <c r="BH35" s="66">
        <f t="shared" si="82"/>
        <v>544.25280129794055</v>
      </c>
      <c r="BI35" s="66">
        <f t="shared" si="82"/>
        <v>570.45544529511585</v>
      </c>
      <c r="BJ35" s="11"/>
      <c r="BK35" s="66">
        <f>BI35-BG35</f>
        <v>35.735930947961606</v>
      </c>
      <c r="BL35" s="66">
        <f>SUM(BL8:BL33)</f>
        <v>247.87179888092658</v>
      </c>
      <c r="BM35" s="66">
        <f>SUM(BK35:BL35)</f>
        <v>283.60772982888818</v>
      </c>
      <c r="BO35" s="23" t="str">
        <f>AS35</f>
        <v>All occupations</v>
      </c>
      <c r="BP35" s="66">
        <f>SUM(BP8:BP33)</f>
        <v>502.40734819505525</v>
      </c>
      <c r="BQ35" s="66">
        <f t="shared" ref="BQ35:BT35" si="83">SUM(BQ8:BQ33)</f>
        <v>520.14831394457292</v>
      </c>
      <c r="BR35" s="66">
        <f t="shared" si="83"/>
        <v>497.25386739097837</v>
      </c>
      <c r="BS35" s="66">
        <f t="shared" si="83"/>
        <v>461.39481487496039</v>
      </c>
      <c r="BT35" s="66">
        <f t="shared" si="83"/>
        <v>384.79903691566773</v>
      </c>
      <c r="BU35" s="11"/>
      <c r="BV35" s="66">
        <f>BT35-BR35</f>
        <v>-112.45483047531064</v>
      </c>
      <c r="BW35" s="66">
        <f>SUM(BW8:BW33)</f>
        <v>203.37852299288124</v>
      </c>
      <c r="BX35" s="66">
        <f>SUM(BV35:BW35)</f>
        <v>90.923692517570601</v>
      </c>
      <c r="BZ35" s="23" t="str">
        <f>BD35</f>
        <v>All occupations</v>
      </c>
      <c r="CA35" s="66">
        <f>SUM(CA8:CA33)</f>
        <v>372.70232854631297</v>
      </c>
      <c r="CB35" s="66">
        <f t="shared" ref="CB35:CE35" si="84">SUM(CB8:CB33)</f>
        <v>324.02911493315099</v>
      </c>
      <c r="CC35" s="66">
        <f t="shared" si="84"/>
        <v>321.22551859382463</v>
      </c>
      <c r="CD35" s="66">
        <f t="shared" si="84"/>
        <v>283.66005633997958</v>
      </c>
      <c r="CE35" s="66">
        <f t="shared" si="84"/>
        <v>178.85291862942211</v>
      </c>
      <c r="CF35" s="11"/>
      <c r="CG35" s="66">
        <f>CE35-CC35</f>
        <v>-142.37259996440253</v>
      </c>
      <c r="CH35" s="66">
        <f>SUM(CH8:CH33)</f>
        <v>100.61193692871583</v>
      </c>
      <c r="CI35" s="66">
        <f>SUM(CG35:CH35)</f>
        <v>-41.76066303568669</v>
      </c>
      <c r="CK35" s="23" t="str">
        <f>BO35</f>
        <v>All occupations</v>
      </c>
      <c r="CL35" s="66">
        <f>SUM(CL8:CL33)</f>
        <v>109.96276343469523</v>
      </c>
      <c r="CM35" s="66">
        <f t="shared" ref="CM35:CO35" si="85">SUM(CM8:CM33)</f>
        <v>103.56678743304899</v>
      </c>
      <c r="CN35" s="66">
        <f>SUM(CN8:CN33)</f>
        <v>87.159342368740354</v>
      </c>
      <c r="CO35" s="66">
        <f t="shared" si="85"/>
        <v>82.370055726837521</v>
      </c>
      <c r="CP35" s="66">
        <f>SUM(CP8:CP33)</f>
        <v>58.945851111039694</v>
      </c>
      <c r="CQ35" s="11"/>
      <c r="CR35" s="66">
        <f>CP35-CN35</f>
        <v>-28.21349125770066</v>
      </c>
      <c r="CS35" s="66">
        <f>SUM(CS8:CS33)</f>
        <v>24.903913287496991</v>
      </c>
      <c r="CT35" s="66">
        <f>SUM(CR35:CS35)</f>
        <v>-3.3095779702036694</v>
      </c>
    </row>
    <row r="38" spans="1:98" ht="52.5" customHeight="1" x14ac:dyDescent="0.2">
      <c r="A38" s="378" t="str">
        <f>CONCATENATE(A$1," (Continued)")</f>
        <v>Basic Table 2  Employment Change by Occupation and Replacement Demand, RQF8 Doctorate, 2015-2035, East Midlands (Continued)</v>
      </c>
      <c r="B38" s="378"/>
      <c r="C38" s="378"/>
      <c r="D38" s="378"/>
      <c r="E38" s="378"/>
      <c r="F38" s="378"/>
      <c r="G38" s="378"/>
      <c r="H38" s="378"/>
      <c r="I38" s="378"/>
      <c r="J38" s="378"/>
      <c r="L38" s="378" t="str">
        <f>CONCATENATE(L$1," (Continued)")</f>
        <v>Basic Table 2.1  Employment Change by Occupation and Replacement Demand, RQF7 Other higher degree, 2015-2035, East Midlands (Continued)</v>
      </c>
      <c r="M38" s="378"/>
      <c r="N38" s="378"/>
      <c r="O38" s="378"/>
      <c r="P38" s="378"/>
      <c r="Q38" s="378"/>
      <c r="R38" s="378"/>
      <c r="S38" s="378"/>
      <c r="T38" s="378"/>
      <c r="U38" s="378"/>
      <c r="W38" s="378" t="str">
        <f>CONCATENATE(W$1," (Continued)")</f>
        <v>Basic Table 2.2  Employment Change by Occupation and Replacement Demand, RQF6 First degree, 2015-2035, East Midlands (Continued)</v>
      </c>
      <c r="X38" s="378"/>
      <c r="Y38" s="378"/>
      <c r="Z38" s="378"/>
      <c r="AA38" s="378"/>
      <c r="AB38" s="378"/>
      <c r="AC38" s="378"/>
      <c r="AD38" s="378"/>
      <c r="AE38" s="378"/>
      <c r="AF38" s="378"/>
      <c r="AH38" s="378" t="str">
        <f>CONCATENATE(AH$1," (Continued)")</f>
        <v>Basic Table 2.3  Employment Change by Occupation and Replacement Demand, RQF5 Foundation degree;Nursing;Teaching, 2015-2035, East Midlands (Continued)</v>
      </c>
      <c r="AI38" s="378"/>
      <c r="AJ38" s="378"/>
      <c r="AK38" s="378"/>
      <c r="AL38" s="378"/>
      <c r="AM38" s="378"/>
      <c r="AN38" s="378"/>
      <c r="AO38" s="378"/>
      <c r="AP38" s="378"/>
      <c r="AQ38" s="378"/>
      <c r="AS38" s="378" t="str">
        <f>CONCATENATE(AS$1," (Continued)")</f>
        <v>Basic Table 2.4  Employment Change by Occupation and Replacement Demand, RQF4 HE below degree level, 2015-2035, East Midlands (Continued)</v>
      </c>
      <c r="AT38" s="378"/>
      <c r="AU38" s="378"/>
      <c r="AV38" s="378"/>
      <c r="AW38" s="378"/>
      <c r="AX38" s="378"/>
      <c r="AY38" s="378"/>
      <c r="AZ38" s="378"/>
      <c r="BA38" s="378"/>
      <c r="BB38" s="378"/>
      <c r="BD38" s="378" t="str">
        <f>CONCATENATE(BD$1," (Continued)")</f>
        <v>Basic Table 2.5  Employment Change by Occupation and Replacement Demand, RQF3 A level &amp; equivalent, 2015-2035, East Midlands (Continued)</v>
      </c>
      <c r="BE38" s="378"/>
      <c r="BF38" s="378"/>
      <c r="BG38" s="378"/>
      <c r="BH38" s="378"/>
      <c r="BI38" s="378"/>
      <c r="BJ38" s="378"/>
      <c r="BK38" s="378"/>
      <c r="BL38" s="378"/>
      <c r="BM38" s="378"/>
      <c r="BO38" s="378" t="str">
        <f>CONCATENATE(BO$1," (Continued)")</f>
        <v>Basic Table 2.6  Employment Change by Occupation and Replacement Demand, RQF2 GCSE(A-C) &amp; equivalent, 2015-2035, East Midlands (Continued)</v>
      </c>
      <c r="BP38" s="378"/>
      <c r="BQ38" s="378"/>
      <c r="BR38" s="378"/>
      <c r="BS38" s="378"/>
      <c r="BT38" s="378"/>
      <c r="BU38" s="378"/>
      <c r="BV38" s="378"/>
      <c r="BW38" s="378"/>
      <c r="BX38" s="378"/>
      <c r="BZ38" s="378" t="str">
        <f>CONCATENATE(BZ$1," (Continued)")</f>
        <v>Basic Table 2.7  Employment Change by Occupation and Replacement Demand, RQF1 GCSE(below grade C) &amp; equivalent, 2015-2035, East Midlands (Continued)</v>
      </c>
      <c r="CA38" s="378"/>
      <c r="CB38" s="378"/>
      <c r="CC38" s="378"/>
      <c r="CD38" s="378"/>
      <c r="CE38" s="378"/>
      <c r="CF38" s="378"/>
      <c r="CG38" s="378"/>
      <c r="CH38" s="378"/>
      <c r="CI38" s="378"/>
      <c r="CK38" s="378" t="str">
        <f>CONCATENATE(CK$1," (Continued)")</f>
        <v>Basic Table 2.8  Employment Change by Occupation and Replacement Demand, No Qualification, 2015-2035, East Midlands (Continued)</v>
      </c>
      <c r="CL38" s="378"/>
      <c r="CM38" s="378"/>
      <c r="CN38" s="378"/>
      <c r="CO38" s="378"/>
      <c r="CP38" s="378"/>
      <c r="CQ38" s="378"/>
      <c r="CR38" s="378"/>
      <c r="CS38" s="378"/>
      <c r="CT38" s="378"/>
    </row>
    <row r="39" spans="1:98" ht="12.75" customHeight="1" x14ac:dyDescent="0.2"/>
    <row r="40" spans="1:98" ht="12.75" customHeight="1" x14ac:dyDescent="0.2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  <c r="AM40" s="15" t="s">
        <v>34</v>
      </c>
      <c r="AQ40" s="15" t="s">
        <v>34</v>
      </c>
      <c r="AX40" s="15" t="s">
        <v>34</v>
      </c>
      <c r="BB40" s="15" t="s">
        <v>34</v>
      </c>
      <c r="BI40" s="15" t="s">
        <v>34</v>
      </c>
      <c r="BM40" s="15" t="s">
        <v>34</v>
      </c>
      <c r="BT40" s="15" t="s">
        <v>34</v>
      </c>
      <c r="BX40" s="15" t="s">
        <v>34</v>
      </c>
      <c r="CE40" s="15" t="s">
        <v>34</v>
      </c>
      <c r="CI40" s="15" t="s">
        <v>34</v>
      </c>
      <c r="CP40" s="15" t="s">
        <v>34</v>
      </c>
      <c r="CT40" s="15" t="s">
        <v>34</v>
      </c>
    </row>
    <row r="41" spans="1:98" ht="12.75" customHeight="1" x14ac:dyDescent="0.2">
      <c r="A41" s="35"/>
      <c r="B41" s="35"/>
      <c r="C41" s="35"/>
      <c r="D41" s="35"/>
      <c r="E41" s="35"/>
      <c r="F41" s="35"/>
      <c r="H41" s="27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27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27" t="str">
        <f>$H$4</f>
        <v>2020-2035</v>
      </c>
      <c r="AE41" s="35"/>
      <c r="AF41" s="35"/>
      <c r="AH41" s="35"/>
      <c r="AI41" s="35"/>
      <c r="AJ41" s="35"/>
      <c r="AK41" s="35"/>
      <c r="AL41" s="35"/>
      <c r="AM41" s="35"/>
      <c r="AO41" s="27" t="str">
        <f>$H$4</f>
        <v>2020-2035</v>
      </c>
      <c r="AP41" s="35"/>
      <c r="AQ41" s="35"/>
      <c r="AS41" s="35"/>
      <c r="AT41" s="35"/>
      <c r="AU41" s="35"/>
      <c r="AV41" s="35"/>
      <c r="AW41" s="35"/>
      <c r="AX41" s="35"/>
      <c r="AZ41" s="27" t="str">
        <f>$H$4</f>
        <v>2020-2035</v>
      </c>
      <c r="BA41" s="35"/>
      <c r="BB41" s="35"/>
      <c r="BD41" s="35"/>
      <c r="BE41" s="35"/>
      <c r="BF41" s="35"/>
      <c r="BG41" s="35"/>
      <c r="BH41" s="35"/>
      <c r="BI41" s="35"/>
      <c r="BK41" s="27" t="str">
        <f>$H$4</f>
        <v>2020-2035</v>
      </c>
      <c r="BL41" s="35"/>
      <c r="BM41" s="35"/>
      <c r="BO41" s="35"/>
      <c r="BP41" s="35"/>
      <c r="BQ41" s="35"/>
      <c r="BR41" s="35"/>
      <c r="BS41" s="35"/>
      <c r="BT41" s="35"/>
      <c r="BV41" s="27" t="str">
        <f>$H$4</f>
        <v>2020-2035</v>
      </c>
      <c r="BW41" s="35"/>
      <c r="BX41" s="35"/>
      <c r="BZ41" s="35"/>
      <c r="CA41" s="35"/>
      <c r="CB41" s="35"/>
      <c r="CC41" s="35"/>
      <c r="CD41" s="35"/>
      <c r="CE41" s="35"/>
      <c r="CG41" s="27" t="str">
        <f>$H$4</f>
        <v>2020-2035</v>
      </c>
      <c r="CH41" s="35"/>
      <c r="CI41" s="35"/>
      <c r="CK41" s="35"/>
      <c r="CL41" s="35"/>
      <c r="CM41" s="35"/>
      <c r="CN41" s="35"/>
      <c r="CO41" s="35"/>
      <c r="CP41" s="35"/>
      <c r="CR41" s="27" t="str">
        <f>$H$4</f>
        <v>2020-2035</v>
      </c>
      <c r="CS41" s="35"/>
      <c r="CT41" s="35"/>
    </row>
    <row r="42" spans="1:98" ht="12.75" customHeight="1" x14ac:dyDescent="0.2">
      <c r="H42" s="15" t="str">
        <f t="shared" ref="H42:J43" si="86">H5</f>
        <v>Net</v>
      </c>
      <c r="I42" s="15" t="str">
        <f t="shared" si="86"/>
        <v>Replacement</v>
      </c>
      <c r="J42" s="15" t="str">
        <f t="shared" si="86"/>
        <v>Total</v>
      </c>
      <c r="S42" s="15" t="str">
        <f t="shared" ref="S42:U43" si="87">S5</f>
        <v>Net</v>
      </c>
      <c r="T42" s="15" t="str">
        <f t="shared" si="87"/>
        <v>Replacement</v>
      </c>
      <c r="U42" s="15" t="str">
        <f t="shared" si="87"/>
        <v>Total</v>
      </c>
      <c r="AD42" s="15" t="str">
        <f t="shared" ref="AD42:AF43" si="88">AD5</f>
        <v>Net</v>
      </c>
      <c r="AE42" s="15" t="str">
        <f t="shared" si="88"/>
        <v>Replacement</v>
      </c>
      <c r="AF42" s="15" t="str">
        <f t="shared" si="88"/>
        <v>Total</v>
      </c>
      <c r="AO42" s="15" t="str">
        <f t="shared" ref="AO42:AQ43" si="89">AO5</f>
        <v>Net</v>
      </c>
      <c r="AP42" s="15" t="str">
        <f t="shared" si="89"/>
        <v>Replacement</v>
      </c>
      <c r="AQ42" s="15" t="str">
        <f t="shared" si="89"/>
        <v>Total</v>
      </c>
      <c r="AZ42" s="15" t="str">
        <f t="shared" ref="AZ42:BB43" si="90">AZ5</f>
        <v>Net</v>
      </c>
      <c r="BA42" s="15" t="str">
        <f t="shared" si="90"/>
        <v>Replacement</v>
      </c>
      <c r="BB42" s="15" t="str">
        <f t="shared" si="90"/>
        <v>Total</v>
      </c>
      <c r="BK42" s="15" t="str">
        <f t="shared" ref="BK42:BM43" si="91">BK5</f>
        <v>Net</v>
      </c>
      <c r="BL42" s="15" t="str">
        <f t="shared" si="91"/>
        <v>Replacement</v>
      </c>
      <c r="BM42" s="15" t="str">
        <f t="shared" si="91"/>
        <v>Total</v>
      </c>
      <c r="BV42" s="15" t="str">
        <f t="shared" ref="BV42:BX43" si="92">BV5</f>
        <v>Net</v>
      </c>
      <c r="BW42" s="15" t="str">
        <f t="shared" si="92"/>
        <v>Replacement</v>
      </c>
      <c r="BX42" s="15" t="str">
        <f t="shared" si="92"/>
        <v>Total</v>
      </c>
      <c r="CG42" s="15" t="str">
        <f t="shared" ref="CG42:CI43" si="93">CG5</f>
        <v>Net</v>
      </c>
      <c r="CH42" s="15" t="str">
        <f t="shared" si="93"/>
        <v>Replacement</v>
      </c>
      <c r="CI42" s="15" t="str">
        <f t="shared" si="93"/>
        <v>Total</v>
      </c>
      <c r="CR42" s="15" t="str">
        <f t="shared" ref="CR42:CT43" si="94">CR5</f>
        <v>Net</v>
      </c>
      <c r="CS42" s="15" t="str">
        <f t="shared" si="94"/>
        <v>Replacement</v>
      </c>
      <c r="CT42" s="15" t="str">
        <f t="shared" si="94"/>
        <v>Total</v>
      </c>
    </row>
    <row r="43" spans="1:98" ht="12.75" customHeight="1" x14ac:dyDescent="0.2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86"/>
        <v>Change</v>
      </c>
      <c r="I43" s="62" t="str">
        <f t="shared" si="86"/>
        <v>Demand</v>
      </c>
      <c r="J43" s="62" t="str">
        <f t="shared" si="86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si="87"/>
        <v>Change</v>
      </c>
      <c r="T43" s="62" t="str">
        <f t="shared" si="87"/>
        <v>Demand</v>
      </c>
      <c r="U43" s="62" t="str">
        <f t="shared" si="8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si="88"/>
        <v>Change</v>
      </c>
      <c r="AE43" s="62" t="str">
        <f t="shared" si="88"/>
        <v>Demand</v>
      </c>
      <c r="AF43" s="62" t="str">
        <f t="shared" si="88"/>
        <v>Requirement</v>
      </c>
      <c r="AH43" s="40" t="s">
        <v>463</v>
      </c>
      <c r="AI43" s="34">
        <f>AI$6</f>
        <v>2015</v>
      </c>
      <c r="AJ43" s="34">
        <f>AJ$6</f>
        <v>2019</v>
      </c>
      <c r="AK43" s="34">
        <f>AK$6</f>
        <v>2020</v>
      </c>
      <c r="AL43" s="34">
        <f>AL$6</f>
        <v>2025</v>
      </c>
      <c r="AM43" s="34">
        <f>AM$6</f>
        <v>2035</v>
      </c>
      <c r="AO43" s="62" t="str">
        <f t="shared" si="89"/>
        <v>Change</v>
      </c>
      <c r="AP43" s="62" t="str">
        <f t="shared" si="89"/>
        <v>Demand</v>
      </c>
      <c r="AQ43" s="62" t="str">
        <f t="shared" si="89"/>
        <v>Requirement</v>
      </c>
      <c r="AS43" s="40" t="s">
        <v>463</v>
      </c>
      <c r="AT43" s="34">
        <f>AT$6</f>
        <v>2015</v>
      </c>
      <c r="AU43" s="34">
        <f>AU$6</f>
        <v>2019</v>
      </c>
      <c r="AV43" s="34">
        <f>AV$6</f>
        <v>2020</v>
      </c>
      <c r="AW43" s="34">
        <f>AW$6</f>
        <v>2025</v>
      </c>
      <c r="AX43" s="34">
        <f>AX$6</f>
        <v>2035</v>
      </c>
      <c r="AZ43" s="62" t="str">
        <f t="shared" si="90"/>
        <v>Change</v>
      </c>
      <c r="BA43" s="62" t="str">
        <f t="shared" si="90"/>
        <v>Demand</v>
      </c>
      <c r="BB43" s="62" t="str">
        <f t="shared" si="90"/>
        <v>Requirement</v>
      </c>
      <c r="BD43" s="40" t="s">
        <v>463</v>
      </c>
      <c r="BE43" s="34">
        <f>BE$6</f>
        <v>2015</v>
      </c>
      <c r="BF43" s="34">
        <f>BF$6</f>
        <v>2019</v>
      </c>
      <c r="BG43" s="34">
        <f>BG$6</f>
        <v>2020</v>
      </c>
      <c r="BH43" s="34">
        <f>BH$6</f>
        <v>2025</v>
      </c>
      <c r="BI43" s="34">
        <f>BI$6</f>
        <v>2035</v>
      </c>
      <c r="BK43" s="62" t="str">
        <f t="shared" si="91"/>
        <v>Change</v>
      </c>
      <c r="BL43" s="62" t="str">
        <f t="shared" si="91"/>
        <v>Demand</v>
      </c>
      <c r="BM43" s="62" t="str">
        <f t="shared" si="91"/>
        <v>Requirement</v>
      </c>
      <c r="BO43" s="40" t="s">
        <v>463</v>
      </c>
      <c r="BP43" s="34">
        <f>BP$6</f>
        <v>2015</v>
      </c>
      <c r="BQ43" s="34">
        <f>BQ$6</f>
        <v>2019</v>
      </c>
      <c r="BR43" s="34">
        <f>BR$6</f>
        <v>2020</v>
      </c>
      <c r="BS43" s="34">
        <f>BS$6</f>
        <v>2025</v>
      </c>
      <c r="BT43" s="34">
        <f>BT$6</f>
        <v>2035</v>
      </c>
      <c r="BV43" s="62" t="str">
        <f t="shared" si="92"/>
        <v>Change</v>
      </c>
      <c r="BW43" s="62" t="str">
        <f t="shared" si="92"/>
        <v>Demand</v>
      </c>
      <c r="BX43" s="62" t="str">
        <f t="shared" si="92"/>
        <v>Requirement</v>
      </c>
      <c r="BZ43" s="40" t="s">
        <v>463</v>
      </c>
      <c r="CA43" s="34">
        <f>CA$6</f>
        <v>2015</v>
      </c>
      <c r="CB43" s="34">
        <f>CB$6</f>
        <v>2019</v>
      </c>
      <c r="CC43" s="34">
        <f>CC$6</f>
        <v>2020</v>
      </c>
      <c r="CD43" s="34">
        <f>CD$6</f>
        <v>2025</v>
      </c>
      <c r="CE43" s="34">
        <f>CE$6</f>
        <v>2035</v>
      </c>
      <c r="CG43" s="62" t="str">
        <f t="shared" si="93"/>
        <v>Change</v>
      </c>
      <c r="CH43" s="62" t="str">
        <f t="shared" si="93"/>
        <v>Demand</v>
      </c>
      <c r="CI43" s="62" t="str">
        <f t="shared" si="93"/>
        <v>Requirement</v>
      </c>
      <c r="CK43" s="40" t="s">
        <v>463</v>
      </c>
      <c r="CL43" s="34">
        <f>CL$6</f>
        <v>2015</v>
      </c>
      <c r="CM43" s="34">
        <f>CM$6</f>
        <v>2019</v>
      </c>
      <c r="CN43" s="34">
        <f>CN$6</f>
        <v>2020</v>
      </c>
      <c r="CO43" s="34">
        <f>CO$6</f>
        <v>2025</v>
      </c>
      <c r="CP43" s="34">
        <f>CP$6</f>
        <v>2035</v>
      </c>
      <c r="CR43" s="62" t="str">
        <f t="shared" si="94"/>
        <v>Change</v>
      </c>
      <c r="CS43" s="62" t="str">
        <f t="shared" si="94"/>
        <v>Demand</v>
      </c>
      <c r="CT43" s="62" t="str">
        <f t="shared" si="94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95">A8</f>
        <v>11 Corporate managers and directors</v>
      </c>
      <c r="B45" s="17">
        <f t="shared" ref="B45:F54" si="96">B8/B$35*100</f>
        <v>6.710517246611956</v>
      </c>
      <c r="C45" s="17">
        <f t="shared" si="96"/>
        <v>6.839693817115597</v>
      </c>
      <c r="D45" s="17">
        <f t="shared" si="96"/>
        <v>7.2573580430765947</v>
      </c>
      <c r="E45" s="17">
        <f t="shared" si="96"/>
        <v>6.7038461374351002</v>
      </c>
      <c r="F45" s="17">
        <f t="shared" si="96"/>
        <v>6.8446964674010555</v>
      </c>
      <c r="H45" s="67">
        <f>IF(D8&gt;0,(H8/D8)*100,0)</f>
        <v>48.872519597681936</v>
      </c>
      <c r="I45" s="68">
        <f>IF(D8&gt;0,I8/D8*100,0)</f>
        <v>61.993376558452837</v>
      </c>
      <c r="J45" s="68">
        <f>IF(D8&gt;0,(J8/D8)*100,0)</f>
        <v>110.86589615613478</v>
      </c>
      <c r="L45" t="str">
        <f>A45</f>
        <v>11 Corporate managers and directors</v>
      </c>
      <c r="M45" s="17">
        <f t="shared" ref="M45:Q54" si="97">M8/M$35*100</f>
        <v>8.463774344564607</v>
      </c>
      <c r="N45" s="17">
        <f t="shared" si="97"/>
        <v>8.8858522932234028</v>
      </c>
      <c r="O45" s="17">
        <f t="shared" si="97"/>
        <v>8.8291915963058329</v>
      </c>
      <c r="P45" s="17">
        <f t="shared" si="97"/>
        <v>8.003171718713368</v>
      </c>
      <c r="Q45" s="17">
        <f t="shared" si="97"/>
        <v>8.0364488374544489</v>
      </c>
      <c r="S45" s="67">
        <f t="shared" ref="S45:S70" si="98">IF(O8&gt;0,(S8/O8)*100,0)</f>
        <v>45.303407642485006</v>
      </c>
      <c r="T45" s="68">
        <f t="shared" ref="T45:T70" si="99">IF(O8&gt;0,T8/O8*100,0)</f>
        <v>60.499525751941874</v>
      </c>
      <c r="U45" s="68">
        <f t="shared" ref="U45:U70" si="100">IF(O8&gt;0,(U8/O8)*100,0)</f>
        <v>105.80293339442687</v>
      </c>
      <c r="W45" t="str">
        <f>A45</f>
        <v>11 Corporate managers and directors</v>
      </c>
      <c r="X45" s="17">
        <f t="shared" ref="X45:AB54" si="101">X8/X$35*100</f>
        <v>10.096642605188519</v>
      </c>
      <c r="Y45" s="17">
        <f t="shared" si="101"/>
        <v>10.845075626617444</v>
      </c>
      <c r="Z45" s="17">
        <f t="shared" si="101"/>
        <v>11.047198383836987</v>
      </c>
      <c r="AA45" s="17">
        <f t="shared" si="101"/>
        <v>9.9056826225933321</v>
      </c>
      <c r="AB45" s="17">
        <f t="shared" si="101"/>
        <v>9.9327800339497134</v>
      </c>
      <c r="AD45" s="67">
        <f t="shared" ref="AD45:AD70" si="102">IF(Z8&gt;0,(AD8/Z8)*100,0)</f>
        <v>19.399974054934074</v>
      </c>
      <c r="AE45" s="68">
        <f t="shared" ref="AE45:AE70" si="103">IF(Z8&gt;0,AE8/Z8*100,0)</f>
        <v>60.307645221936298</v>
      </c>
      <c r="AF45" s="68">
        <f t="shared" ref="AF45:AF70" si="104">IF(Z8&gt;0,(AF8/Z8)*100,0)</f>
        <v>79.707619276870375</v>
      </c>
      <c r="AH45" t="str">
        <f>L45</f>
        <v>11 Corporate managers and directors</v>
      </c>
      <c r="AI45" s="17">
        <f t="shared" ref="AI45:AM54" si="105">AI8/AI$35*100</f>
        <v>6.1332645239632777</v>
      </c>
      <c r="AJ45" s="17">
        <f t="shared" si="105"/>
        <v>6.8152743248711527</v>
      </c>
      <c r="AK45" s="17">
        <f t="shared" si="105"/>
        <v>7.0963576745576367</v>
      </c>
      <c r="AL45" s="17">
        <f t="shared" si="105"/>
        <v>6.4526783245067847</v>
      </c>
      <c r="AM45" s="17">
        <f t="shared" si="105"/>
        <v>6.3266722825284827</v>
      </c>
      <c r="AO45" s="67">
        <f t="shared" ref="AO45:AO70" si="106">IF(AK8&gt;0,(AO8/AK8)*100,0)</f>
        <v>6.133898681134661</v>
      </c>
      <c r="AP45" s="68">
        <f t="shared" ref="AP45:AP70" si="107">IF(AK8&gt;0,AP8/AK8*100,0)</f>
        <v>52.65943027942199</v>
      </c>
      <c r="AQ45" s="68">
        <f t="shared" ref="AQ45:AQ70" si="108">IF(AK8&gt;0,(AQ8/AK8)*100,0)</f>
        <v>58.793328960556657</v>
      </c>
      <c r="AS45" t="str">
        <f>W45</f>
        <v>11 Corporate managers and directors</v>
      </c>
      <c r="AT45" s="17">
        <f t="shared" ref="AT45:AX54" si="109">AT8/AT$35*100</f>
        <v>9.9408002135480906</v>
      </c>
      <c r="AU45" s="17">
        <f t="shared" si="109"/>
        <v>10.320755886580676</v>
      </c>
      <c r="AV45" s="17">
        <f t="shared" si="109"/>
        <v>10.797624786305796</v>
      </c>
      <c r="AW45" s="17">
        <f t="shared" si="109"/>
        <v>9.3346180810746269</v>
      </c>
      <c r="AX45" s="17">
        <f t="shared" si="109"/>
        <v>9.0208473925900652</v>
      </c>
      <c r="AZ45" s="67">
        <f t="shared" ref="AZ45:AZ70" si="110">IF(AV8&gt;0,(AZ8/AV8)*100,0)</f>
        <v>4.9494098596827669</v>
      </c>
      <c r="BA45" s="68">
        <f t="shared" ref="BA45:BA70" si="111">IF(AV8&gt;0,BA8/AV8*100,0)</f>
        <v>50.978535630739216</v>
      </c>
      <c r="BB45" s="68">
        <f t="shared" ref="BB45:BB70" si="112">IF(AV8&gt;0,(BB8/AV8)*100,0)</f>
        <v>55.927945490421969</v>
      </c>
      <c r="BD45" t="str">
        <f>AH45</f>
        <v>11 Corporate managers and directors</v>
      </c>
      <c r="BE45" s="17">
        <f t="shared" ref="BE45:BI54" si="113">BE8/BE$35*100</f>
        <v>5.9482679648079708</v>
      </c>
      <c r="BF45" s="17">
        <f t="shared" si="113"/>
        <v>6.9006457049347212</v>
      </c>
      <c r="BG45" s="17">
        <f t="shared" si="113"/>
        <v>6.996622037162072</v>
      </c>
      <c r="BH45" s="17">
        <f t="shared" si="113"/>
        <v>6.0997930534794316</v>
      </c>
      <c r="BI45" s="17">
        <f t="shared" si="113"/>
        <v>6.3611663212236227</v>
      </c>
      <c r="BK45" s="67">
        <f t="shared" ref="BK45:BK70" si="114">IF(BG8&gt;0,(BK8/BG8)*100,0)</f>
        <v>-3.0061867689938846</v>
      </c>
      <c r="BL45" s="68">
        <f t="shared" ref="BL45:BL70" si="115">IF(BG8&gt;0,BL8/BG8*100,0)</f>
        <v>41.460905012608151</v>
      </c>
      <c r="BM45" s="68">
        <f t="shared" ref="BM45:BM70" si="116">IF(BG8&gt;0,(BM8/BG8)*100,0)</f>
        <v>38.454718243614273</v>
      </c>
      <c r="BO45" t="str">
        <f>AS45</f>
        <v>11 Corporate managers and directors</v>
      </c>
      <c r="BP45" s="17">
        <f t="shared" ref="BP45:BT54" si="117">BP8/BP$35*100</f>
        <v>4.476624228517033</v>
      </c>
      <c r="BQ45" s="17">
        <f t="shared" si="117"/>
        <v>5.1626473274463605</v>
      </c>
      <c r="BR45" s="17">
        <f t="shared" si="117"/>
        <v>5.2688254616679258</v>
      </c>
      <c r="BS45" s="17">
        <f t="shared" si="117"/>
        <v>4.4341976678524953</v>
      </c>
      <c r="BT45" s="17">
        <f t="shared" si="117"/>
        <v>4.1013970547578094</v>
      </c>
      <c r="BV45" s="67">
        <f t="shared" ref="BV45:BV70" si="118">IF(BR8&gt;0,(BV8/BR8)*100,0)</f>
        <v>-39.761547017273173</v>
      </c>
      <c r="BW45" s="68">
        <f t="shared" ref="BW45:BW70" si="119">IF(BR8&gt;0,BW8/BR8*100,0)</f>
        <v>34.016734830200065</v>
      </c>
      <c r="BX45" s="68">
        <f t="shared" ref="BX45:BX70" si="120">IF(BR8&gt;0,(BX8/BR8)*100,0)</f>
        <v>-5.744812187073105</v>
      </c>
      <c r="BZ45" t="str">
        <f>BD45</f>
        <v>11 Corporate managers and directors</v>
      </c>
      <c r="CA45" s="17">
        <f t="shared" ref="CA45:CE54" si="121">CA8/CA$35*100</f>
        <v>4.4968199245759388</v>
      </c>
      <c r="CB45" s="17">
        <f t="shared" si="121"/>
        <v>5.6593690736886302</v>
      </c>
      <c r="CC45" s="17">
        <f t="shared" si="121"/>
        <v>6.0183326904371537</v>
      </c>
      <c r="CD45" s="17">
        <f t="shared" si="121"/>
        <v>5.8511649226536973</v>
      </c>
      <c r="CE45" s="17">
        <f t="shared" si="121"/>
        <v>6.9168539924946106</v>
      </c>
      <c r="CG45" s="67">
        <f t="shared" ref="CG45:CG70" si="122">IF(CC8&gt;0,(CG8/CC8)*100,0)</f>
        <v>-36.009071860683697</v>
      </c>
      <c r="CH45" s="68">
        <f t="shared" ref="CH45:CH70" si="123">IF(CC8&gt;0,CH8/CC8*100,0)</f>
        <v>36.048347836836804</v>
      </c>
      <c r="CI45" s="68">
        <f t="shared" ref="CI45:CI70" si="124">IF(CC8&gt;0,(CI8/CC8)*100,0)</f>
        <v>3.9275976153100377E-2</v>
      </c>
      <c r="CK45" t="str">
        <f>BO45</f>
        <v>11 Corporate managers and directors</v>
      </c>
      <c r="CL45" s="17">
        <f t="shared" ref="CL45:CP54" si="125">CL8/CL$35*100</f>
        <v>2.5511090386576627</v>
      </c>
      <c r="CM45" s="17">
        <f t="shared" si="125"/>
        <v>3.5745839062160902</v>
      </c>
      <c r="CN45" s="17">
        <f t="shared" si="125"/>
        <v>3.5998513049684489</v>
      </c>
      <c r="CO45" s="17">
        <f t="shared" si="125"/>
        <v>3.4959062617692966</v>
      </c>
      <c r="CP45" s="17">
        <f t="shared" si="125"/>
        <v>4.4081203129843507</v>
      </c>
      <c r="CR45" s="67">
        <f t="shared" ref="CR45:CR70" si="126">IF(CN8&gt;0,(CR8/CN8)*100,0)</f>
        <v>-17.185158455622833</v>
      </c>
      <c r="CS45" s="68">
        <f t="shared" ref="CS45:CS70" si="127">IF(CN8&gt;0,CS8/CN8*100,0)</f>
        <v>31.585940619063379</v>
      </c>
      <c r="CT45" s="68">
        <f t="shared" ref="CT45:CT70" si="128">IF(CN8&gt;0,(CT8/CN8)*100,0)</f>
        <v>14.400782163440548</v>
      </c>
    </row>
    <row r="46" spans="1:98" x14ac:dyDescent="0.2">
      <c r="A46" t="str">
        <f t="shared" si="95"/>
        <v>12 Other managers and proprietors</v>
      </c>
      <c r="B46" s="17">
        <f t="shared" si="96"/>
        <v>2.7054778784612874</v>
      </c>
      <c r="C46" s="17">
        <f t="shared" si="96"/>
        <v>2.7624086732901638</v>
      </c>
      <c r="D46" s="17">
        <f t="shared" si="96"/>
        <v>2.5632562141441184</v>
      </c>
      <c r="E46" s="17">
        <f t="shared" si="96"/>
        <v>3.2184330321566867</v>
      </c>
      <c r="F46" s="17">
        <f t="shared" si="96"/>
        <v>3.6046446111847557</v>
      </c>
      <c r="H46" s="67">
        <f t="shared" ref="H46:H70" si="129">IF(D9&gt;0,(H9/D9)*100,0)</f>
        <v>121.97769059152721</v>
      </c>
      <c r="I46" s="68">
        <f t="shared" ref="I46:I70" si="130">IF(D9&gt;0,I9/D9*100,0)</f>
        <v>96.317161643029678</v>
      </c>
      <c r="J46" s="68">
        <f t="shared" ref="J46:J70" si="131">IF(D9&gt;0,(J9/D9)*100,0)</f>
        <v>218.29485223455691</v>
      </c>
      <c r="L46" t="str">
        <f t="shared" ref="L46:L69" si="132">A46</f>
        <v>12 Other managers and proprietors</v>
      </c>
      <c r="M46" s="17">
        <f t="shared" si="97"/>
        <v>3.3520302944404596</v>
      </c>
      <c r="N46" s="17">
        <f t="shared" si="97"/>
        <v>3.3478347020230608</v>
      </c>
      <c r="O46" s="17">
        <f t="shared" si="97"/>
        <v>3.2928348139022554</v>
      </c>
      <c r="P46" s="17">
        <f t="shared" si="97"/>
        <v>3.984761961121063</v>
      </c>
      <c r="Q46" s="17">
        <f t="shared" si="97"/>
        <v>4.4580976213648205</v>
      </c>
      <c r="S46" s="67">
        <f t="shared" si="98"/>
        <v>116.12857298773649</v>
      </c>
      <c r="T46" s="68">
        <f t="shared" si="99"/>
        <v>90.728364622303985</v>
      </c>
      <c r="U46" s="68">
        <f t="shared" si="100"/>
        <v>206.85693761004046</v>
      </c>
      <c r="W46" t="str">
        <f t="shared" ref="W46:W69" si="133">A46</f>
        <v>12 Other managers and proprietors</v>
      </c>
      <c r="X46" s="17">
        <f t="shared" si="101"/>
        <v>3.8111653356917854</v>
      </c>
      <c r="Y46" s="17">
        <f t="shared" si="101"/>
        <v>3.7868095387033307</v>
      </c>
      <c r="Z46" s="17">
        <f t="shared" si="101"/>
        <v>3.8258365198819604</v>
      </c>
      <c r="AA46" s="17">
        <f t="shared" si="101"/>
        <v>4.6139983466827603</v>
      </c>
      <c r="AB46" s="17">
        <f t="shared" si="101"/>
        <v>4.9859021714574281</v>
      </c>
      <c r="AD46" s="67">
        <f t="shared" si="102"/>
        <v>73.062475684676031</v>
      </c>
      <c r="AE46" s="68">
        <f t="shared" si="103"/>
        <v>87.512572904585738</v>
      </c>
      <c r="AF46" s="68">
        <f t="shared" si="104"/>
        <v>160.57504858926177</v>
      </c>
      <c r="AH46" t="str">
        <f t="shared" ref="AH46:AH69" si="134">L46</f>
        <v>12 Other managers and proprietors</v>
      </c>
      <c r="AI46" s="17">
        <f t="shared" si="105"/>
        <v>3.2213259946085078</v>
      </c>
      <c r="AJ46" s="17">
        <f t="shared" si="105"/>
        <v>3.498811875217104</v>
      </c>
      <c r="AK46" s="17">
        <f t="shared" si="105"/>
        <v>3.7421826769079436</v>
      </c>
      <c r="AL46" s="17">
        <f t="shared" si="105"/>
        <v>4.3966488931521424</v>
      </c>
      <c r="AM46" s="17">
        <f t="shared" si="105"/>
        <v>4.7914045745947664</v>
      </c>
      <c r="AO46" s="67">
        <f t="shared" si="106"/>
        <v>52.423571987060654</v>
      </c>
      <c r="AP46" s="68">
        <f t="shared" si="107"/>
        <v>79.942003950283649</v>
      </c>
      <c r="AQ46" s="68">
        <f t="shared" si="108"/>
        <v>132.36557593734432</v>
      </c>
      <c r="AS46" t="str">
        <f t="shared" ref="AS46:AS69" si="135">W46</f>
        <v>12 Other managers and proprietors</v>
      </c>
      <c r="AT46" s="17">
        <f t="shared" si="109"/>
        <v>4.1261262972246371</v>
      </c>
      <c r="AU46" s="17">
        <f t="shared" si="109"/>
        <v>4.1550258206920105</v>
      </c>
      <c r="AV46" s="17">
        <f t="shared" si="109"/>
        <v>4.2749843753672518</v>
      </c>
      <c r="AW46" s="17">
        <f t="shared" si="109"/>
        <v>5.1408912601656001</v>
      </c>
      <c r="AX46" s="17">
        <f t="shared" si="109"/>
        <v>5.3705046487842214</v>
      </c>
      <c r="AZ46" s="67">
        <f t="shared" si="110"/>
        <v>57.812522569736977</v>
      </c>
      <c r="BA46" s="68">
        <f t="shared" si="111"/>
        <v>78.371250905946525</v>
      </c>
      <c r="BB46" s="68">
        <f t="shared" si="112"/>
        <v>136.18377347568349</v>
      </c>
      <c r="BD46" t="str">
        <f t="shared" ref="BD46:BD69" si="136">AH46</f>
        <v>12 Other managers and proprietors</v>
      </c>
      <c r="BE46" s="17">
        <f t="shared" si="113"/>
        <v>2.7589205481309103</v>
      </c>
      <c r="BF46" s="17">
        <f t="shared" si="113"/>
        <v>2.7769783106314874</v>
      </c>
      <c r="BG46" s="17">
        <f t="shared" si="113"/>
        <v>3.0004576951123658</v>
      </c>
      <c r="BH46" s="17">
        <f t="shared" si="113"/>
        <v>3.500264111988955</v>
      </c>
      <c r="BI46" s="17">
        <f t="shared" si="113"/>
        <v>3.8077912602489188</v>
      </c>
      <c r="BK46" s="67">
        <f t="shared" si="114"/>
        <v>35.388358022932998</v>
      </c>
      <c r="BL46" s="68">
        <f t="shared" si="115"/>
        <v>55.437544034422935</v>
      </c>
      <c r="BM46" s="68">
        <f t="shared" si="116"/>
        <v>90.825902057355933</v>
      </c>
      <c r="BO46" t="str">
        <f t="shared" ref="BO46:BO69" si="137">AS46</f>
        <v>12 Other managers and proprietors</v>
      </c>
      <c r="BP46" s="17">
        <f t="shared" si="117"/>
        <v>2.7021456712704075</v>
      </c>
      <c r="BQ46" s="17">
        <f t="shared" si="117"/>
        <v>2.9960031768311532</v>
      </c>
      <c r="BR46" s="17">
        <f t="shared" si="117"/>
        <v>3.0487555945365421</v>
      </c>
      <c r="BS46" s="17">
        <f t="shared" si="117"/>
        <v>3.6572019038253223</v>
      </c>
      <c r="BT46" s="17">
        <f t="shared" si="117"/>
        <v>3.9879445397871089</v>
      </c>
      <c r="BV46" s="67">
        <f t="shared" si="118"/>
        <v>1.2237229974588359</v>
      </c>
      <c r="BW46" s="68">
        <f t="shared" si="119"/>
        <v>56.781002772449988</v>
      </c>
      <c r="BX46" s="68">
        <f t="shared" si="120"/>
        <v>58.004725769908816</v>
      </c>
      <c r="BZ46" t="str">
        <f t="shared" ref="BZ46:BZ69" si="138">BD46</f>
        <v>12 Other managers and proprietors</v>
      </c>
      <c r="CA46" s="17">
        <f t="shared" si="121"/>
        <v>2.6947815184797923</v>
      </c>
      <c r="CB46" s="17">
        <f t="shared" si="121"/>
        <v>2.9817176461212367</v>
      </c>
      <c r="CC46" s="17">
        <f t="shared" si="121"/>
        <v>3.1592993263467393</v>
      </c>
      <c r="CD46" s="17">
        <f t="shared" si="121"/>
        <v>3.7385217218293874</v>
      </c>
      <c r="CE46" s="17">
        <f t="shared" si="121"/>
        <v>4.297575287058816</v>
      </c>
      <c r="CG46" s="67">
        <f t="shared" si="122"/>
        <v>-24.26114916088807</v>
      </c>
      <c r="CH46" s="68">
        <f t="shared" si="123"/>
        <v>44.044090408988865</v>
      </c>
      <c r="CI46" s="68">
        <f t="shared" si="124"/>
        <v>19.782941248100798</v>
      </c>
      <c r="CK46" t="str">
        <f t="shared" ref="CK46:CK69" si="139">BO46</f>
        <v>12 Other managers and proprietors</v>
      </c>
      <c r="CL46" s="17">
        <f t="shared" si="125"/>
        <v>2.73216466266947</v>
      </c>
      <c r="CM46" s="17">
        <f t="shared" si="125"/>
        <v>3.3606819678804398</v>
      </c>
      <c r="CN46" s="17">
        <f t="shared" si="125"/>
        <v>3.5912895604680362</v>
      </c>
      <c r="CO46" s="17">
        <f t="shared" si="125"/>
        <v>5.6118539786971153</v>
      </c>
      <c r="CP46" s="17">
        <f t="shared" si="125"/>
        <v>8.6418210303561054</v>
      </c>
      <c r="CR46" s="67">
        <f t="shared" si="126"/>
        <v>62.739936767757435</v>
      </c>
      <c r="CS46" s="68">
        <f t="shared" si="127"/>
        <v>56.268605485037313</v>
      </c>
      <c r="CT46" s="68">
        <f t="shared" si="128"/>
        <v>119.00854225279475</v>
      </c>
    </row>
    <row r="47" spans="1:98" x14ac:dyDescent="0.2">
      <c r="A47" t="str">
        <f t="shared" si="95"/>
        <v>21 Science, research, engineering and technology professionals</v>
      </c>
      <c r="B47" s="17">
        <f t="shared" si="96"/>
        <v>19.360912944134061</v>
      </c>
      <c r="C47" s="17">
        <f t="shared" si="96"/>
        <v>20.465366002915843</v>
      </c>
      <c r="D47" s="17">
        <f t="shared" si="96"/>
        <v>20.835444313733699</v>
      </c>
      <c r="E47" s="17">
        <f t="shared" si="96"/>
        <v>21.141490471901434</v>
      </c>
      <c r="F47" s="17">
        <f t="shared" si="96"/>
        <v>21.300769107370911</v>
      </c>
      <c r="H47" s="67">
        <f t="shared" si="129"/>
        <v>61.373200746717636</v>
      </c>
      <c r="I47" s="68">
        <f t="shared" si="130"/>
        <v>49.396936324574057</v>
      </c>
      <c r="J47" s="68">
        <f t="shared" si="131"/>
        <v>110.77013707129169</v>
      </c>
      <c r="L47" t="str">
        <f t="shared" si="132"/>
        <v>21 Science, research, engineering and technology professionals</v>
      </c>
      <c r="M47" s="17">
        <f t="shared" si="97"/>
        <v>10.772421393247887</v>
      </c>
      <c r="N47" s="17">
        <f t="shared" si="97"/>
        <v>11.059850421637726</v>
      </c>
      <c r="O47" s="17">
        <f t="shared" si="97"/>
        <v>11.488392039529868</v>
      </c>
      <c r="P47" s="17">
        <f t="shared" si="97"/>
        <v>12.093410926918315</v>
      </c>
      <c r="Q47" s="17">
        <f t="shared" si="97"/>
        <v>12.427750894805529</v>
      </c>
      <c r="S47" s="67">
        <f t="shared" si="98"/>
        <v>72.689466845004091</v>
      </c>
      <c r="T47" s="68">
        <f t="shared" si="99"/>
        <v>53.994638785291663</v>
      </c>
      <c r="U47" s="68">
        <f t="shared" si="100"/>
        <v>126.68410563029575</v>
      </c>
      <c r="W47" t="str">
        <f t="shared" si="133"/>
        <v>21 Science, research, engineering and technology professionals</v>
      </c>
      <c r="X47" s="17">
        <f t="shared" si="101"/>
        <v>10.140880998240597</v>
      </c>
      <c r="Y47" s="17">
        <f t="shared" si="101"/>
        <v>9.9862590124844086</v>
      </c>
      <c r="Z47" s="17">
        <f t="shared" si="101"/>
        <v>10.15822805177911</v>
      </c>
      <c r="AA47" s="17">
        <f t="shared" si="101"/>
        <v>9.6836857760181658</v>
      </c>
      <c r="AB47" s="17">
        <f t="shared" si="101"/>
        <v>8.8633952413936949</v>
      </c>
      <c r="AD47" s="67">
        <f t="shared" si="102"/>
        <v>15.869124402452819</v>
      </c>
      <c r="AE47" s="68">
        <f t="shared" si="103"/>
        <v>42.114400706460529</v>
      </c>
      <c r="AF47" s="68">
        <f t="shared" si="104"/>
        <v>57.983525108913348</v>
      </c>
      <c r="AH47" t="str">
        <f t="shared" si="134"/>
        <v>21 Science, research, engineering and technology professionals</v>
      </c>
      <c r="AI47" s="17">
        <f t="shared" si="105"/>
        <v>3.2823279447344844</v>
      </c>
      <c r="AJ47" s="17">
        <f t="shared" si="105"/>
        <v>3.4383536857259487</v>
      </c>
      <c r="AK47" s="17">
        <f t="shared" si="105"/>
        <v>3.8557795399539434</v>
      </c>
      <c r="AL47" s="17">
        <f t="shared" si="105"/>
        <v>3.9078139498488595</v>
      </c>
      <c r="AM47" s="17">
        <f t="shared" si="105"/>
        <v>3.9771587048910213</v>
      </c>
      <c r="AO47" s="67">
        <f t="shared" si="106"/>
        <v>22.793393815051306</v>
      </c>
      <c r="AP47" s="68">
        <f t="shared" si="107"/>
        <v>42.853997020916367</v>
      </c>
      <c r="AQ47" s="68">
        <f t="shared" si="108"/>
        <v>65.647390835967684</v>
      </c>
      <c r="AS47" t="str">
        <f t="shared" si="135"/>
        <v>21 Science, research, engineering and technology professionals</v>
      </c>
      <c r="AT47" s="17">
        <f t="shared" si="109"/>
        <v>10.178313642830036</v>
      </c>
      <c r="AU47" s="17">
        <f t="shared" si="109"/>
        <v>9.5351840339170302</v>
      </c>
      <c r="AV47" s="17">
        <f t="shared" si="109"/>
        <v>10.051701899641278</v>
      </c>
      <c r="AW47" s="17">
        <f t="shared" si="109"/>
        <v>9.1174932881942325</v>
      </c>
      <c r="AX47" s="17">
        <f t="shared" si="109"/>
        <v>8.1801040722420595</v>
      </c>
      <c r="AZ47" s="67">
        <f t="shared" si="110"/>
        <v>2.2304154052305036</v>
      </c>
      <c r="BA47" s="68">
        <f t="shared" si="111"/>
        <v>35.032427565717065</v>
      </c>
      <c r="BB47" s="68">
        <f t="shared" si="112"/>
        <v>37.26284297094756</v>
      </c>
      <c r="BD47" t="str">
        <f t="shared" si="136"/>
        <v>21 Science, research, engineering and technology professionals</v>
      </c>
      <c r="BE47" s="17">
        <f t="shared" si="113"/>
        <v>4.0307435235747375</v>
      </c>
      <c r="BF47" s="17">
        <f t="shared" si="113"/>
        <v>4.5385979933303755</v>
      </c>
      <c r="BG47" s="17">
        <f t="shared" si="113"/>
        <v>4.5132676137208234</v>
      </c>
      <c r="BH47" s="17">
        <f t="shared" si="113"/>
        <v>4.3810844272902951</v>
      </c>
      <c r="BI47" s="17">
        <f t="shared" si="113"/>
        <v>4.4368712713652165</v>
      </c>
      <c r="BK47" s="67">
        <f t="shared" si="114"/>
        <v>4.8772857317974996</v>
      </c>
      <c r="BL47" s="68">
        <f t="shared" si="115"/>
        <v>31.571255518121475</v>
      </c>
      <c r="BM47" s="68">
        <f t="shared" si="116"/>
        <v>36.448541249918975</v>
      </c>
      <c r="BO47" t="str">
        <f t="shared" si="137"/>
        <v>21 Science, research, engineering and technology professionals</v>
      </c>
      <c r="BP47" s="17">
        <f t="shared" si="117"/>
        <v>2.5740169297479834</v>
      </c>
      <c r="BQ47" s="17">
        <f t="shared" si="117"/>
        <v>2.930386084786416</v>
      </c>
      <c r="BR47" s="17">
        <f t="shared" si="117"/>
        <v>3.0585412041490461</v>
      </c>
      <c r="BS47" s="17">
        <f t="shared" si="117"/>
        <v>3.0049786857933527</v>
      </c>
      <c r="BT47" s="17">
        <f t="shared" si="117"/>
        <v>3.1788752640922624</v>
      </c>
      <c r="BV47" s="67">
        <f t="shared" si="118"/>
        <v>-19.570576049644</v>
      </c>
      <c r="BW47" s="68">
        <f t="shared" si="119"/>
        <v>29.83875194806329</v>
      </c>
      <c r="BX47" s="68">
        <f t="shared" si="120"/>
        <v>10.26817589841929</v>
      </c>
      <c r="BZ47" t="str">
        <f t="shared" si="138"/>
        <v>21 Science, research, engineering and technology professionals</v>
      </c>
      <c r="CA47" s="17">
        <f t="shared" si="121"/>
        <v>2.1235476773073461</v>
      </c>
      <c r="CB47" s="17">
        <f t="shared" si="121"/>
        <v>2.7742828577416057</v>
      </c>
      <c r="CC47" s="17">
        <f t="shared" si="121"/>
        <v>2.8952832655237106</v>
      </c>
      <c r="CD47" s="17">
        <f t="shared" si="121"/>
        <v>2.9283959458513023</v>
      </c>
      <c r="CE47" s="17">
        <f t="shared" si="121"/>
        <v>3.2602241458667152</v>
      </c>
      <c r="CG47" s="67">
        <f t="shared" si="122"/>
        <v>-37.303630669757922</v>
      </c>
      <c r="CH47" s="68">
        <f t="shared" si="123"/>
        <v>26.266406042162743</v>
      </c>
      <c r="CI47" s="68">
        <f t="shared" si="124"/>
        <v>-11.037224627595174</v>
      </c>
      <c r="CK47" t="str">
        <f t="shared" si="139"/>
        <v>21 Science, research, engineering and technology professionals</v>
      </c>
      <c r="CL47" s="17">
        <f t="shared" si="125"/>
        <v>1.2258702708482638</v>
      </c>
      <c r="CM47" s="17">
        <f t="shared" si="125"/>
        <v>1.7441772795405499</v>
      </c>
      <c r="CN47" s="17">
        <f t="shared" si="125"/>
        <v>1.9244054958388939</v>
      </c>
      <c r="CO47" s="17">
        <f t="shared" si="125"/>
        <v>2.7389075406668471</v>
      </c>
      <c r="CP47" s="17">
        <f t="shared" si="125"/>
        <v>3.5291731713382188</v>
      </c>
      <c r="CR47" s="67">
        <f t="shared" si="126"/>
        <v>24.026839959742691</v>
      </c>
      <c r="CS47" s="68">
        <f t="shared" si="127"/>
        <v>36.671823385266848</v>
      </c>
      <c r="CT47" s="68">
        <f t="shared" si="128"/>
        <v>60.698663345009528</v>
      </c>
    </row>
    <row r="48" spans="1:98" x14ac:dyDescent="0.2">
      <c r="A48" t="str">
        <f t="shared" si="95"/>
        <v>22 Health professionals</v>
      </c>
      <c r="B48" s="17">
        <f t="shared" si="96"/>
        <v>18.25888870692075</v>
      </c>
      <c r="C48" s="17">
        <f t="shared" si="96"/>
        <v>19.217638850689497</v>
      </c>
      <c r="D48" s="17">
        <f t="shared" si="96"/>
        <v>18.176880073207023</v>
      </c>
      <c r="E48" s="17">
        <f t="shared" si="96"/>
        <v>19.034496405444244</v>
      </c>
      <c r="F48" s="17">
        <f t="shared" si="96"/>
        <v>18.987937083708374</v>
      </c>
      <c r="H48" s="67">
        <f t="shared" si="129"/>
        <v>64.891146089123424</v>
      </c>
      <c r="I48" s="68">
        <f t="shared" si="130"/>
        <v>62.841607022887459</v>
      </c>
      <c r="J48" s="68">
        <f t="shared" si="131"/>
        <v>127.73275311201087</v>
      </c>
      <c r="L48" t="str">
        <f t="shared" si="132"/>
        <v>22 Health professionals</v>
      </c>
      <c r="M48" s="17">
        <f t="shared" si="97"/>
        <v>8.1754128507533022</v>
      </c>
      <c r="N48" s="17">
        <f t="shared" si="97"/>
        <v>8.5164350258568042</v>
      </c>
      <c r="O48" s="17">
        <f t="shared" si="97"/>
        <v>7.8816835290635252</v>
      </c>
      <c r="P48" s="17">
        <f t="shared" si="97"/>
        <v>7.9337192787278203</v>
      </c>
      <c r="Q48" s="17">
        <f t="shared" si="97"/>
        <v>7.5585918451462577</v>
      </c>
      <c r="S48" s="67">
        <f t="shared" si="98"/>
        <v>53.09269147781589</v>
      </c>
      <c r="T48" s="68">
        <f t="shared" si="99"/>
        <v>60.499439526424005</v>
      </c>
      <c r="U48" s="68">
        <f t="shared" si="100"/>
        <v>113.5921310042399</v>
      </c>
      <c r="W48" t="str">
        <f t="shared" si="133"/>
        <v>22 Health professionals</v>
      </c>
      <c r="X48" s="17">
        <f t="shared" si="101"/>
        <v>8.1170968016359311</v>
      </c>
      <c r="Y48" s="17">
        <f t="shared" si="101"/>
        <v>8.6297051466422872</v>
      </c>
      <c r="Z48" s="17">
        <f t="shared" si="101"/>
        <v>8.2354240682076156</v>
      </c>
      <c r="AA48" s="17">
        <f t="shared" si="101"/>
        <v>8.619359484997279</v>
      </c>
      <c r="AB48" s="17">
        <f t="shared" si="101"/>
        <v>8.4616532295101052</v>
      </c>
      <c r="AD48" s="67">
        <f t="shared" si="102"/>
        <v>36.444119674357232</v>
      </c>
      <c r="AE48" s="68">
        <f t="shared" si="103"/>
        <v>71.138221326032948</v>
      </c>
      <c r="AF48" s="68">
        <f t="shared" si="104"/>
        <v>107.58234100039017</v>
      </c>
      <c r="AH48" t="str">
        <f t="shared" si="134"/>
        <v>22 Health professionals</v>
      </c>
      <c r="AI48" s="17">
        <f t="shared" si="105"/>
        <v>12.888736820762198</v>
      </c>
      <c r="AJ48" s="17">
        <f t="shared" si="105"/>
        <v>10.093568434520877</v>
      </c>
      <c r="AK48" s="17">
        <f t="shared" si="105"/>
        <v>9.2100631727938875</v>
      </c>
      <c r="AL48" s="17">
        <f t="shared" si="105"/>
        <v>5.5705651316123879</v>
      </c>
      <c r="AM48" s="17">
        <f t="shared" si="105"/>
        <v>2.0345261917052406</v>
      </c>
      <c r="AO48" s="67">
        <f t="shared" si="106"/>
        <v>-73.702470445367879</v>
      </c>
      <c r="AP48" s="68">
        <f t="shared" si="107"/>
        <v>21.373581133437249</v>
      </c>
      <c r="AQ48" s="68">
        <f t="shared" si="108"/>
        <v>-52.328889311930624</v>
      </c>
      <c r="AS48" t="str">
        <f t="shared" si="135"/>
        <v>22 Health professionals</v>
      </c>
      <c r="AT48" s="17">
        <f t="shared" si="109"/>
        <v>1.7530227031630885</v>
      </c>
      <c r="AU48" s="17">
        <f t="shared" si="109"/>
        <v>2.039347254485858</v>
      </c>
      <c r="AV48" s="17">
        <f t="shared" si="109"/>
        <v>2.0884685486153978</v>
      </c>
      <c r="AW48" s="17">
        <f t="shared" si="109"/>
        <v>2.1226157517629756</v>
      </c>
      <c r="AX48" s="17">
        <f t="shared" si="109"/>
        <v>2.0761585290268605</v>
      </c>
      <c r="AZ48" s="67">
        <f t="shared" si="110"/>
        <v>24.880166552457219</v>
      </c>
      <c r="BA48" s="68">
        <f t="shared" si="111"/>
        <v>58.887977128547007</v>
      </c>
      <c r="BB48" s="68">
        <f t="shared" si="112"/>
        <v>83.768143681004233</v>
      </c>
      <c r="BD48" t="str">
        <f t="shared" si="136"/>
        <v>22 Health professionals</v>
      </c>
      <c r="BE48" s="17">
        <f t="shared" si="113"/>
        <v>1.5960626234800495</v>
      </c>
      <c r="BF48" s="17">
        <f t="shared" si="113"/>
        <v>1.7921197540609508</v>
      </c>
      <c r="BG48" s="17">
        <f t="shared" si="113"/>
        <v>1.969276605001159</v>
      </c>
      <c r="BH48" s="17">
        <f t="shared" si="113"/>
        <v>2.0535343109596655</v>
      </c>
      <c r="BI48" s="17">
        <f t="shared" si="113"/>
        <v>2.0898082731621086</v>
      </c>
      <c r="BK48" s="67">
        <f t="shared" si="114"/>
        <v>13.212770627740611</v>
      </c>
      <c r="BL48" s="68">
        <f t="shared" si="115"/>
        <v>58.184441671237764</v>
      </c>
      <c r="BM48" s="68">
        <f t="shared" si="116"/>
        <v>71.397212298978374</v>
      </c>
      <c r="BO48" t="str">
        <f t="shared" si="137"/>
        <v>22 Health professionals</v>
      </c>
      <c r="BP48" s="17">
        <f t="shared" si="117"/>
        <v>1.2350049537210255</v>
      </c>
      <c r="BQ48" s="17">
        <f t="shared" si="117"/>
        <v>1.4114790136534048</v>
      </c>
      <c r="BR48" s="17">
        <f t="shared" si="117"/>
        <v>1.5577322320826896</v>
      </c>
      <c r="BS48" s="17">
        <f t="shared" si="117"/>
        <v>1.5706546095346781</v>
      </c>
      <c r="BT48" s="17">
        <f t="shared" si="117"/>
        <v>1.5071440761787394</v>
      </c>
      <c r="BV48" s="67">
        <f t="shared" si="118"/>
        <v>-25.128286661032039</v>
      </c>
      <c r="BW48" s="68">
        <f t="shared" si="119"/>
        <v>44.409407372959492</v>
      </c>
      <c r="BX48" s="68">
        <f t="shared" si="120"/>
        <v>19.281120711927453</v>
      </c>
      <c r="BZ48" t="str">
        <f t="shared" si="138"/>
        <v>22 Health professionals</v>
      </c>
      <c r="CA48" s="17">
        <f t="shared" si="121"/>
        <v>1.1583588699018481</v>
      </c>
      <c r="CB48" s="17">
        <f t="shared" si="121"/>
        <v>1.2985266978704555</v>
      </c>
      <c r="CC48" s="17">
        <f t="shared" si="121"/>
        <v>1.3140409205242747</v>
      </c>
      <c r="CD48" s="17">
        <f t="shared" si="121"/>
        <v>1.6968489591441922</v>
      </c>
      <c r="CE48" s="17">
        <f t="shared" si="121"/>
        <v>1.8126190966169977</v>
      </c>
      <c r="CG48" s="67">
        <f t="shared" si="122"/>
        <v>-23.196032700047589</v>
      </c>
      <c r="CH48" s="68">
        <f t="shared" si="123"/>
        <v>41.813359013578086</v>
      </c>
      <c r="CI48" s="68">
        <f t="shared" si="124"/>
        <v>18.617326313530491</v>
      </c>
      <c r="CK48" t="str">
        <f t="shared" si="139"/>
        <v>22 Health professionals</v>
      </c>
      <c r="CL48" s="17">
        <f t="shared" si="125"/>
        <v>0.3542393234947791</v>
      </c>
      <c r="CM48" s="17">
        <f t="shared" si="125"/>
        <v>0.52134308021847209</v>
      </c>
      <c r="CN48" s="17">
        <f t="shared" si="125"/>
        <v>0.57883605094347779</v>
      </c>
      <c r="CO48" s="17">
        <f t="shared" si="125"/>
        <v>0.83823492148713474</v>
      </c>
      <c r="CP48" s="17">
        <f t="shared" si="125"/>
        <v>1.2321126981341273</v>
      </c>
      <c r="CR48" s="67">
        <f t="shared" si="126"/>
        <v>43.957454770611108</v>
      </c>
      <c r="CS48" s="68">
        <f t="shared" si="127"/>
        <v>55.838449042592174</v>
      </c>
      <c r="CT48" s="68">
        <f t="shared" si="128"/>
        <v>99.795903813203296</v>
      </c>
    </row>
    <row r="49" spans="1:98" x14ac:dyDescent="0.2">
      <c r="A49" t="str">
        <f t="shared" si="95"/>
        <v>23 Teaching and other educational professionals</v>
      </c>
      <c r="B49" s="17">
        <f t="shared" si="96"/>
        <v>28.207782470822767</v>
      </c>
      <c r="C49" s="17">
        <f t="shared" si="96"/>
        <v>25.13866973445505</v>
      </c>
      <c r="D49" s="17">
        <f t="shared" si="96"/>
        <v>25.959693800762146</v>
      </c>
      <c r="E49" s="17">
        <f t="shared" si="96"/>
        <v>23.535582396210238</v>
      </c>
      <c r="F49" s="17">
        <f t="shared" si="96"/>
        <v>20.634542886668175</v>
      </c>
      <c r="H49" s="67">
        <f t="shared" si="129"/>
        <v>25.468348440272326</v>
      </c>
      <c r="I49" s="68">
        <f t="shared" si="130"/>
        <v>52.701611207460985</v>
      </c>
      <c r="J49" s="68">
        <f t="shared" si="131"/>
        <v>78.169959647733307</v>
      </c>
      <c r="L49" t="str">
        <f t="shared" si="132"/>
        <v>23 Teaching and other educational professionals</v>
      </c>
      <c r="M49" s="17">
        <f t="shared" si="97"/>
        <v>22.133633347295607</v>
      </c>
      <c r="N49" s="17">
        <f t="shared" si="97"/>
        <v>20.024145209035989</v>
      </c>
      <c r="O49" s="17">
        <f t="shared" si="97"/>
        <v>20.658024591231332</v>
      </c>
      <c r="P49" s="17">
        <f t="shared" si="97"/>
        <v>18.588246349426814</v>
      </c>
      <c r="Q49" s="17">
        <f t="shared" si="97"/>
        <v>16.120857419649333</v>
      </c>
      <c r="S49" s="67">
        <f t="shared" si="98"/>
        <v>24.575288992427705</v>
      </c>
      <c r="T49" s="68">
        <f t="shared" si="99"/>
        <v>53.672569232386195</v>
      </c>
      <c r="U49" s="68">
        <f t="shared" si="100"/>
        <v>78.247858224813911</v>
      </c>
      <c r="W49" t="str">
        <f t="shared" si="133"/>
        <v>23 Teaching and other educational professionals</v>
      </c>
      <c r="X49" s="17">
        <f t="shared" si="101"/>
        <v>6.7432621481878074</v>
      </c>
      <c r="Y49" s="17">
        <f t="shared" si="101"/>
        <v>5.4594324717733169</v>
      </c>
      <c r="Z49" s="17">
        <f t="shared" si="101"/>
        <v>5.7386387402887156</v>
      </c>
      <c r="AA49" s="17">
        <f t="shared" si="101"/>
        <v>4.4324933865513412</v>
      </c>
      <c r="AB49" s="17">
        <f t="shared" si="101"/>
        <v>3.0667216236363126</v>
      </c>
      <c r="AD49" s="67">
        <f t="shared" si="102"/>
        <v>-29.033883937160727</v>
      </c>
      <c r="AE49" s="68">
        <f t="shared" si="103"/>
        <v>44.748611407330664</v>
      </c>
      <c r="AF49" s="68">
        <f t="shared" si="104"/>
        <v>15.71472747016994</v>
      </c>
      <c r="AH49" t="str">
        <f t="shared" si="134"/>
        <v>23 Teaching and other educational professionals</v>
      </c>
      <c r="AI49" s="17">
        <f t="shared" si="105"/>
        <v>3.0359496501655197</v>
      </c>
      <c r="AJ49" s="17">
        <f t="shared" si="105"/>
        <v>1.7252109711427477</v>
      </c>
      <c r="AK49" s="17">
        <f t="shared" si="105"/>
        <v>1.6749258650556098</v>
      </c>
      <c r="AL49" s="17">
        <f t="shared" si="105"/>
        <v>0.98513981874704581</v>
      </c>
      <c r="AM49" s="17">
        <f t="shared" si="105"/>
        <v>0.86035976970923089</v>
      </c>
      <c r="AO49" s="67">
        <f t="shared" si="106"/>
        <v>-38.849673358884935</v>
      </c>
      <c r="AP49" s="68">
        <f t="shared" si="107"/>
        <v>18.884875174079731</v>
      </c>
      <c r="AQ49" s="68">
        <f t="shared" si="108"/>
        <v>-19.964798184805201</v>
      </c>
      <c r="AS49" t="str">
        <f t="shared" si="135"/>
        <v>23 Teaching and other educational professionals</v>
      </c>
      <c r="AT49" s="17">
        <f t="shared" si="109"/>
        <v>0.93111607984021627</v>
      </c>
      <c r="AU49" s="17">
        <f t="shared" si="109"/>
        <v>0.8218508226101342</v>
      </c>
      <c r="AV49" s="17">
        <f t="shared" si="109"/>
        <v>0.88959985000966291</v>
      </c>
      <c r="AW49" s="17">
        <f t="shared" si="109"/>
        <v>0.71032119238178304</v>
      </c>
      <c r="AX49" s="17">
        <f t="shared" si="109"/>
        <v>0.54823572524576103</v>
      </c>
      <c r="AZ49" s="67">
        <f t="shared" si="110"/>
        <v>-22.583500831052056</v>
      </c>
      <c r="BA49" s="68">
        <f t="shared" si="111"/>
        <v>40.609656463033467</v>
      </c>
      <c r="BB49" s="68">
        <f t="shared" si="112"/>
        <v>18.026155631981407</v>
      </c>
      <c r="BD49" t="str">
        <f t="shared" si="136"/>
        <v>23 Teaching and other educational professionals</v>
      </c>
      <c r="BE49" s="17">
        <f t="shared" si="113"/>
        <v>0.79731162645367615</v>
      </c>
      <c r="BF49" s="17">
        <f t="shared" si="113"/>
        <v>0.80510692449127408</v>
      </c>
      <c r="BG49" s="17">
        <f t="shared" si="113"/>
        <v>0.93376285803945147</v>
      </c>
      <c r="BH49" s="17">
        <f t="shared" si="113"/>
        <v>0.91631933295882417</v>
      </c>
      <c r="BI49" s="17">
        <f t="shared" si="113"/>
        <v>1.019846046604326</v>
      </c>
      <c r="BK49" s="67">
        <f t="shared" si="114"/>
        <v>16.51818682859949</v>
      </c>
      <c r="BL49" s="68">
        <f t="shared" si="115"/>
        <v>45.794128497039708</v>
      </c>
      <c r="BM49" s="68">
        <f t="shared" si="116"/>
        <v>62.31231532563919</v>
      </c>
      <c r="BO49" t="str">
        <f t="shared" si="137"/>
        <v>23 Teaching and other educational professionals</v>
      </c>
      <c r="BP49" s="17">
        <f t="shared" si="117"/>
        <v>0.59292869565052753</v>
      </c>
      <c r="BQ49" s="17">
        <f t="shared" si="117"/>
        <v>0.58326884900176645</v>
      </c>
      <c r="BR49" s="17">
        <f t="shared" si="117"/>
        <v>0.69937061606834527</v>
      </c>
      <c r="BS49" s="17">
        <f t="shared" si="117"/>
        <v>0.64236851926444005</v>
      </c>
      <c r="BT49" s="17">
        <f t="shared" si="117"/>
        <v>0.61714375289525381</v>
      </c>
      <c r="BV49" s="67">
        <f t="shared" si="118"/>
        <v>-31.713514340690686</v>
      </c>
      <c r="BW49" s="68">
        <f t="shared" si="119"/>
        <v>39.565108869284636</v>
      </c>
      <c r="BX49" s="68">
        <f t="shared" si="120"/>
        <v>7.8515945285939557</v>
      </c>
      <c r="BZ49" t="str">
        <f t="shared" si="138"/>
        <v>23 Teaching and other educational professionals</v>
      </c>
      <c r="CA49" s="17">
        <f t="shared" si="121"/>
        <v>0.63260295453497228</v>
      </c>
      <c r="CB49" s="17">
        <f t="shared" si="121"/>
        <v>0.66091836652753655</v>
      </c>
      <c r="CC49" s="17">
        <f t="shared" si="121"/>
        <v>0.80539573034687129</v>
      </c>
      <c r="CD49" s="17">
        <f t="shared" si="121"/>
        <v>0.87863985958597823</v>
      </c>
      <c r="CE49" s="17">
        <f t="shared" si="121"/>
        <v>1.0467571699107503</v>
      </c>
      <c r="CG49" s="67">
        <f t="shared" si="122"/>
        <v>-27.635991814353904</v>
      </c>
      <c r="CH49" s="68">
        <f t="shared" si="123"/>
        <v>39.895803402974181</v>
      </c>
      <c r="CI49" s="68">
        <f t="shared" si="124"/>
        <v>12.259811588620275</v>
      </c>
      <c r="CK49" t="str">
        <f t="shared" si="139"/>
        <v>23 Teaching and other educational professionals</v>
      </c>
      <c r="CL49" s="17">
        <f t="shared" si="125"/>
        <v>0.35266541287886294</v>
      </c>
      <c r="CM49" s="17">
        <f t="shared" si="125"/>
        <v>0.50938533624379045</v>
      </c>
      <c r="CN49" s="17">
        <f t="shared" si="125"/>
        <v>0.70662889157111752</v>
      </c>
      <c r="CO49" s="17">
        <f t="shared" si="125"/>
        <v>0.99541810665681218</v>
      </c>
      <c r="CP49" s="17">
        <f t="shared" si="125"/>
        <v>1.2860574788549997</v>
      </c>
      <c r="CR49" s="67">
        <f t="shared" si="126"/>
        <v>23.085894774457177</v>
      </c>
      <c r="CS49" s="68">
        <f t="shared" si="127"/>
        <v>56.903198711978199</v>
      </c>
      <c r="CT49" s="68">
        <f t="shared" si="128"/>
        <v>79.98909348643538</v>
      </c>
    </row>
    <row r="50" spans="1:98" x14ac:dyDescent="0.2">
      <c r="A50" t="str">
        <f t="shared" si="95"/>
        <v>24 Business, media and public service professionals</v>
      </c>
      <c r="B50" s="17">
        <f t="shared" si="96"/>
        <v>6.7216289616508353</v>
      </c>
      <c r="C50" s="17">
        <f t="shared" si="96"/>
        <v>7.1605421440124539</v>
      </c>
      <c r="D50" s="17">
        <f t="shared" si="96"/>
        <v>7.6381961062546448</v>
      </c>
      <c r="E50" s="17">
        <f t="shared" si="96"/>
        <v>8.3502378141077696</v>
      </c>
      <c r="F50" s="17">
        <f t="shared" si="96"/>
        <v>8.8019497963079569</v>
      </c>
      <c r="H50" s="67">
        <f t="shared" si="129"/>
        <v>81.897603451311312</v>
      </c>
      <c r="I50" s="68">
        <f t="shared" si="130"/>
        <v>69.525355326861472</v>
      </c>
      <c r="J50" s="68">
        <f t="shared" si="131"/>
        <v>151.42295877817281</v>
      </c>
      <c r="L50" t="str">
        <f t="shared" si="132"/>
        <v>24 Business, media and public service professionals</v>
      </c>
      <c r="M50" s="17">
        <f t="shared" si="97"/>
        <v>12.987457688131601</v>
      </c>
      <c r="N50" s="17">
        <f t="shared" si="97"/>
        <v>13.826229158804059</v>
      </c>
      <c r="O50" s="17">
        <f t="shared" si="97"/>
        <v>14.98425665955725</v>
      </c>
      <c r="P50" s="17">
        <f t="shared" si="97"/>
        <v>15.440548922460689</v>
      </c>
      <c r="Q50" s="17">
        <f t="shared" si="97"/>
        <v>15.288171127734634</v>
      </c>
      <c r="S50" s="67">
        <f t="shared" si="98"/>
        <v>62.874422386029892</v>
      </c>
      <c r="T50" s="68">
        <f t="shared" si="99"/>
        <v>63.305798686358393</v>
      </c>
      <c r="U50" s="68">
        <f t="shared" si="100"/>
        <v>126.18022107238826</v>
      </c>
      <c r="W50" t="str">
        <f t="shared" si="133"/>
        <v>24 Business, media and public service professionals</v>
      </c>
      <c r="X50" s="17">
        <f t="shared" si="101"/>
        <v>11.289815624072109</v>
      </c>
      <c r="Y50" s="17">
        <f t="shared" si="101"/>
        <v>11.592689546506357</v>
      </c>
      <c r="Z50" s="17">
        <f t="shared" si="101"/>
        <v>12.859585697069493</v>
      </c>
      <c r="AA50" s="17">
        <f t="shared" si="101"/>
        <v>13.063493363017045</v>
      </c>
      <c r="AB50" s="17">
        <f t="shared" si="101"/>
        <v>12.436250041057537</v>
      </c>
      <c r="AD50" s="67">
        <f t="shared" si="102"/>
        <v>28.424545058503913</v>
      </c>
      <c r="AE50" s="68">
        <f t="shared" si="103"/>
        <v>61.984555394401156</v>
      </c>
      <c r="AF50" s="68">
        <f t="shared" si="104"/>
        <v>90.409100452905065</v>
      </c>
      <c r="AH50" t="str">
        <f t="shared" si="134"/>
        <v>24 Business, media and public service professionals</v>
      </c>
      <c r="AI50" s="17">
        <f t="shared" si="105"/>
        <v>3.8796771203357503</v>
      </c>
      <c r="AJ50" s="17">
        <f t="shared" si="105"/>
        <v>3.6165534884823272</v>
      </c>
      <c r="AK50" s="17">
        <f t="shared" si="105"/>
        <v>4.0589226406980101</v>
      </c>
      <c r="AL50" s="17">
        <f t="shared" si="105"/>
        <v>3.9325782922487265</v>
      </c>
      <c r="AM50" s="17">
        <f t="shared" si="105"/>
        <v>3.8780624937983017</v>
      </c>
      <c r="AO50" s="67">
        <f t="shared" si="106"/>
        <v>13.741330712247388</v>
      </c>
      <c r="AP50" s="68">
        <f t="shared" si="107"/>
        <v>41.306101044395795</v>
      </c>
      <c r="AQ50" s="68">
        <f t="shared" si="108"/>
        <v>55.047431756643185</v>
      </c>
      <c r="AS50" t="str">
        <f t="shared" si="135"/>
        <v>24 Business, media and public service professionals</v>
      </c>
      <c r="AT50" s="17">
        <f t="shared" si="109"/>
        <v>6.1964230001592711</v>
      </c>
      <c r="AU50" s="17">
        <f t="shared" si="109"/>
        <v>6.2091614965391031</v>
      </c>
      <c r="AV50" s="17">
        <f t="shared" si="109"/>
        <v>7.1113126294404232</v>
      </c>
      <c r="AW50" s="17">
        <f t="shared" si="109"/>
        <v>7.3763233859803847</v>
      </c>
      <c r="AX50" s="17">
        <f t="shared" si="109"/>
        <v>7.3272010570746176</v>
      </c>
      <c r="AZ50" s="67">
        <f t="shared" si="110"/>
        <v>29.434256646717287</v>
      </c>
      <c r="BA50" s="68">
        <f t="shared" si="111"/>
        <v>56.563415160178032</v>
      </c>
      <c r="BB50" s="68">
        <f t="shared" si="112"/>
        <v>85.997671806895326</v>
      </c>
      <c r="BD50" t="str">
        <f t="shared" si="136"/>
        <v>24 Business, media and public service professionals</v>
      </c>
      <c r="BE50" s="17">
        <f t="shared" si="113"/>
        <v>3.4893778515816987</v>
      </c>
      <c r="BF50" s="17">
        <f t="shared" si="113"/>
        <v>3.9915857183783063</v>
      </c>
      <c r="BG50" s="17">
        <f t="shared" si="113"/>
        <v>4.3784284637400699</v>
      </c>
      <c r="BH50" s="17">
        <f t="shared" si="113"/>
        <v>4.6749592653697105</v>
      </c>
      <c r="BI50" s="17">
        <f t="shared" si="113"/>
        <v>4.9418472174356696</v>
      </c>
      <c r="BK50" s="67">
        <f t="shared" si="114"/>
        <v>20.411163372521393</v>
      </c>
      <c r="BL50" s="68">
        <f t="shared" si="115"/>
        <v>47.199043687969592</v>
      </c>
      <c r="BM50" s="68">
        <f t="shared" si="116"/>
        <v>67.610207060490978</v>
      </c>
      <c r="BO50" t="str">
        <f t="shared" si="137"/>
        <v>24 Business, media and public service professionals</v>
      </c>
      <c r="BP50" s="17">
        <f t="shared" si="117"/>
        <v>2.4329705124358671</v>
      </c>
      <c r="BQ50" s="17">
        <f t="shared" si="117"/>
        <v>2.7052028767076171</v>
      </c>
      <c r="BR50" s="17">
        <f t="shared" si="117"/>
        <v>3.0816324770085979</v>
      </c>
      <c r="BS50" s="17">
        <f t="shared" si="117"/>
        <v>3.0995570894675279</v>
      </c>
      <c r="BT50" s="17">
        <f t="shared" si="117"/>
        <v>3.0729765141472929</v>
      </c>
      <c r="BV50" s="67">
        <f t="shared" si="118"/>
        <v>-22.832539999122865</v>
      </c>
      <c r="BW50" s="68">
        <f t="shared" si="119"/>
        <v>37.373323646592354</v>
      </c>
      <c r="BX50" s="68">
        <f t="shared" si="120"/>
        <v>14.540783647469494</v>
      </c>
      <c r="BZ50" t="str">
        <f t="shared" si="138"/>
        <v>24 Business, media and public service professionals</v>
      </c>
      <c r="CA50" s="17">
        <f t="shared" si="121"/>
        <v>2.1650661132785789</v>
      </c>
      <c r="CB50" s="17">
        <f t="shared" si="121"/>
        <v>2.6254382211594649</v>
      </c>
      <c r="CC50" s="17">
        <f t="shared" si="121"/>
        <v>3.0746097399638126</v>
      </c>
      <c r="CD50" s="17">
        <f t="shared" si="121"/>
        <v>3.4249786513393032</v>
      </c>
      <c r="CE50" s="17">
        <f t="shared" si="121"/>
        <v>3.7215683177835523</v>
      </c>
      <c r="CG50" s="67">
        <f t="shared" si="122"/>
        <v>-32.605882631849511</v>
      </c>
      <c r="CH50" s="68">
        <f t="shared" si="123"/>
        <v>36.160499422682989</v>
      </c>
      <c r="CI50" s="68">
        <f t="shared" si="124"/>
        <v>3.5546167908334745</v>
      </c>
      <c r="CK50" t="str">
        <f t="shared" si="139"/>
        <v>24 Business, media and public service professionals</v>
      </c>
      <c r="CL50" s="17">
        <f t="shared" si="125"/>
        <v>1.2975774238705937</v>
      </c>
      <c r="CM50" s="17">
        <f t="shared" si="125"/>
        <v>1.8833215092588032</v>
      </c>
      <c r="CN50" s="17">
        <f t="shared" si="125"/>
        <v>2.202103361231734</v>
      </c>
      <c r="CO50" s="17">
        <f t="shared" si="125"/>
        <v>2.8401061846690787</v>
      </c>
      <c r="CP50" s="17">
        <f t="shared" si="125"/>
        <v>3.4928231478925773</v>
      </c>
      <c r="CR50" s="67">
        <f t="shared" si="126"/>
        <v>7.2699787980479842</v>
      </c>
      <c r="CS50" s="68">
        <f t="shared" si="127"/>
        <v>44.147209910136205</v>
      </c>
      <c r="CT50" s="68">
        <f t="shared" si="128"/>
        <v>51.417188708184192</v>
      </c>
    </row>
    <row r="51" spans="1:98" x14ac:dyDescent="0.2">
      <c r="A51" t="str">
        <f t="shared" si="95"/>
        <v>31 Science, engineering and technology associate professionals</v>
      </c>
      <c r="B51" s="17">
        <f t="shared" si="96"/>
        <v>2.1782348369060847</v>
      </c>
      <c r="C51" s="17">
        <f t="shared" si="96"/>
        <v>2.5057530844068601</v>
      </c>
      <c r="D51" s="17">
        <f t="shared" si="96"/>
        <v>2.7030188354829341</v>
      </c>
      <c r="E51" s="17">
        <f t="shared" si="96"/>
        <v>2.5054992332145023</v>
      </c>
      <c r="F51" s="17">
        <f t="shared" si="96"/>
        <v>2.7890079166645854</v>
      </c>
      <c r="H51" s="67">
        <f t="shared" si="129"/>
        <v>62.869427374923873</v>
      </c>
      <c r="I51" s="68">
        <f t="shared" si="130"/>
        <v>55.938718900421947</v>
      </c>
      <c r="J51" s="68">
        <f t="shared" si="131"/>
        <v>118.80814627534582</v>
      </c>
      <c r="L51" t="str">
        <f t="shared" si="132"/>
        <v>31 Science, engineering and technology associate professionals</v>
      </c>
      <c r="M51" s="17">
        <f t="shared" si="97"/>
        <v>1.9057631133213719</v>
      </c>
      <c r="N51" s="17">
        <f t="shared" si="97"/>
        <v>1.9664800218650795</v>
      </c>
      <c r="O51" s="17">
        <f t="shared" si="97"/>
        <v>2.1256020249909482</v>
      </c>
      <c r="P51" s="17">
        <f t="shared" si="97"/>
        <v>1.8713257689030833</v>
      </c>
      <c r="Q51" s="17">
        <f t="shared" si="97"/>
        <v>1.9499549479547358</v>
      </c>
      <c r="S51" s="67">
        <f t="shared" si="98"/>
        <v>46.445212597794956</v>
      </c>
      <c r="T51" s="68">
        <f t="shared" si="99"/>
        <v>49.68911891803598</v>
      </c>
      <c r="U51" s="68">
        <f t="shared" si="100"/>
        <v>96.134331515830922</v>
      </c>
      <c r="W51" t="str">
        <f t="shared" si="133"/>
        <v>31 Science, engineering and technology associate professionals</v>
      </c>
      <c r="X51" s="17">
        <f t="shared" si="101"/>
        <v>2.1726661968090655</v>
      </c>
      <c r="Y51" s="17">
        <f t="shared" si="101"/>
        <v>2.3535929048446653</v>
      </c>
      <c r="Z51" s="17">
        <f t="shared" si="101"/>
        <v>2.4743028643678935</v>
      </c>
      <c r="AA51" s="17">
        <f t="shared" si="101"/>
        <v>2.0873312633771621</v>
      </c>
      <c r="AB51" s="17">
        <f t="shared" si="101"/>
        <v>1.9774256431860759</v>
      </c>
      <c r="AD51" s="67">
        <f t="shared" si="102"/>
        <v>6.1287065929589541</v>
      </c>
      <c r="AE51" s="68">
        <f t="shared" si="103"/>
        <v>43.298278797626047</v>
      </c>
      <c r="AF51" s="68">
        <f t="shared" si="104"/>
        <v>49.426985390585003</v>
      </c>
      <c r="AH51" t="str">
        <f t="shared" si="134"/>
        <v>31 Science, engineering and technology associate professionals</v>
      </c>
      <c r="AI51" s="17">
        <f t="shared" si="105"/>
        <v>1.2183629526674287</v>
      </c>
      <c r="AJ51" s="17">
        <f t="shared" si="105"/>
        <v>1.3574637663684321</v>
      </c>
      <c r="AK51" s="17">
        <f t="shared" si="105"/>
        <v>1.5958513168802437</v>
      </c>
      <c r="AL51" s="17">
        <f t="shared" si="105"/>
        <v>1.5778152952385363</v>
      </c>
      <c r="AM51" s="17">
        <f t="shared" si="105"/>
        <v>1.8330811075429876</v>
      </c>
      <c r="AO51" s="67">
        <f t="shared" si="106"/>
        <v>36.74250479958198</v>
      </c>
      <c r="AP51" s="68">
        <f t="shared" si="107"/>
        <v>52.315354335622978</v>
      </c>
      <c r="AQ51" s="68">
        <f t="shared" si="108"/>
        <v>89.05785913520495</v>
      </c>
      <c r="AS51" t="str">
        <f t="shared" si="135"/>
        <v>31 Science, engineering and technology associate professionals</v>
      </c>
      <c r="AT51" s="17">
        <f t="shared" si="109"/>
        <v>3.570089147238424</v>
      </c>
      <c r="AU51" s="17">
        <f t="shared" si="109"/>
        <v>3.4774341429686584</v>
      </c>
      <c r="AV51" s="17">
        <f t="shared" si="109"/>
        <v>3.794665564694502</v>
      </c>
      <c r="AW51" s="17">
        <f t="shared" si="109"/>
        <v>2.9077996445111536</v>
      </c>
      <c r="AX51" s="17">
        <f t="shared" si="109"/>
        <v>2.5493535624045665</v>
      </c>
      <c r="AZ51" s="67">
        <f t="shared" si="110"/>
        <v>-15.604855469578464</v>
      </c>
      <c r="BA51" s="68">
        <f t="shared" si="111"/>
        <v>31.788159442656656</v>
      </c>
      <c r="BB51" s="68">
        <f t="shared" si="112"/>
        <v>16.183303973078196</v>
      </c>
      <c r="BD51" t="str">
        <f t="shared" si="136"/>
        <v>31 Science, engineering and technology associate professionals</v>
      </c>
      <c r="BE51" s="17">
        <f t="shared" si="113"/>
        <v>1.728854155093013</v>
      </c>
      <c r="BF51" s="17">
        <f t="shared" si="113"/>
        <v>1.8792049995812818</v>
      </c>
      <c r="BG51" s="17">
        <f t="shared" si="113"/>
        <v>1.9994754302876818</v>
      </c>
      <c r="BH51" s="17">
        <f t="shared" si="113"/>
        <v>1.5624365863555061</v>
      </c>
      <c r="BI51" s="17">
        <f t="shared" si="113"/>
        <v>1.3954606848511812</v>
      </c>
      <c r="BK51" s="67">
        <f t="shared" si="114"/>
        <v>-25.544423650638898</v>
      </c>
      <c r="BL51" s="68">
        <f t="shared" si="115"/>
        <v>28.710903921132992</v>
      </c>
      <c r="BM51" s="68">
        <f t="shared" si="116"/>
        <v>3.1664802704940911</v>
      </c>
      <c r="BO51" t="str">
        <f t="shared" si="137"/>
        <v>31 Science, engineering and technology associate professionals</v>
      </c>
      <c r="BP51" s="17">
        <f t="shared" si="117"/>
        <v>1.1195548829210609</v>
      </c>
      <c r="BQ51" s="17">
        <f t="shared" si="117"/>
        <v>1.2995797039343768</v>
      </c>
      <c r="BR51" s="17">
        <f t="shared" si="117"/>
        <v>1.428011184024188</v>
      </c>
      <c r="BS51" s="17">
        <f t="shared" si="117"/>
        <v>1.1938898145821604</v>
      </c>
      <c r="BT51" s="17">
        <f t="shared" si="117"/>
        <v>1.3212977803014301</v>
      </c>
      <c r="BV51" s="67">
        <f t="shared" si="118"/>
        <v>-28.398041183761379</v>
      </c>
      <c r="BW51" s="68">
        <f t="shared" si="119"/>
        <v>29.845070093423921</v>
      </c>
      <c r="BX51" s="68">
        <f t="shared" si="120"/>
        <v>1.4470289096625391</v>
      </c>
      <c r="BZ51" t="str">
        <f t="shared" si="138"/>
        <v>31 Science, engineering and technology associate professionals</v>
      </c>
      <c r="CA51" s="17">
        <f t="shared" si="121"/>
        <v>1.2537559668692515</v>
      </c>
      <c r="CB51" s="17">
        <f t="shared" si="121"/>
        <v>1.6608091348871004</v>
      </c>
      <c r="CC51" s="17">
        <f t="shared" si="121"/>
        <v>1.9338857666438267</v>
      </c>
      <c r="CD51" s="17">
        <f t="shared" si="121"/>
        <v>1.6719526798857873</v>
      </c>
      <c r="CE51" s="17">
        <f t="shared" si="121"/>
        <v>2.1030848208292667</v>
      </c>
      <c r="CG51" s="67">
        <f t="shared" si="122"/>
        <v>-39.45030435027693</v>
      </c>
      <c r="CH51" s="68">
        <f t="shared" si="123"/>
        <v>27.253013732598326</v>
      </c>
      <c r="CI51" s="68">
        <f t="shared" si="124"/>
        <v>-12.197290617678599</v>
      </c>
      <c r="CK51" t="str">
        <f t="shared" si="139"/>
        <v>31 Science, engineering and technology associate professionals</v>
      </c>
      <c r="CL51" s="17">
        <f t="shared" si="125"/>
        <v>0.6327407055015718</v>
      </c>
      <c r="CM51" s="17">
        <f t="shared" si="125"/>
        <v>0.93219534647935132</v>
      </c>
      <c r="CN51" s="17">
        <f t="shared" si="125"/>
        <v>1.2187211035561514</v>
      </c>
      <c r="CO51" s="17">
        <f t="shared" si="125"/>
        <v>1.4707443180461464</v>
      </c>
      <c r="CP51" s="17">
        <f t="shared" si="125"/>
        <v>2.078235486178782</v>
      </c>
      <c r="CR51" s="67">
        <f t="shared" si="126"/>
        <v>15.326662179113907</v>
      </c>
      <c r="CS51" s="68">
        <f t="shared" si="127"/>
        <v>44.859258859785776</v>
      </c>
      <c r="CT51" s="68">
        <f t="shared" si="128"/>
        <v>60.185921038899679</v>
      </c>
    </row>
    <row r="52" spans="1:98" x14ac:dyDescent="0.2">
      <c r="A52" t="str">
        <f t="shared" si="95"/>
        <v>32 Health and social care associate professionals</v>
      </c>
      <c r="B52" s="17">
        <f t="shared" si="96"/>
        <v>0.61903558012120674</v>
      </c>
      <c r="C52" s="17">
        <f t="shared" si="96"/>
        <v>0.74802913813148197</v>
      </c>
      <c r="D52" s="17">
        <f t="shared" si="96"/>
        <v>0.57520522359913129</v>
      </c>
      <c r="E52" s="17">
        <f t="shared" si="96"/>
        <v>0.62000433104543418</v>
      </c>
      <c r="F52" s="17">
        <f t="shared" si="96"/>
        <v>0.69934558421660453</v>
      </c>
      <c r="H52" s="67">
        <f t="shared" si="129"/>
        <v>91.914553583247169</v>
      </c>
      <c r="I52" s="68">
        <f t="shared" si="130"/>
        <v>80.833566687786004</v>
      </c>
      <c r="J52" s="68">
        <f t="shared" si="131"/>
        <v>172.74812027103317</v>
      </c>
      <c r="L52" t="str">
        <f t="shared" si="132"/>
        <v>32 Health and social care associate professionals</v>
      </c>
      <c r="M52" s="17">
        <f t="shared" si="97"/>
        <v>1.9098468991134783</v>
      </c>
      <c r="N52" s="17">
        <f t="shared" si="97"/>
        <v>2.1597064646650894</v>
      </c>
      <c r="O52" s="17">
        <f t="shared" si="97"/>
        <v>2.0093369148071551</v>
      </c>
      <c r="P52" s="17">
        <f t="shared" si="97"/>
        <v>2.0432324186563053</v>
      </c>
      <c r="Q52" s="17">
        <f t="shared" si="97"/>
        <v>2.1533157329263268</v>
      </c>
      <c r="S52" s="67">
        <f t="shared" si="98"/>
        <v>71.075377508476819</v>
      </c>
      <c r="T52" s="68">
        <f t="shared" si="99"/>
        <v>69.345982293633384</v>
      </c>
      <c r="U52" s="68">
        <f t="shared" si="100"/>
        <v>140.42135980211023</v>
      </c>
      <c r="W52" t="str">
        <f t="shared" si="133"/>
        <v>32 Health and social care associate professionals</v>
      </c>
      <c r="X52" s="17">
        <f t="shared" si="101"/>
        <v>2.6780603803075396</v>
      </c>
      <c r="Y52" s="17">
        <f t="shared" si="101"/>
        <v>2.9726937934933013</v>
      </c>
      <c r="Z52" s="17">
        <f t="shared" si="101"/>
        <v>2.7689814694637387</v>
      </c>
      <c r="AA52" s="17">
        <f t="shared" si="101"/>
        <v>2.9287847042596944</v>
      </c>
      <c r="AB52" s="17">
        <f t="shared" si="101"/>
        <v>3.1498770320411049</v>
      </c>
      <c r="AD52" s="67">
        <f t="shared" si="102"/>
        <v>51.063352249093306</v>
      </c>
      <c r="AE52" s="68">
        <f t="shared" si="103"/>
        <v>81.249914700464274</v>
      </c>
      <c r="AF52" s="68">
        <f t="shared" si="104"/>
        <v>132.3132669495576</v>
      </c>
      <c r="AH52" t="str">
        <f t="shared" si="134"/>
        <v>32 Health and social care associate professionals</v>
      </c>
      <c r="AI52" s="17">
        <f t="shared" si="105"/>
        <v>5.8457348618337175</v>
      </c>
      <c r="AJ52" s="17">
        <f t="shared" si="105"/>
        <v>5.144193307202106</v>
      </c>
      <c r="AK52" s="17">
        <f t="shared" si="105"/>
        <v>4.8242838286111027</v>
      </c>
      <c r="AL52" s="17">
        <f t="shared" si="105"/>
        <v>3.5969157037603319</v>
      </c>
      <c r="AM52" s="17">
        <f t="shared" si="105"/>
        <v>1.8933894820376578</v>
      </c>
      <c r="AO52" s="67">
        <f t="shared" si="106"/>
        <v>-53.278004295409509</v>
      </c>
      <c r="AP52" s="68">
        <f t="shared" si="107"/>
        <v>30.581949459614243</v>
      </c>
      <c r="AQ52" s="68">
        <f t="shared" si="108"/>
        <v>-22.69605483579527</v>
      </c>
      <c r="AS52" t="str">
        <f t="shared" si="135"/>
        <v>32 Health and social care associate professionals</v>
      </c>
      <c r="AT52" s="17">
        <f t="shared" si="109"/>
        <v>1.4044696447139171</v>
      </c>
      <c r="AU52" s="17">
        <f t="shared" si="109"/>
        <v>1.6224792873159282</v>
      </c>
      <c r="AV52" s="17">
        <f t="shared" si="109"/>
        <v>1.6000009309572873</v>
      </c>
      <c r="AW52" s="17">
        <f t="shared" si="109"/>
        <v>1.4973415027496708</v>
      </c>
      <c r="AX52" s="17">
        <f t="shared" si="109"/>
        <v>1.452024556627167</v>
      </c>
      <c r="AZ52" s="67">
        <f t="shared" si="110"/>
        <v>14.002564956068886</v>
      </c>
      <c r="BA52" s="68">
        <f t="shared" si="111"/>
        <v>61.121682800108935</v>
      </c>
      <c r="BB52" s="68">
        <f t="shared" si="112"/>
        <v>75.124247756177823</v>
      </c>
      <c r="BD52" t="str">
        <f t="shared" si="136"/>
        <v>32 Health and social care associate professionals</v>
      </c>
      <c r="BE52" s="17">
        <f t="shared" si="113"/>
        <v>1.4011854930296572</v>
      </c>
      <c r="BF52" s="17">
        <f t="shared" si="113"/>
        <v>1.5670872485347007</v>
      </c>
      <c r="BG52" s="17">
        <f t="shared" si="113"/>
        <v>1.735740062955939</v>
      </c>
      <c r="BH52" s="17">
        <f t="shared" si="113"/>
        <v>1.6940627680941918</v>
      </c>
      <c r="BI52" s="17">
        <f t="shared" si="113"/>
        <v>1.8057318484699068</v>
      </c>
      <c r="BK52" s="67">
        <f t="shared" si="114"/>
        <v>10.984994950477692</v>
      </c>
      <c r="BL52" s="68">
        <f t="shared" si="115"/>
        <v>58.78972423810481</v>
      </c>
      <c r="BM52" s="68">
        <f t="shared" si="116"/>
        <v>69.774719188582509</v>
      </c>
      <c r="BO52" t="str">
        <f t="shared" si="137"/>
        <v>32 Health and social care associate professionals</v>
      </c>
      <c r="BP52" s="17">
        <f t="shared" si="117"/>
        <v>1.1645991098757555</v>
      </c>
      <c r="BQ52" s="17">
        <f t="shared" si="117"/>
        <v>1.2743291451129828</v>
      </c>
      <c r="BR52" s="17">
        <f t="shared" si="117"/>
        <v>1.3644163610556466</v>
      </c>
      <c r="BS52" s="17">
        <f t="shared" si="117"/>
        <v>1.2702872548728685</v>
      </c>
      <c r="BT52" s="17">
        <f t="shared" si="117"/>
        <v>1.181143591918387</v>
      </c>
      <c r="BV52" s="67">
        <f t="shared" si="118"/>
        <v>-33.009751858803838</v>
      </c>
      <c r="BW52" s="68">
        <f t="shared" si="119"/>
        <v>45.251087678329618</v>
      </c>
      <c r="BX52" s="68">
        <f t="shared" si="120"/>
        <v>12.241335819525784</v>
      </c>
      <c r="BZ52" t="str">
        <f t="shared" si="138"/>
        <v>32 Health and social care associate professionals</v>
      </c>
      <c r="CA52" s="17">
        <f t="shared" si="121"/>
        <v>0.69840994363600295</v>
      </c>
      <c r="CB52" s="17">
        <f t="shared" si="121"/>
        <v>0.61648271416681188</v>
      </c>
      <c r="CC52" s="17">
        <f t="shared" si="121"/>
        <v>0.62195005565527206</v>
      </c>
      <c r="CD52" s="17">
        <f t="shared" si="121"/>
        <v>0.66688937517312874</v>
      </c>
      <c r="CE52" s="17">
        <f t="shared" si="121"/>
        <v>0.68511856796475679</v>
      </c>
      <c r="CG52" s="67">
        <f t="shared" si="122"/>
        <v>-38.666715920103663</v>
      </c>
      <c r="CH52" s="68">
        <f t="shared" si="123"/>
        <v>36.05827776688151</v>
      </c>
      <c r="CI52" s="68">
        <f t="shared" si="124"/>
        <v>-2.6084381532221528</v>
      </c>
      <c r="CK52" t="str">
        <f t="shared" si="139"/>
        <v>32 Health and social care associate professionals</v>
      </c>
      <c r="CL52" s="17">
        <f t="shared" si="125"/>
        <v>0.24614791999511532</v>
      </c>
      <c r="CM52" s="17">
        <f t="shared" si="125"/>
        <v>0.29472468634924776</v>
      </c>
      <c r="CN52" s="17">
        <f t="shared" si="125"/>
        <v>0.33594131825291568</v>
      </c>
      <c r="CO52" s="17">
        <f t="shared" si="125"/>
        <v>0.44336167766971035</v>
      </c>
      <c r="CP52" s="17">
        <f t="shared" si="125"/>
        <v>0.70130777012440015</v>
      </c>
      <c r="CR52" s="67">
        <f t="shared" si="126"/>
        <v>41.183689394564546</v>
      </c>
      <c r="CS52" s="68">
        <f t="shared" si="127"/>
        <v>57.890468988753717</v>
      </c>
      <c r="CT52" s="68">
        <f t="shared" si="128"/>
        <v>99.074158383318263</v>
      </c>
    </row>
    <row r="53" spans="1:98" x14ac:dyDescent="0.2">
      <c r="A53" t="str">
        <f t="shared" si="95"/>
        <v>33 Protective service occupations</v>
      </c>
      <c r="B53" s="17">
        <f t="shared" si="96"/>
        <v>0.26605156516968997</v>
      </c>
      <c r="C53" s="17">
        <f t="shared" si="96"/>
        <v>0.26719288674978287</v>
      </c>
      <c r="D53" s="17">
        <f t="shared" si="96"/>
        <v>0.26628272535417796</v>
      </c>
      <c r="E53" s="17">
        <f t="shared" si="96"/>
        <v>0.34363239107731802</v>
      </c>
      <c r="F53" s="17">
        <f t="shared" si="96"/>
        <v>0.43423279856836261</v>
      </c>
      <c r="H53" s="67">
        <f t="shared" si="129"/>
        <v>157.40591639559321</v>
      </c>
      <c r="I53" s="68">
        <f t="shared" si="130"/>
        <v>67.622437559469262</v>
      </c>
      <c r="J53" s="68">
        <f t="shared" si="131"/>
        <v>225.02835395506247</v>
      </c>
      <c r="L53" t="str">
        <f t="shared" si="132"/>
        <v>33 Protective service occupations</v>
      </c>
      <c r="M53" s="17">
        <f t="shared" si="97"/>
        <v>0.62514487185291623</v>
      </c>
      <c r="N53" s="17">
        <f t="shared" si="97"/>
        <v>0.56654862663941574</v>
      </c>
      <c r="O53" s="17">
        <f t="shared" si="97"/>
        <v>0.60818719546690336</v>
      </c>
      <c r="P53" s="17">
        <f t="shared" si="97"/>
        <v>0.76923799180944352</v>
      </c>
      <c r="Q53" s="17">
        <f t="shared" si="97"/>
        <v>0.94217974933366311</v>
      </c>
      <c r="S53" s="67">
        <f t="shared" si="98"/>
        <v>147.30280914434331</v>
      </c>
      <c r="T53" s="68">
        <f t="shared" si="99"/>
        <v>58.117135063553448</v>
      </c>
      <c r="U53" s="68">
        <f t="shared" si="100"/>
        <v>205.41994420789678</v>
      </c>
      <c r="W53" t="str">
        <f t="shared" si="133"/>
        <v>33 Protective service occupations</v>
      </c>
      <c r="X53" s="17">
        <f t="shared" si="101"/>
        <v>1.2842164790268067</v>
      </c>
      <c r="Y53" s="17">
        <f t="shared" si="101"/>
        <v>1.2601686484655423</v>
      </c>
      <c r="Z53" s="17">
        <f t="shared" si="101"/>
        <v>1.3541739131846908</v>
      </c>
      <c r="AA53" s="17">
        <f t="shared" si="101"/>
        <v>1.6532167380711684</v>
      </c>
      <c r="AB53" s="17">
        <f t="shared" si="101"/>
        <v>2.0015510412336788</v>
      </c>
      <c r="AD53" s="67">
        <f t="shared" si="102"/>
        <v>96.28078839757039</v>
      </c>
      <c r="AE53" s="68">
        <f t="shared" si="103"/>
        <v>60.675416741843634</v>
      </c>
      <c r="AF53" s="68">
        <f t="shared" si="104"/>
        <v>156.95620513941401</v>
      </c>
      <c r="AH53" t="str">
        <f t="shared" si="134"/>
        <v>33 Protective service occupations</v>
      </c>
      <c r="AI53" s="17">
        <f t="shared" si="105"/>
        <v>1.1473198337466672</v>
      </c>
      <c r="AJ53" s="17">
        <f t="shared" si="105"/>
        <v>1.1629262315455529</v>
      </c>
      <c r="AK53" s="17">
        <f t="shared" si="105"/>
        <v>1.3667872447622649</v>
      </c>
      <c r="AL53" s="17">
        <f t="shared" si="105"/>
        <v>1.7024484244256246</v>
      </c>
      <c r="AM53" s="17">
        <f t="shared" si="105"/>
        <v>2.034363520203299</v>
      </c>
      <c r="AO53" s="67">
        <f t="shared" si="106"/>
        <v>77.191105672624133</v>
      </c>
      <c r="AP53" s="68">
        <f t="shared" si="107"/>
        <v>50.778566547787996</v>
      </c>
      <c r="AQ53" s="68">
        <f t="shared" si="108"/>
        <v>127.96967222041214</v>
      </c>
      <c r="AS53" t="str">
        <f t="shared" si="135"/>
        <v>33 Protective service occupations</v>
      </c>
      <c r="AT53" s="17">
        <f t="shared" si="109"/>
        <v>1.0719309866035724</v>
      </c>
      <c r="AU53" s="17">
        <f t="shared" si="109"/>
        <v>0.8951039508317804</v>
      </c>
      <c r="AV53" s="17">
        <f t="shared" si="109"/>
        <v>0.92614565968634277</v>
      </c>
      <c r="AW53" s="17">
        <f t="shared" si="109"/>
        <v>0.96550239866636678</v>
      </c>
      <c r="AX53" s="17">
        <f t="shared" si="109"/>
        <v>0.94527844932211968</v>
      </c>
      <c r="AZ53" s="67">
        <f t="shared" si="110"/>
        <v>28.215744328184673</v>
      </c>
      <c r="BA53" s="68">
        <f t="shared" si="111"/>
        <v>39.422449399462636</v>
      </c>
      <c r="BB53" s="68">
        <f t="shared" si="112"/>
        <v>67.638193727647305</v>
      </c>
      <c r="BD53" t="str">
        <f t="shared" si="136"/>
        <v>33 Protective service occupations</v>
      </c>
      <c r="BE53" s="17">
        <f t="shared" si="113"/>
        <v>1.2445128255694338</v>
      </c>
      <c r="BF53" s="17">
        <f t="shared" si="113"/>
        <v>1.1669140349097877</v>
      </c>
      <c r="BG53" s="17">
        <f t="shared" si="113"/>
        <v>1.1440654398249823</v>
      </c>
      <c r="BH53" s="17">
        <f t="shared" si="113"/>
        <v>1.3762682060386413</v>
      </c>
      <c r="BI53" s="17">
        <f t="shared" si="113"/>
        <v>1.4297068895644656</v>
      </c>
      <c r="BK53" s="67">
        <f t="shared" si="114"/>
        <v>33.318936237764639</v>
      </c>
      <c r="BL53" s="68">
        <f t="shared" si="115"/>
        <v>31.924380011906482</v>
      </c>
      <c r="BM53" s="68">
        <f t="shared" si="116"/>
        <v>65.243316249671125</v>
      </c>
      <c r="BO53" t="str">
        <f t="shared" si="137"/>
        <v>33 Protective service occupations</v>
      </c>
      <c r="BP53" s="17">
        <f t="shared" si="117"/>
        <v>1.1987565450735964</v>
      </c>
      <c r="BQ53" s="17">
        <f t="shared" si="117"/>
        <v>1.2225343875227204</v>
      </c>
      <c r="BR53" s="17">
        <f t="shared" si="117"/>
        <v>1.2280301415180024</v>
      </c>
      <c r="BS53" s="17">
        <f t="shared" si="117"/>
        <v>1.4272166769155186</v>
      </c>
      <c r="BT53" s="17">
        <f t="shared" si="117"/>
        <v>1.4789066995504991</v>
      </c>
      <c r="BV53" s="67">
        <f t="shared" si="118"/>
        <v>-6.8060849559660754</v>
      </c>
      <c r="BW53" s="68">
        <f t="shared" si="119"/>
        <v>29.207479380798624</v>
      </c>
      <c r="BX53" s="68">
        <f t="shared" si="120"/>
        <v>22.401394424832546</v>
      </c>
      <c r="BZ53" t="str">
        <f t="shared" si="138"/>
        <v>33 Protective service occupations</v>
      </c>
      <c r="CA53" s="17">
        <f t="shared" si="121"/>
        <v>0.92881051349261656</v>
      </c>
      <c r="CB53" s="17">
        <f t="shared" si="121"/>
        <v>0.9402288216210466</v>
      </c>
      <c r="CC53" s="17">
        <f t="shared" si="121"/>
        <v>1.0007384965143011</v>
      </c>
      <c r="CD53" s="17">
        <f t="shared" si="121"/>
        <v>1.2161837213425193</v>
      </c>
      <c r="CE53" s="17">
        <f t="shared" si="121"/>
        <v>1.3191087491893934</v>
      </c>
      <c r="CG53" s="67">
        <f t="shared" si="122"/>
        <v>-26.608462326629752</v>
      </c>
      <c r="CH53" s="68">
        <f t="shared" si="123"/>
        <v>31.054489893732061</v>
      </c>
      <c r="CI53" s="68">
        <f t="shared" si="124"/>
        <v>4.4460275671023144</v>
      </c>
      <c r="CK53" t="str">
        <f t="shared" si="139"/>
        <v>33 Protective service occupations</v>
      </c>
      <c r="CL53" s="17">
        <f t="shared" si="125"/>
        <v>0.49205204240359862</v>
      </c>
      <c r="CM53" s="17">
        <f t="shared" si="125"/>
        <v>0.46092465984314296</v>
      </c>
      <c r="CN53" s="17">
        <f t="shared" si="125"/>
        <v>0.47928004586404321</v>
      </c>
      <c r="CO53" s="17">
        <f t="shared" si="125"/>
        <v>0.49479114390766049</v>
      </c>
      <c r="CP53" s="17">
        <f t="shared" si="125"/>
        <v>0.30999944227372889</v>
      </c>
      <c r="CR53" s="67">
        <f t="shared" si="126"/>
        <v>-56.256768570750026</v>
      </c>
      <c r="CS53" s="68">
        <f t="shared" si="127"/>
        <v>18.497967677125189</v>
      </c>
      <c r="CT53" s="68">
        <f t="shared" si="128"/>
        <v>-37.758800893624837</v>
      </c>
    </row>
    <row r="54" spans="1:98" x14ac:dyDescent="0.2">
      <c r="A54" t="str">
        <f t="shared" si="95"/>
        <v>34 Culture, media and sports occupations</v>
      </c>
      <c r="B54" s="17">
        <f t="shared" si="96"/>
        <v>1.1054280058486334</v>
      </c>
      <c r="C54" s="17">
        <f t="shared" si="96"/>
        <v>1.2083143353932491</v>
      </c>
      <c r="D54" s="17">
        <f t="shared" si="96"/>
        <v>1.311961633790022</v>
      </c>
      <c r="E54" s="17">
        <f t="shared" si="96"/>
        <v>1.1828270075855727</v>
      </c>
      <c r="F54" s="17">
        <f t="shared" si="96"/>
        <v>1.2000828538512796</v>
      </c>
      <c r="H54" s="67">
        <f t="shared" si="129"/>
        <v>44.387298335961837</v>
      </c>
      <c r="I54" s="68">
        <f t="shared" si="130"/>
        <v>55.570425515013866</v>
      </c>
      <c r="J54" s="68">
        <f t="shared" si="131"/>
        <v>99.957723850975711</v>
      </c>
      <c r="L54" t="str">
        <f t="shared" si="132"/>
        <v>34 Culture, media and sports occupations</v>
      </c>
      <c r="M54" s="17">
        <f t="shared" si="97"/>
        <v>2.8086726571480094</v>
      </c>
      <c r="N54" s="17">
        <f t="shared" si="97"/>
        <v>2.6727372215786169</v>
      </c>
      <c r="O54" s="17">
        <f t="shared" si="97"/>
        <v>2.6489135295724244</v>
      </c>
      <c r="P54" s="17">
        <f t="shared" si="97"/>
        <v>2.3241375393034076</v>
      </c>
      <c r="Q54" s="17">
        <f t="shared" si="97"/>
        <v>2.2779695980872736</v>
      </c>
      <c r="S54" s="67">
        <f t="shared" si="98"/>
        <v>37.281715836695383</v>
      </c>
      <c r="T54" s="68">
        <f t="shared" si="99"/>
        <v>53.248700644041222</v>
      </c>
      <c r="U54" s="68">
        <f t="shared" si="100"/>
        <v>90.530416480736605</v>
      </c>
      <c r="W54" t="str">
        <f t="shared" si="133"/>
        <v>34 Culture, media and sports occupations</v>
      </c>
      <c r="X54" s="17">
        <f t="shared" si="101"/>
        <v>3.1670360842997529</v>
      </c>
      <c r="Y54" s="17">
        <f t="shared" si="101"/>
        <v>2.6163443010729579</v>
      </c>
      <c r="Z54" s="17">
        <f t="shared" si="101"/>
        <v>2.6572023118777879</v>
      </c>
      <c r="AA54" s="17">
        <f t="shared" si="101"/>
        <v>2.284724899634996</v>
      </c>
      <c r="AB54" s="17">
        <f t="shared" si="101"/>
        <v>2.0708948829002489</v>
      </c>
      <c r="AD54" s="67">
        <f t="shared" si="102"/>
        <v>3.4949123160682904</v>
      </c>
      <c r="AE54" s="68">
        <f t="shared" si="103"/>
        <v>48.074255661514002</v>
      </c>
      <c r="AF54" s="68">
        <f t="shared" si="104"/>
        <v>51.569167977582289</v>
      </c>
      <c r="AH54" t="str">
        <f t="shared" si="134"/>
        <v>34 Culture, media and sports occupations</v>
      </c>
      <c r="AI54" s="17">
        <f t="shared" si="105"/>
        <v>1.1421314822088133</v>
      </c>
      <c r="AJ54" s="17">
        <f t="shared" si="105"/>
        <v>1.1158725137609236</v>
      </c>
      <c r="AK54" s="17">
        <f t="shared" si="105"/>
        <v>1.2966717005084751</v>
      </c>
      <c r="AL54" s="17">
        <f t="shared" si="105"/>
        <v>1.178202269770275</v>
      </c>
      <c r="AM54" s="17">
        <f t="shared" si="105"/>
        <v>1.3004291787536866</v>
      </c>
      <c r="AO54" s="67">
        <f t="shared" si="106"/>
        <v>19.390823765419913</v>
      </c>
      <c r="AP54" s="68">
        <f t="shared" si="107"/>
        <v>48.849975054533047</v>
      </c>
      <c r="AQ54" s="68">
        <f t="shared" si="108"/>
        <v>68.240798819952957</v>
      </c>
      <c r="AS54" t="str">
        <f t="shared" si="135"/>
        <v>34 Culture, media and sports occupations</v>
      </c>
      <c r="AT54" s="17">
        <f t="shared" si="109"/>
        <v>1.7324857557014988</v>
      </c>
      <c r="AU54" s="17">
        <f t="shared" si="109"/>
        <v>1.510538371365638</v>
      </c>
      <c r="AV54" s="17">
        <f t="shared" si="109"/>
        <v>1.4951485790465238</v>
      </c>
      <c r="AW54" s="17">
        <f t="shared" si="109"/>
        <v>1.2531484648315023</v>
      </c>
      <c r="AX54" s="17">
        <f t="shared" si="109"/>
        <v>1.0944155606612649</v>
      </c>
      <c r="AZ54" s="67">
        <f t="shared" si="110"/>
        <v>-8.0485030780565072</v>
      </c>
      <c r="BA54" s="68">
        <f t="shared" si="111"/>
        <v>43.431662030474392</v>
      </c>
      <c r="BB54" s="68">
        <f t="shared" si="112"/>
        <v>35.383158952417887</v>
      </c>
      <c r="BD54" t="str">
        <f t="shared" si="136"/>
        <v>34 Culture, media and sports occupations</v>
      </c>
      <c r="BE54" s="17">
        <f t="shared" si="113"/>
        <v>1.1587546511714559</v>
      </c>
      <c r="BF54" s="17">
        <f t="shared" si="113"/>
        <v>1.0274839967629383</v>
      </c>
      <c r="BG54" s="17">
        <f t="shared" si="113"/>
        <v>1.0017527020111512</v>
      </c>
      <c r="BH54" s="17">
        <f t="shared" si="113"/>
        <v>0.83277187263190666</v>
      </c>
      <c r="BI54" s="17">
        <f t="shared" si="113"/>
        <v>0.83086914196860961</v>
      </c>
      <c r="BK54" s="67">
        <f t="shared" si="114"/>
        <v>-11.515377263571288</v>
      </c>
      <c r="BL54" s="68">
        <f t="shared" si="115"/>
        <v>33.639576406611482</v>
      </c>
      <c r="BM54" s="68">
        <f t="shared" si="116"/>
        <v>22.124199143040194</v>
      </c>
      <c r="BO54" t="str">
        <f t="shared" si="137"/>
        <v>34 Culture, media and sports occupations</v>
      </c>
      <c r="BP54" s="17">
        <f t="shared" si="117"/>
        <v>0.61793104274198807</v>
      </c>
      <c r="BQ54" s="17">
        <f t="shared" si="117"/>
        <v>0.49705829770189913</v>
      </c>
      <c r="BR54" s="17">
        <f t="shared" si="117"/>
        <v>0.49152796311092689</v>
      </c>
      <c r="BS54" s="17">
        <f t="shared" si="117"/>
        <v>0.37162793338498085</v>
      </c>
      <c r="BT54" s="17">
        <f t="shared" si="117"/>
        <v>0.28191516031344532</v>
      </c>
      <c r="BV54" s="67">
        <f t="shared" si="118"/>
        <v>-55.616044077439739</v>
      </c>
      <c r="BW54" s="68">
        <f t="shared" si="119"/>
        <v>25.032174044419232</v>
      </c>
      <c r="BX54" s="68">
        <f t="shared" si="120"/>
        <v>-30.58387003302051</v>
      </c>
      <c r="BZ54" t="str">
        <f t="shared" si="138"/>
        <v>34 Culture, media and sports occupations</v>
      </c>
      <c r="CA54" s="17">
        <f t="shared" si="121"/>
        <v>0.6885031278615108</v>
      </c>
      <c r="CB54" s="17">
        <f t="shared" si="121"/>
        <v>0.65897396562729582</v>
      </c>
      <c r="CC54" s="17">
        <f t="shared" si="121"/>
        <v>0.67179674455763005</v>
      </c>
      <c r="CD54" s="17">
        <f t="shared" si="121"/>
        <v>0.63668033465981455</v>
      </c>
      <c r="CE54" s="17">
        <f t="shared" si="121"/>
        <v>0.70248855522748765</v>
      </c>
      <c r="CG54" s="67">
        <f t="shared" si="122"/>
        <v>-41.777969030658568</v>
      </c>
      <c r="CH54" s="68">
        <f t="shared" si="123"/>
        <v>28.872590665611042</v>
      </c>
      <c r="CI54" s="68">
        <f t="shared" si="124"/>
        <v>-12.905378365047524</v>
      </c>
      <c r="CK54" t="str">
        <f t="shared" si="139"/>
        <v>34 Culture, media and sports occupations</v>
      </c>
      <c r="CL54" s="17">
        <f t="shared" si="125"/>
        <v>0.57244896408262302</v>
      </c>
      <c r="CM54" s="17">
        <f t="shared" si="125"/>
        <v>0.72992464116544276</v>
      </c>
      <c r="CN54" s="17">
        <f t="shared" si="125"/>
        <v>0.80587013501222415</v>
      </c>
      <c r="CO54" s="17">
        <f t="shared" si="125"/>
        <v>0.89434010702765587</v>
      </c>
      <c r="CP54" s="17">
        <f t="shared" si="125"/>
        <v>1.0548110083161208</v>
      </c>
      <c r="CR54" s="67">
        <f t="shared" si="126"/>
        <v>-11.478474372383202</v>
      </c>
      <c r="CS54" s="68">
        <f t="shared" si="127"/>
        <v>35.914315429090998</v>
      </c>
      <c r="CT54" s="68">
        <f t="shared" si="128"/>
        <v>24.435841056707794</v>
      </c>
    </row>
    <row r="55" spans="1:98" x14ac:dyDescent="0.2">
      <c r="A55" t="str">
        <f t="shared" si="95"/>
        <v>35 Business and public service associate professionals</v>
      </c>
      <c r="B55" s="17">
        <f t="shared" ref="B55:F64" si="140">B18/B$35*100</f>
        <v>5.0484646725555544</v>
      </c>
      <c r="C55" s="17">
        <f t="shared" si="140"/>
        <v>4.8285310642497246</v>
      </c>
      <c r="D55" s="17">
        <f t="shared" si="140"/>
        <v>4.8912545144296375</v>
      </c>
      <c r="E55" s="17">
        <f t="shared" si="140"/>
        <v>4.8346102441592187</v>
      </c>
      <c r="F55" s="17">
        <f t="shared" si="140"/>
        <v>5.0810968402276329</v>
      </c>
      <c r="H55" s="67">
        <f t="shared" si="129"/>
        <v>63.974420551114562</v>
      </c>
      <c r="I55" s="68">
        <f t="shared" si="130"/>
        <v>59.497659997918205</v>
      </c>
      <c r="J55" s="68">
        <f t="shared" si="131"/>
        <v>123.47208054903275</v>
      </c>
      <c r="L55" t="str">
        <f t="shared" si="132"/>
        <v>35 Business and public service associate professionals</v>
      </c>
      <c r="M55" s="17">
        <f t="shared" ref="M55:Q64" si="141">M18/M$35*100</f>
        <v>7.4273167940110278</v>
      </c>
      <c r="N55" s="17">
        <f t="shared" si="141"/>
        <v>7.5413577194490493</v>
      </c>
      <c r="O55" s="17">
        <f t="shared" si="141"/>
        <v>7.6646932188680923</v>
      </c>
      <c r="P55" s="17">
        <f t="shared" si="141"/>
        <v>7.4185815042693211</v>
      </c>
      <c r="Q55" s="17">
        <f t="shared" si="141"/>
        <v>7.3546415191418735</v>
      </c>
      <c r="S55" s="67">
        <f t="shared" si="98"/>
        <v>53.179020761242981</v>
      </c>
      <c r="T55" s="68">
        <f t="shared" si="99"/>
        <v>57.711339621574979</v>
      </c>
      <c r="U55" s="68">
        <f t="shared" si="100"/>
        <v>110.89036038281796</v>
      </c>
      <c r="W55" t="str">
        <f t="shared" si="133"/>
        <v>35 Business and public service associate professionals</v>
      </c>
      <c r="X55" s="17">
        <f t="shared" ref="X55:AB64" si="142">X18/X$35*100</f>
        <v>8.1376976595737354</v>
      </c>
      <c r="Y55" s="17">
        <f t="shared" si="142"/>
        <v>7.8670846848349587</v>
      </c>
      <c r="Z55" s="17">
        <f t="shared" si="142"/>
        <v>7.9825890732619147</v>
      </c>
      <c r="AA55" s="17">
        <f t="shared" si="142"/>
        <v>7.3306010926669538</v>
      </c>
      <c r="AB55" s="17">
        <f t="shared" si="142"/>
        <v>6.7663304063605034</v>
      </c>
      <c r="AD55" s="67">
        <f t="shared" si="102"/>
        <v>12.562827895043934</v>
      </c>
      <c r="AE55" s="68">
        <f t="shared" si="103"/>
        <v>53.623631304814381</v>
      </c>
      <c r="AF55" s="68">
        <f t="shared" si="104"/>
        <v>66.186459199858319</v>
      </c>
      <c r="AH55" t="str">
        <f t="shared" si="134"/>
        <v>35 Business and public service associate professionals</v>
      </c>
      <c r="AI55" s="17">
        <f t="shared" ref="AI55:AM64" si="143">AI18/AI$35*100</f>
        <v>7.0452888738537309</v>
      </c>
      <c r="AJ55" s="17">
        <f t="shared" si="143"/>
        <v>7.1881711255673553</v>
      </c>
      <c r="AK55" s="17">
        <f t="shared" si="143"/>
        <v>7.9540287263078282</v>
      </c>
      <c r="AL55" s="17">
        <f t="shared" si="143"/>
        <v>7.8529016755496794</v>
      </c>
      <c r="AM55" s="17">
        <f t="shared" si="143"/>
        <v>8.0830278513573557</v>
      </c>
      <c r="AO55" s="67">
        <f t="shared" si="106"/>
        <v>20.976550199375886</v>
      </c>
      <c r="AP55" s="68">
        <f t="shared" si="107"/>
        <v>52.960315051822349</v>
      </c>
      <c r="AQ55" s="68">
        <f t="shared" si="108"/>
        <v>73.936865251198242</v>
      </c>
      <c r="AS55" t="str">
        <f t="shared" si="135"/>
        <v>35 Business and public service associate professionals</v>
      </c>
      <c r="AT55" s="17">
        <f t="shared" ref="AT55:AX64" si="144">AT18/AT$35*100</f>
        <v>6.9624070804165061</v>
      </c>
      <c r="AU55" s="17">
        <f t="shared" si="144"/>
        <v>6.643397954777476</v>
      </c>
      <c r="AV55" s="17">
        <f t="shared" si="144"/>
        <v>6.8905925459704473</v>
      </c>
      <c r="AW55" s="17">
        <f t="shared" si="144"/>
        <v>6.3842247834034165</v>
      </c>
      <c r="AX55" s="17">
        <f t="shared" si="144"/>
        <v>6.1690092389862343</v>
      </c>
      <c r="AZ55" s="67">
        <f t="shared" si="110"/>
        <v>12.465611121154698</v>
      </c>
      <c r="BA55" s="68">
        <f t="shared" si="111"/>
        <v>48.786214610181275</v>
      </c>
      <c r="BB55" s="68">
        <f t="shared" si="112"/>
        <v>61.251825731335977</v>
      </c>
      <c r="BD55" t="str">
        <f t="shared" si="136"/>
        <v>35 Business and public service associate professionals</v>
      </c>
      <c r="BE55" s="17">
        <f t="shared" ref="BE55:BI64" si="145">BE18/BE$35*100</f>
        <v>5.1284526408117133</v>
      </c>
      <c r="BF55" s="17">
        <f t="shared" si="145"/>
        <v>5.1453144308828591</v>
      </c>
      <c r="BG55" s="17">
        <f t="shared" si="145"/>
        <v>5.4877411351266652</v>
      </c>
      <c r="BH55" s="17">
        <f t="shared" si="145"/>
        <v>4.8964542078995876</v>
      </c>
      <c r="BI55" s="17">
        <f t="shared" si="145"/>
        <v>4.5621232633584263</v>
      </c>
      <c r="BK55" s="67">
        <f t="shared" si="114"/>
        <v>-11.311135484600831</v>
      </c>
      <c r="BL55" s="68">
        <f t="shared" si="115"/>
        <v>38.542245070901217</v>
      </c>
      <c r="BM55" s="68">
        <f t="shared" si="116"/>
        <v>27.231109586300384</v>
      </c>
      <c r="BO55" t="str">
        <f t="shared" si="137"/>
        <v>35 Business and public service associate professionals</v>
      </c>
      <c r="BP55" s="17">
        <f t="shared" ref="BP55:BT64" si="146">BP18/BP$35*100</f>
        <v>4.1377762038689783</v>
      </c>
      <c r="BQ55" s="17">
        <f t="shared" si="146"/>
        <v>4.2139390077907652</v>
      </c>
      <c r="BR55" s="17">
        <f t="shared" si="146"/>
        <v>4.5316720731376288</v>
      </c>
      <c r="BS55" s="17">
        <f t="shared" si="146"/>
        <v>4.0089352264595135</v>
      </c>
      <c r="BT55" s="17">
        <f t="shared" si="146"/>
        <v>3.7787322662717746</v>
      </c>
      <c r="BV55" s="67">
        <f t="shared" si="118"/>
        <v>-35.47270591999159</v>
      </c>
      <c r="BW55" s="68">
        <f t="shared" si="119"/>
        <v>31.576720263225489</v>
      </c>
      <c r="BX55" s="68">
        <f t="shared" si="120"/>
        <v>-3.8959856567660975</v>
      </c>
      <c r="BZ55" t="str">
        <f t="shared" si="138"/>
        <v>35 Business and public service associate professionals</v>
      </c>
      <c r="CA55" s="17">
        <f t="shared" ref="CA55:CE64" si="147">CA18/CA$35*100</f>
        <v>3.803969469169695</v>
      </c>
      <c r="CB55" s="17">
        <f t="shared" si="147"/>
        <v>4.0990364418752163</v>
      </c>
      <c r="CC55" s="17">
        <f t="shared" si="147"/>
        <v>4.2433965252203976</v>
      </c>
      <c r="CD55" s="17">
        <f t="shared" si="147"/>
        <v>3.9343206145045642</v>
      </c>
      <c r="CE55" s="17">
        <f t="shared" si="147"/>
        <v>3.9852849509769617</v>
      </c>
      <c r="CG55" s="67">
        <f t="shared" si="122"/>
        <v>-47.70842105969276</v>
      </c>
      <c r="CH55" s="68">
        <f t="shared" si="123"/>
        <v>27.313165406371986</v>
      </c>
      <c r="CI55" s="68">
        <f t="shared" si="124"/>
        <v>-20.395255653320767</v>
      </c>
      <c r="CK55" t="str">
        <f t="shared" si="139"/>
        <v>35 Business and public service associate professionals</v>
      </c>
      <c r="CL55" s="17">
        <f t="shared" ref="CL55:CP64" si="148">CL18/CL$35*100</f>
        <v>2.0679000136957537</v>
      </c>
      <c r="CM55" s="17">
        <f t="shared" si="148"/>
        <v>2.6271259927236947</v>
      </c>
      <c r="CN55" s="17">
        <f t="shared" si="148"/>
        <v>2.7433329173339351</v>
      </c>
      <c r="CO55" s="17">
        <f t="shared" si="148"/>
        <v>2.6353339226746</v>
      </c>
      <c r="CP55" s="17">
        <f t="shared" si="148"/>
        <v>3.2923585730627161</v>
      </c>
      <c r="CR55" s="67">
        <f t="shared" si="126"/>
        <v>-18.835164679307319</v>
      </c>
      <c r="CS55" s="68">
        <f t="shared" si="127"/>
        <v>31.087389276073988</v>
      </c>
      <c r="CT55" s="68">
        <f t="shared" si="128"/>
        <v>12.252224596766668</v>
      </c>
    </row>
    <row r="56" spans="1:98" x14ac:dyDescent="0.2">
      <c r="A56" t="str">
        <f t="shared" si="95"/>
        <v>41 Administrative occupations</v>
      </c>
      <c r="B56" s="17">
        <f t="shared" si="140"/>
        <v>3.2372272056896891</v>
      </c>
      <c r="C56" s="17">
        <f t="shared" si="140"/>
        <v>3.2389229733844984</v>
      </c>
      <c r="D56" s="17">
        <f t="shared" si="140"/>
        <v>3.0594597475794636</v>
      </c>
      <c r="E56" s="17">
        <f t="shared" si="140"/>
        <v>3.0444460535022135</v>
      </c>
      <c r="F56" s="17">
        <f t="shared" si="140"/>
        <v>3.2577399670539382</v>
      </c>
      <c r="H56" s="67">
        <f t="shared" si="129"/>
        <v>68.077881984136127</v>
      </c>
      <c r="I56" s="68">
        <f t="shared" si="130"/>
        <v>64.45620005523493</v>
      </c>
      <c r="J56" s="68">
        <f t="shared" si="131"/>
        <v>132.53408203937104</v>
      </c>
      <c r="L56" t="str">
        <f t="shared" si="132"/>
        <v>41 Administrative occupations</v>
      </c>
      <c r="M56" s="17">
        <f t="shared" si="141"/>
        <v>5.4806281926269431</v>
      </c>
      <c r="N56" s="17">
        <f t="shared" si="141"/>
        <v>5.7107765414634413</v>
      </c>
      <c r="O56" s="17">
        <f t="shared" si="141"/>
        <v>5.5691218042747694</v>
      </c>
      <c r="P56" s="17">
        <f t="shared" si="141"/>
        <v>5.5418993217609795</v>
      </c>
      <c r="Q56" s="17">
        <f t="shared" si="141"/>
        <v>5.7243112212248324</v>
      </c>
      <c r="S56" s="67">
        <f t="shared" si="98"/>
        <v>64.085074093552791</v>
      </c>
      <c r="T56" s="68">
        <f t="shared" si="99"/>
        <v>64.648117931941954</v>
      </c>
      <c r="U56" s="68">
        <f t="shared" si="100"/>
        <v>128.73319202549476</v>
      </c>
      <c r="W56" t="str">
        <f t="shared" si="133"/>
        <v>41 Administrative occupations</v>
      </c>
      <c r="X56" s="17">
        <f t="shared" si="142"/>
        <v>8.5555047894852905</v>
      </c>
      <c r="Y56" s="17">
        <f t="shared" si="142"/>
        <v>8.6204743881026875</v>
      </c>
      <c r="Z56" s="17">
        <f t="shared" si="142"/>
        <v>8.3773828986063954</v>
      </c>
      <c r="AA56" s="17">
        <f t="shared" si="142"/>
        <v>8.0954678335592121</v>
      </c>
      <c r="AB56" s="17">
        <f t="shared" si="142"/>
        <v>7.8751763994972039</v>
      </c>
      <c r="AD56" s="67">
        <f t="shared" si="102"/>
        <v>24.835323842152292</v>
      </c>
      <c r="AE56" s="68">
        <f t="shared" si="103"/>
        <v>64.191689050767408</v>
      </c>
      <c r="AF56" s="68">
        <f t="shared" si="104"/>
        <v>89.027012892919714</v>
      </c>
      <c r="AH56" t="str">
        <f t="shared" si="134"/>
        <v>41 Administrative occupations</v>
      </c>
      <c r="AI56" s="17">
        <f t="shared" si="143"/>
        <v>10.395493173741587</v>
      </c>
      <c r="AJ56" s="17">
        <f t="shared" si="143"/>
        <v>11.658355720887471</v>
      </c>
      <c r="AK56" s="17">
        <f t="shared" si="143"/>
        <v>11.588849485715459</v>
      </c>
      <c r="AL56" s="17">
        <f t="shared" si="143"/>
        <v>11.85348120720783</v>
      </c>
      <c r="AM56" s="17">
        <f t="shared" si="143"/>
        <v>12.120259648874082</v>
      </c>
      <c r="AO56" s="67">
        <f t="shared" si="106"/>
        <v>24.504737542465143</v>
      </c>
      <c r="AP56" s="68">
        <f t="shared" si="107"/>
        <v>67.112898265422231</v>
      </c>
      <c r="AQ56" s="68">
        <f t="shared" si="108"/>
        <v>91.617635807887382</v>
      </c>
      <c r="AS56" t="str">
        <f t="shared" si="135"/>
        <v>41 Administrative occupations</v>
      </c>
      <c r="AT56" s="17">
        <f t="shared" si="144"/>
        <v>10.323720919463272</v>
      </c>
      <c r="AU56" s="17">
        <f t="shared" si="144"/>
        <v>10.90249821723436</v>
      </c>
      <c r="AV56" s="17">
        <f t="shared" si="144"/>
        <v>10.297248031242653</v>
      </c>
      <c r="AW56" s="17">
        <f t="shared" si="144"/>
        <v>9.9810371046353996</v>
      </c>
      <c r="AX56" s="17">
        <f t="shared" si="144"/>
        <v>9.9116163599411493</v>
      </c>
      <c r="AZ56" s="67">
        <f t="shared" si="110"/>
        <v>20.916121102091477</v>
      </c>
      <c r="BA56" s="68">
        <f t="shared" si="111"/>
        <v>62.455810106257012</v>
      </c>
      <c r="BB56" s="68">
        <f t="shared" si="112"/>
        <v>83.371931208348499</v>
      </c>
      <c r="BD56" t="str">
        <f t="shared" si="136"/>
        <v>41 Administrative occupations</v>
      </c>
      <c r="BE56" s="17">
        <f t="shared" si="145"/>
        <v>8.385085355685991</v>
      </c>
      <c r="BF56" s="17">
        <f t="shared" si="145"/>
        <v>7.8756354352219518</v>
      </c>
      <c r="BG56" s="17">
        <f t="shared" si="145"/>
        <v>8.8158576179868593</v>
      </c>
      <c r="BH56" s="17">
        <f t="shared" si="145"/>
        <v>7.6641399720292434</v>
      </c>
      <c r="BI56" s="17">
        <f t="shared" si="145"/>
        <v>6.6223269740586677</v>
      </c>
      <c r="BK56" s="67">
        <f t="shared" si="114"/>
        <v>-19.861400418933776</v>
      </c>
      <c r="BL56" s="68">
        <f t="shared" si="115"/>
        <v>41.540512689513669</v>
      </c>
      <c r="BM56" s="68">
        <f t="shared" si="116"/>
        <v>21.679112270579896</v>
      </c>
      <c r="BO56" t="str">
        <f t="shared" si="137"/>
        <v>41 Administrative occupations</v>
      </c>
      <c r="BP56" s="17">
        <f t="shared" si="146"/>
        <v>10.20386648079956</v>
      </c>
      <c r="BQ56" s="17">
        <f t="shared" si="146"/>
        <v>9.4566823252760948</v>
      </c>
      <c r="BR56" s="17">
        <f t="shared" si="146"/>
        <v>10.453638082659973</v>
      </c>
      <c r="BS56" s="17">
        <f t="shared" si="146"/>
        <v>8.928134959231711</v>
      </c>
      <c r="BT56" s="17">
        <f t="shared" si="146"/>
        <v>7.3278859262594889</v>
      </c>
      <c r="BV56" s="67">
        <f t="shared" si="118"/>
        <v>-45.754084058051262</v>
      </c>
      <c r="BW56" s="68">
        <f t="shared" si="119"/>
        <v>33.902932709599277</v>
      </c>
      <c r="BX56" s="68">
        <f t="shared" si="120"/>
        <v>-11.851151348451989</v>
      </c>
      <c r="BZ56" t="str">
        <f t="shared" si="138"/>
        <v>41 Administrative occupations</v>
      </c>
      <c r="CA56" s="17">
        <f t="shared" si="147"/>
        <v>8.2608360851580631</v>
      </c>
      <c r="CB56" s="17">
        <f t="shared" si="147"/>
        <v>7.0487554055460908</v>
      </c>
      <c r="CC56" s="17">
        <f t="shared" si="147"/>
        <v>7.2708441783132045</v>
      </c>
      <c r="CD56" s="17">
        <f t="shared" si="147"/>
        <v>5.8768650854546109</v>
      </c>
      <c r="CE56" s="17">
        <f t="shared" si="147"/>
        <v>3.6811925798929392</v>
      </c>
      <c r="CG56" s="67">
        <f t="shared" si="122"/>
        <v>-71.810349380597557</v>
      </c>
      <c r="CH56" s="68">
        <f t="shared" si="123"/>
        <v>20.974460482354704</v>
      </c>
      <c r="CI56" s="68">
        <f t="shared" si="124"/>
        <v>-50.835888898242857</v>
      </c>
      <c r="CK56" t="str">
        <f t="shared" si="139"/>
        <v>41 Administrative occupations</v>
      </c>
      <c r="CL56" s="17">
        <f t="shared" si="148"/>
        <v>5.1458832993138612</v>
      </c>
      <c r="CM56" s="17">
        <f t="shared" si="148"/>
        <v>5.1107833392526842</v>
      </c>
      <c r="CN56" s="17">
        <f t="shared" si="148"/>
        <v>5.2516117405901541</v>
      </c>
      <c r="CO56" s="17">
        <f t="shared" si="148"/>
        <v>4.7581242848619993</v>
      </c>
      <c r="CP56" s="17">
        <f t="shared" si="148"/>
        <v>4.3747815836394288</v>
      </c>
      <c r="CR56" s="67">
        <f t="shared" si="126"/>
        <v>-43.661787615410233</v>
      </c>
      <c r="CS56" s="68">
        <f t="shared" si="127"/>
        <v>27.466454154794199</v>
      </c>
      <c r="CT56" s="68">
        <f t="shared" si="128"/>
        <v>-16.19533346061603</v>
      </c>
    </row>
    <row r="57" spans="1:98" x14ac:dyDescent="0.2">
      <c r="A57" t="str">
        <f t="shared" si="95"/>
        <v>42 Secretarial and related occupations</v>
      </c>
      <c r="B57" s="17">
        <f t="shared" si="140"/>
        <v>0.26559445543471816</v>
      </c>
      <c r="C57" s="17">
        <f t="shared" si="140"/>
        <v>0.29632437321063387</v>
      </c>
      <c r="D57" s="17">
        <f t="shared" si="140"/>
        <v>0.28072093084246535</v>
      </c>
      <c r="E57" s="17">
        <f t="shared" si="140"/>
        <v>0.36308391948420171</v>
      </c>
      <c r="F57" s="17">
        <f t="shared" si="140"/>
        <v>0.44748385542355701</v>
      </c>
      <c r="H57" s="67">
        <f t="shared" si="129"/>
        <v>151.61786347657076</v>
      </c>
      <c r="I57" s="68">
        <f t="shared" si="130"/>
        <v>95.561205586302023</v>
      </c>
      <c r="J57" s="68">
        <f t="shared" si="131"/>
        <v>247.17906906287274</v>
      </c>
      <c r="L57" t="str">
        <f t="shared" si="132"/>
        <v>42 Secretarial and related occupations</v>
      </c>
      <c r="M57" s="17">
        <f t="shared" si="141"/>
        <v>0.9751638368524953</v>
      </c>
      <c r="N57" s="17">
        <f t="shared" si="141"/>
        <v>0.97473424494556127</v>
      </c>
      <c r="O57" s="17">
        <f t="shared" si="141"/>
        <v>0.86403754422270751</v>
      </c>
      <c r="P57" s="17">
        <f t="shared" si="141"/>
        <v>1.1415024142831798</v>
      </c>
      <c r="Q57" s="17">
        <f t="shared" si="141"/>
        <v>1.1216743729587106</v>
      </c>
      <c r="S57" s="67">
        <f t="shared" si="98"/>
        <v>107.23673444506102</v>
      </c>
      <c r="T57" s="68">
        <f t="shared" si="99"/>
        <v>84.47922419777727</v>
      </c>
      <c r="U57" s="68">
        <f t="shared" si="100"/>
        <v>191.71595864283827</v>
      </c>
      <c r="W57" t="str">
        <f t="shared" si="133"/>
        <v>42 Secretarial and related occupations</v>
      </c>
      <c r="X57" s="17">
        <f t="shared" si="142"/>
        <v>1.6003814482078944</v>
      </c>
      <c r="Y57" s="17">
        <f t="shared" si="142"/>
        <v>1.6414777350173351</v>
      </c>
      <c r="Z57" s="17">
        <f t="shared" si="142"/>
        <v>1.4769987395498378</v>
      </c>
      <c r="AA57" s="17">
        <f t="shared" si="142"/>
        <v>1.9791477072978081</v>
      </c>
      <c r="AB57" s="17">
        <f t="shared" si="142"/>
        <v>2.2492829169289594</v>
      </c>
      <c r="AD57" s="67">
        <f t="shared" si="102"/>
        <v>102.23183740535949</v>
      </c>
      <c r="AE57" s="68">
        <f t="shared" si="103"/>
        <v>100.57431709938764</v>
      </c>
      <c r="AF57" s="68">
        <f t="shared" si="104"/>
        <v>202.80615450474707</v>
      </c>
      <c r="AH57" t="str">
        <f t="shared" si="134"/>
        <v>42 Secretarial and related occupations</v>
      </c>
      <c r="AI57" s="17">
        <f t="shared" si="143"/>
        <v>2.193549454764296</v>
      </c>
      <c r="AJ57" s="17">
        <f t="shared" si="143"/>
        <v>2.464117659019323</v>
      </c>
      <c r="AK57" s="17">
        <f t="shared" si="143"/>
        <v>2.3947556712633808</v>
      </c>
      <c r="AL57" s="17">
        <f t="shared" si="143"/>
        <v>3.2264403990907047</v>
      </c>
      <c r="AM57" s="17">
        <f t="shared" si="143"/>
        <v>3.1884648493278727</v>
      </c>
      <c r="AO57" s="67">
        <f t="shared" si="106"/>
        <v>58.501982599207913</v>
      </c>
      <c r="AP57" s="68">
        <f t="shared" si="107"/>
        <v>84.045790251734971</v>
      </c>
      <c r="AQ57" s="68">
        <f t="shared" si="108"/>
        <v>142.54777285094289</v>
      </c>
      <c r="AS57" t="str">
        <f t="shared" si="135"/>
        <v>42 Secretarial and related occupations</v>
      </c>
      <c r="AT57" s="17">
        <f t="shared" si="144"/>
        <v>1.868223395085997</v>
      </c>
      <c r="AU57" s="17">
        <f t="shared" si="144"/>
        <v>1.9422878893910935</v>
      </c>
      <c r="AV57" s="17">
        <f t="shared" si="144"/>
        <v>1.7481896470050873</v>
      </c>
      <c r="AW57" s="17">
        <f t="shared" si="144"/>
        <v>2.144493287960108</v>
      </c>
      <c r="AX57" s="17">
        <f t="shared" si="144"/>
        <v>1.6704921941803543</v>
      </c>
      <c r="AZ57" s="67">
        <f t="shared" si="110"/>
        <v>20.037461749996236</v>
      </c>
      <c r="BA57" s="68">
        <f t="shared" si="111"/>
        <v>72.297463692689746</v>
      </c>
      <c r="BB57" s="68">
        <f t="shared" si="112"/>
        <v>92.334925442685972</v>
      </c>
      <c r="BD57" t="str">
        <f t="shared" si="136"/>
        <v>42 Secretarial and related occupations</v>
      </c>
      <c r="BE57" s="17">
        <f t="shared" si="145"/>
        <v>1.7911849111473099</v>
      </c>
      <c r="BF57" s="17">
        <f t="shared" si="145"/>
        <v>1.5970635963645872</v>
      </c>
      <c r="BG57" s="17">
        <f t="shared" si="145"/>
        <v>1.6500988208310332</v>
      </c>
      <c r="BH57" s="17">
        <f t="shared" si="145"/>
        <v>1.7321585831145532</v>
      </c>
      <c r="BI57" s="17">
        <f t="shared" si="145"/>
        <v>0.72707645773301344</v>
      </c>
      <c r="BK57" s="67">
        <f t="shared" si="114"/>
        <v>-52.99264392298565</v>
      </c>
      <c r="BL57" s="68">
        <f t="shared" si="115"/>
        <v>40.076997546855381</v>
      </c>
      <c r="BM57" s="68">
        <f t="shared" si="116"/>
        <v>-12.915646376130269</v>
      </c>
      <c r="BO57" t="str">
        <f t="shared" si="137"/>
        <v>42 Secretarial and related occupations</v>
      </c>
      <c r="BP57" s="17">
        <f t="shared" si="146"/>
        <v>2.4266595969677556</v>
      </c>
      <c r="BQ57" s="17">
        <f t="shared" si="146"/>
        <v>2.1253309145850068</v>
      </c>
      <c r="BR57" s="17">
        <f t="shared" si="146"/>
        <v>2.2276674638128795</v>
      </c>
      <c r="BS57" s="17">
        <f t="shared" si="146"/>
        <v>2.0649382463604979</v>
      </c>
      <c r="BT57" s="17">
        <f t="shared" si="146"/>
        <v>0.96536891575808048</v>
      </c>
      <c r="BV57" s="67">
        <f t="shared" si="118"/>
        <v>-66.464965631055719</v>
      </c>
      <c r="BW57" s="68">
        <f t="shared" si="119"/>
        <v>33.552639792100486</v>
      </c>
      <c r="BX57" s="68">
        <f t="shared" si="120"/>
        <v>-32.912325838955233</v>
      </c>
      <c r="BZ57" t="str">
        <f t="shared" si="138"/>
        <v>42 Secretarial and related occupations</v>
      </c>
      <c r="CA57" s="17">
        <f t="shared" si="147"/>
        <v>3.2098851494557699</v>
      </c>
      <c r="CB57" s="17">
        <f t="shared" si="147"/>
        <v>2.8603658922980304</v>
      </c>
      <c r="CC57" s="17">
        <f t="shared" si="147"/>
        <v>2.8106711691503152</v>
      </c>
      <c r="CD57" s="17">
        <f t="shared" si="147"/>
        <v>1.9562958846789844</v>
      </c>
      <c r="CE57" s="17">
        <f t="shared" si="147"/>
        <v>1.094470420308995</v>
      </c>
      <c r="CG57" s="67">
        <f t="shared" si="122"/>
        <v>-78.318966401658443</v>
      </c>
      <c r="CH57" s="68">
        <f t="shared" si="123"/>
        <v>20.896646342857725</v>
      </c>
      <c r="CI57" s="68">
        <f t="shared" si="124"/>
        <v>-57.422320058800722</v>
      </c>
      <c r="CK57" t="str">
        <f t="shared" si="139"/>
        <v>42 Secretarial and related occupations</v>
      </c>
      <c r="CL57" s="17">
        <f t="shared" si="148"/>
        <v>1.7651146153866693</v>
      </c>
      <c r="CM57" s="17">
        <f t="shared" si="148"/>
        <v>2.1082757669462358</v>
      </c>
      <c r="CN57" s="17">
        <f t="shared" si="148"/>
        <v>2.3508236625120773</v>
      </c>
      <c r="CO57" s="17">
        <f t="shared" si="148"/>
        <v>3.0641032078292949</v>
      </c>
      <c r="CP57" s="17">
        <f t="shared" si="148"/>
        <v>3.9089900972993945</v>
      </c>
      <c r="CR57" s="67">
        <f t="shared" si="126"/>
        <v>12.456306307171989</v>
      </c>
      <c r="CS57" s="68">
        <f t="shared" si="127"/>
        <v>56.192675233506371</v>
      </c>
      <c r="CT57" s="68">
        <f t="shared" si="128"/>
        <v>68.648981540678349</v>
      </c>
    </row>
    <row r="58" spans="1:98" x14ac:dyDescent="0.2">
      <c r="A58" t="str">
        <f t="shared" si="95"/>
        <v>51 Skilled agricultural and related trades</v>
      </c>
      <c r="B58" s="17">
        <f t="shared" si="140"/>
        <v>0.21202648540728145</v>
      </c>
      <c r="C58" s="17">
        <f t="shared" si="140"/>
        <v>0.4222310307562433</v>
      </c>
      <c r="D58" s="17">
        <f t="shared" si="140"/>
        <v>0.20293154716558814</v>
      </c>
      <c r="E58" s="17">
        <f t="shared" si="140"/>
        <v>0.19890748660601393</v>
      </c>
      <c r="F58" s="17">
        <f t="shared" si="140"/>
        <v>0.20376600791188917</v>
      </c>
      <c r="H58" s="67">
        <f t="shared" si="129"/>
        <v>58.497006796853732</v>
      </c>
      <c r="I58" s="68">
        <f t="shared" si="130"/>
        <v>85.88695551497598</v>
      </c>
      <c r="J58" s="68">
        <f t="shared" si="131"/>
        <v>144.38396231182969</v>
      </c>
      <c r="L58" t="str">
        <f t="shared" si="132"/>
        <v>51 Skilled agricultural and related trades</v>
      </c>
      <c r="M58" s="17">
        <f t="shared" si="141"/>
        <v>0.21978460357515964</v>
      </c>
      <c r="N58" s="17">
        <f t="shared" si="141"/>
        <v>0.19507657668829886</v>
      </c>
      <c r="O58" s="17">
        <f t="shared" si="141"/>
        <v>0.18071183675827515</v>
      </c>
      <c r="P58" s="17">
        <f t="shared" si="141"/>
        <v>0.15964954440300458</v>
      </c>
      <c r="Q58" s="17">
        <f t="shared" si="141"/>
        <v>0.17230220568805751</v>
      </c>
      <c r="S58" s="67">
        <f t="shared" si="98"/>
        <v>52.207759580440658</v>
      </c>
      <c r="T58" s="68">
        <f t="shared" si="99"/>
        <v>64.902114579458754</v>
      </c>
      <c r="U58" s="68">
        <f t="shared" si="100"/>
        <v>117.10987415989942</v>
      </c>
      <c r="W58" t="str">
        <f t="shared" si="133"/>
        <v>51 Skilled agricultural and related trades</v>
      </c>
      <c r="X58" s="17">
        <f t="shared" si="142"/>
        <v>0.91723294969606517</v>
      </c>
      <c r="Y58" s="17">
        <f t="shared" si="142"/>
        <v>0.96331568257691458</v>
      </c>
      <c r="Z58" s="17">
        <f t="shared" si="142"/>
        <v>1.2457930310639211</v>
      </c>
      <c r="AA58" s="17">
        <f t="shared" si="142"/>
        <v>1.2403358649789742</v>
      </c>
      <c r="AB58" s="17">
        <f t="shared" si="142"/>
        <v>1.3616538837987098</v>
      </c>
      <c r="AD58" s="67">
        <f t="shared" si="102"/>
        <v>45.14644374266021</v>
      </c>
      <c r="AE58" s="68">
        <f t="shared" si="103"/>
        <v>78.4239351333716</v>
      </c>
      <c r="AF58" s="68">
        <f t="shared" si="104"/>
        <v>123.57037887603181</v>
      </c>
      <c r="AH58" t="str">
        <f t="shared" si="134"/>
        <v>51 Skilled agricultural and related trades</v>
      </c>
      <c r="AI58" s="17">
        <f t="shared" si="143"/>
        <v>1.2335115282732461</v>
      </c>
      <c r="AJ58" s="17">
        <f t="shared" si="143"/>
        <v>1.3287815146487991</v>
      </c>
      <c r="AK58" s="17">
        <f t="shared" si="143"/>
        <v>1.4550271932797949</v>
      </c>
      <c r="AL58" s="17">
        <f t="shared" si="143"/>
        <v>1.5017116756150968</v>
      </c>
      <c r="AM58" s="17">
        <f t="shared" si="143"/>
        <v>1.6424274016802793</v>
      </c>
      <c r="AO58" s="67">
        <f t="shared" si="106"/>
        <v>34.378363497614039</v>
      </c>
      <c r="AP58" s="68">
        <f t="shared" si="107"/>
        <v>82.696201316493813</v>
      </c>
      <c r="AQ58" s="68">
        <f t="shared" si="108"/>
        <v>117.07456481410784</v>
      </c>
      <c r="AS58" t="str">
        <f t="shared" si="135"/>
        <v>51 Skilled agricultural and related trades</v>
      </c>
      <c r="AT58" s="17">
        <f t="shared" si="144"/>
        <v>1.7524117180999954</v>
      </c>
      <c r="AU58" s="17">
        <f t="shared" si="144"/>
        <v>1.6238216126468727</v>
      </c>
      <c r="AV58" s="17">
        <f t="shared" si="144"/>
        <v>2.0700645511720395</v>
      </c>
      <c r="AW58" s="17">
        <f t="shared" si="144"/>
        <v>2.0148420347154867</v>
      </c>
      <c r="AX58" s="17">
        <f t="shared" si="144"/>
        <v>2.2244520859457366</v>
      </c>
      <c r="AZ58" s="67">
        <f t="shared" si="110"/>
        <v>34.989523424727892</v>
      </c>
      <c r="BA58" s="68">
        <f t="shared" si="111"/>
        <v>70.332349815817594</v>
      </c>
      <c r="BB58" s="68">
        <f t="shared" si="112"/>
        <v>105.3218732405455</v>
      </c>
      <c r="BD58" t="str">
        <f t="shared" si="136"/>
        <v>51 Skilled agricultural and related trades</v>
      </c>
      <c r="BE58" s="17">
        <f t="shared" si="145"/>
        <v>0.92828892056091361</v>
      </c>
      <c r="BF58" s="17">
        <f t="shared" si="145"/>
        <v>0.90579189007371463</v>
      </c>
      <c r="BG58" s="17">
        <f t="shared" si="145"/>
        <v>1.0651092137793912</v>
      </c>
      <c r="BH58" s="17">
        <f t="shared" si="145"/>
        <v>0.96572515971525652</v>
      </c>
      <c r="BI58" s="17">
        <f t="shared" si="145"/>
        <v>0.9213014702635709</v>
      </c>
      <c r="BK58" s="67">
        <f t="shared" si="114"/>
        <v>-7.7209066410636042</v>
      </c>
      <c r="BL58" s="68">
        <f t="shared" si="115"/>
        <v>49.39953154129784</v>
      </c>
      <c r="BM58" s="68">
        <f t="shared" si="116"/>
        <v>41.678624900234233</v>
      </c>
      <c r="BO58" t="str">
        <f t="shared" si="137"/>
        <v>51 Skilled agricultural and related trades</v>
      </c>
      <c r="BP58" s="17">
        <f t="shared" si="146"/>
        <v>1.3169606497410951</v>
      </c>
      <c r="BQ58" s="17">
        <f t="shared" si="146"/>
        <v>1.4198582460396354</v>
      </c>
      <c r="BR58" s="17">
        <f t="shared" si="146"/>
        <v>1.6457329450394889</v>
      </c>
      <c r="BS58" s="17">
        <f t="shared" si="146"/>
        <v>1.6186861597465789</v>
      </c>
      <c r="BT58" s="17">
        <f t="shared" si="146"/>
        <v>1.7976195875013128</v>
      </c>
      <c r="BV58" s="67">
        <f t="shared" si="118"/>
        <v>-15.473237455680541</v>
      </c>
      <c r="BW58" s="68">
        <f t="shared" si="119"/>
        <v>47.659222078968817</v>
      </c>
      <c r="BX58" s="68">
        <f t="shared" si="120"/>
        <v>32.185984623288277</v>
      </c>
      <c r="BZ58" t="str">
        <f t="shared" si="138"/>
        <v>51 Skilled agricultural and related trades</v>
      </c>
      <c r="CA58" s="17">
        <f t="shared" si="147"/>
        <v>1.5112071021942335</v>
      </c>
      <c r="CB58" s="17">
        <f t="shared" si="147"/>
        <v>1.5394236894499549</v>
      </c>
      <c r="CC58" s="17">
        <f t="shared" si="147"/>
        <v>1.8664298645055064</v>
      </c>
      <c r="CD58" s="17">
        <f t="shared" si="147"/>
        <v>1.6405420249450176</v>
      </c>
      <c r="CE58" s="17">
        <f t="shared" si="147"/>
        <v>1.8756434475827608</v>
      </c>
      <c r="CG58" s="67">
        <f t="shared" si="122"/>
        <v>-44.046842151807816</v>
      </c>
      <c r="CH58" s="68">
        <f t="shared" si="123"/>
        <v>34.448409101533024</v>
      </c>
      <c r="CI58" s="68">
        <f t="shared" si="124"/>
        <v>-9.5984330502747959</v>
      </c>
      <c r="CK58" t="str">
        <f t="shared" si="139"/>
        <v>51 Skilled agricultural and related trades</v>
      </c>
      <c r="CL58" s="17">
        <f t="shared" si="148"/>
        <v>2.9273027824220303</v>
      </c>
      <c r="CM58" s="17">
        <f t="shared" si="148"/>
        <v>2.7881880211376791</v>
      </c>
      <c r="CN58" s="17">
        <f t="shared" si="148"/>
        <v>3.9476211611358987</v>
      </c>
      <c r="CO58" s="17">
        <f t="shared" si="148"/>
        <v>4.5260121778323636</v>
      </c>
      <c r="CP58" s="17">
        <f t="shared" si="148"/>
        <v>4.2897043826256009</v>
      </c>
      <c r="CR58" s="67">
        <f t="shared" si="126"/>
        <v>-26.509501332432823</v>
      </c>
      <c r="CS58" s="68">
        <f t="shared" si="127"/>
        <v>32.808777454713514</v>
      </c>
      <c r="CT58" s="68">
        <f t="shared" si="128"/>
        <v>6.2992761222806948</v>
      </c>
    </row>
    <row r="59" spans="1:98" x14ac:dyDescent="0.2">
      <c r="A59" t="str">
        <f t="shared" si="95"/>
        <v>52 Skilled metal, electrical and electronic trades</v>
      </c>
      <c r="B59" s="17">
        <f t="shared" si="140"/>
        <v>0.29650956247587029</v>
      </c>
      <c r="C59" s="17">
        <f t="shared" si="140"/>
        <v>0.22476879659617185</v>
      </c>
      <c r="D59" s="17">
        <f t="shared" si="140"/>
        <v>0.26127541935142778</v>
      </c>
      <c r="E59" s="17">
        <f t="shared" si="140"/>
        <v>0.27049644349972535</v>
      </c>
      <c r="F59" s="17">
        <f t="shared" si="140"/>
        <v>0.30145489519321955</v>
      </c>
      <c r="H59" s="67">
        <f t="shared" si="129"/>
        <v>82.12211348913182</v>
      </c>
      <c r="I59" s="68">
        <f t="shared" si="130"/>
        <v>63.342197471412867</v>
      </c>
      <c r="J59" s="68">
        <f t="shared" si="131"/>
        <v>145.46431096054468</v>
      </c>
      <c r="L59" t="str">
        <f t="shared" si="132"/>
        <v>52 Skilled metal, electrical and electronic trades</v>
      </c>
      <c r="M59" s="17">
        <f t="shared" si="141"/>
        <v>0.83406080075634148</v>
      </c>
      <c r="N59" s="17">
        <f t="shared" si="141"/>
        <v>0.74823930033208308</v>
      </c>
      <c r="O59" s="17">
        <f t="shared" si="141"/>
        <v>0.63378967754531779</v>
      </c>
      <c r="P59" s="17">
        <f t="shared" si="141"/>
        <v>0.77717995291633413</v>
      </c>
      <c r="Q59" s="17">
        <f t="shared" si="141"/>
        <v>0.90745586545243129</v>
      </c>
      <c r="S59" s="67">
        <f t="shared" si="98"/>
        <v>128.56667311591104</v>
      </c>
      <c r="T59" s="68">
        <f t="shared" si="99"/>
        <v>78.394424234922241</v>
      </c>
      <c r="U59" s="68">
        <f t="shared" si="100"/>
        <v>206.96109735083331</v>
      </c>
      <c r="W59" t="str">
        <f t="shared" si="133"/>
        <v>52 Skilled metal, electrical and electronic trades</v>
      </c>
      <c r="X59" s="17">
        <f t="shared" si="142"/>
        <v>1.16375104365249</v>
      </c>
      <c r="Y59" s="17">
        <f t="shared" si="142"/>
        <v>1.0338625213104087</v>
      </c>
      <c r="Z59" s="17">
        <f t="shared" si="142"/>
        <v>0.95466949085168762</v>
      </c>
      <c r="AA59" s="17">
        <f t="shared" si="142"/>
        <v>1.0535171987100707</v>
      </c>
      <c r="AB59" s="17">
        <f t="shared" si="142"/>
        <v>1.1154853814993875</v>
      </c>
      <c r="AD59" s="67">
        <f t="shared" si="102"/>
        <v>55.165943699267395</v>
      </c>
      <c r="AE59" s="68">
        <f t="shared" si="103"/>
        <v>63.097144946768545</v>
      </c>
      <c r="AF59" s="68">
        <f t="shared" si="104"/>
        <v>118.26308864603594</v>
      </c>
      <c r="AH59" t="str">
        <f t="shared" si="134"/>
        <v>52 Skilled metal, electrical and electronic trades</v>
      </c>
      <c r="AI59" s="17">
        <f t="shared" si="143"/>
        <v>1.5194269349313714</v>
      </c>
      <c r="AJ59" s="17">
        <f t="shared" si="143"/>
        <v>1.3127839645961132</v>
      </c>
      <c r="AK59" s="17">
        <f t="shared" si="143"/>
        <v>1.3565772526205007</v>
      </c>
      <c r="AL59" s="17">
        <f t="shared" si="143"/>
        <v>1.3890356404356403</v>
      </c>
      <c r="AM59" s="17">
        <f t="shared" si="143"/>
        <v>1.4682840248790194</v>
      </c>
      <c r="AO59" s="67">
        <f t="shared" si="106"/>
        <v>28.848634079956753</v>
      </c>
      <c r="AP59" s="68">
        <f t="shared" si="107"/>
        <v>50.177031184556185</v>
      </c>
      <c r="AQ59" s="68">
        <f t="shared" si="108"/>
        <v>79.025665264512924</v>
      </c>
      <c r="AS59" t="str">
        <f t="shared" si="135"/>
        <v>52 Skilled metal, electrical and electronic trades</v>
      </c>
      <c r="AT59" s="17">
        <f t="shared" si="144"/>
        <v>6.169047156769393</v>
      </c>
      <c r="AU59" s="17">
        <f t="shared" si="144"/>
        <v>5.0441335509002334</v>
      </c>
      <c r="AV59" s="17">
        <f t="shared" si="144"/>
        <v>4.7260366511391743</v>
      </c>
      <c r="AW59" s="17">
        <f t="shared" si="144"/>
        <v>4.5701410765485484</v>
      </c>
      <c r="AX59" s="17">
        <f t="shared" si="144"/>
        <v>4.3407286122493387</v>
      </c>
      <c r="AZ59" s="67">
        <f t="shared" si="110"/>
        <v>15.378913652109768</v>
      </c>
      <c r="BA59" s="68">
        <f t="shared" si="111"/>
        <v>46.011897979567706</v>
      </c>
      <c r="BB59" s="68">
        <f t="shared" si="112"/>
        <v>61.390811631677479</v>
      </c>
      <c r="BD59" t="str">
        <f t="shared" si="136"/>
        <v>52 Skilled metal, electrical and electronic trades</v>
      </c>
      <c r="BE59" s="17">
        <f t="shared" si="145"/>
        <v>8.5433532077134107</v>
      </c>
      <c r="BF59" s="17">
        <f t="shared" si="145"/>
        <v>8.3205795841890176</v>
      </c>
      <c r="BG59" s="17">
        <f t="shared" si="145"/>
        <v>7.0599235831387812</v>
      </c>
      <c r="BH59" s="17">
        <f t="shared" si="145"/>
        <v>6.9737827791950382</v>
      </c>
      <c r="BI59" s="17">
        <f t="shared" si="145"/>
        <v>6.413832505722687</v>
      </c>
      <c r="BK59" s="67">
        <f t="shared" si="114"/>
        <v>-3.0800212229943336</v>
      </c>
      <c r="BL59" s="68">
        <f t="shared" si="115"/>
        <v>35.634358921697782</v>
      </c>
      <c r="BM59" s="68">
        <f t="shared" si="116"/>
        <v>32.554337698703442</v>
      </c>
      <c r="BO59" t="str">
        <f t="shared" si="137"/>
        <v>52 Skilled metal, electrical and electronic trades</v>
      </c>
      <c r="BP59" s="17">
        <f t="shared" si="146"/>
        <v>4.7820345656742784</v>
      </c>
      <c r="BQ59" s="17">
        <f t="shared" si="146"/>
        <v>4.6909335273955621</v>
      </c>
      <c r="BR59" s="17">
        <f t="shared" si="146"/>
        <v>4.1890459769664581</v>
      </c>
      <c r="BS59" s="17">
        <f t="shared" si="146"/>
        <v>3.9775990023493573</v>
      </c>
      <c r="BT59" s="17">
        <f t="shared" si="146"/>
        <v>3.8452169555884126</v>
      </c>
      <c r="BV59" s="67">
        <f t="shared" si="118"/>
        <v>-28.966775670148433</v>
      </c>
      <c r="BW59" s="68">
        <f t="shared" si="119"/>
        <v>29.850273825048284</v>
      </c>
      <c r="BX59" s="68">
        <f t="shared" si="120"/>
        <v>0.88349815489985761</v>
      </c>
      <c r="BZ59" t="str">
        <f t="shared" si="138"/>
        <v>52 Skilled metal, electrical and electronic trades</v>
      </c>
      <c r="CA59" s="17">
        <f t="shared" si="147"/>
        <v>3.5313663867398928</v>
      </c>
      <c r="CB59" s="17">
        <f t="shared" si="147"/>
        <v>3.5704543819830805</v>
      </c>
      <c r="CC59" s="17">
        <f t="shared" si="147"/>
        <v>3.2756414596099717</v>
      </c>
      <c r="CD59" s="17">
        <f t="shared" si="147"/>
        <v>3.0062163990284789</v>
      </c>
      <c r="CE59" s="17">
        <f t="shared" si="147"/>
        <v>2.7223640500602904</v>
      </c>
      <c r="CG59" s="67">
        <f t="shared" si="122"/>
        <v>-53.726128688291311</v>
      </c>
      <c r="CH59" s="68">
        <f t="shared" si="123"/>
        <v>26.961754491637681</v>
      </c>
      <c r="CI59" s="68">
        <f t="shared" si="124"/>
        <v>-26.764374196653634</v>
      </c>
      <c r="CK59" t="str">
        <f t="shared" si="139"/>
        <v>52 Skilled metal, electrical and electronic trades</v>
      </c>
      <c r="CL59" s="17">
        <f t="shared" si="148"/>
        <v>3.7537697520680502</v>
      </c>
      <c r="CM59" s="17">
        <f t="shared" si="148"/>
        <v>4.1544648581902477</v>
      </c>
      <c r="CN59" s="17">
        <f t="shared" si="148"/>
        <v>4.1040879673108606</v>
      </c>
      <c r="CO59" s="17">
        <f t="shared" si="148"/>
        <v>4.4251740199711627</v>
      </c>
      <c r="CP59" s="17">
        <f t="shared" si="148"/>
        <v>4.4064858484915277</v>
      </c>
      <c r="CR59" s="67">
        <f t="shared" si="126"/>
        <v>-27.386893515186738</v>
      </c>
      <c r="CS59" s="68">
        <f t="shared" si="127"/>
        <v>30.098389776744185</v>
      </c>
      <c r="CT59" s="68">
        <f t="shared" si="128"/>
        <v>2.7114962615574454</v>
      </c>
    </row>
    <row r="60" spans="1:98" x14ac:dyDescent="0.2">
      <c r="A60" t="str">
        <f t="shared" si="95"/>
        <v>53 Skilled construction and building trades</v>
      </c>
      <c r="B60" s="17">
        <f t="shared" si="140"/>
        <v>0.13717809092353825</v>
      </c>
      <c r="C60" s="17">
        <f t="shared" si="140"/>
        <v>6.6047385682300716E-2</v>
      </c>
      <c r="D60" s="17">
        <f t="shared" si="140"/>
        <v>5.0152763170477628E-2</v>
      </c>
      <c r="E60" s="17">
        <f t="shared" si="140"/>
        <v>7.1383762037109041E-2</v>
      </c>
      <c r="F60" s="17">
        <f t="shared" si="140"/>
        <v>5.7646225721727645E-2</v>
      </c>
      <c r="H60" s="67">
        <f t="shared" si="129"/>
        <v>81.432425653291247</v>
      </c>
      <c r="I60" s="68">
        <f t="shared" si="130"/>
        <v>78.3007532806635</v>
      </c>
      <c r="J60" s="68">
        <f t="shared" si="131"/>
        <v>159.73317893395475</v>
      </c>
      <c r="L60" t="str">
        <f t="shared" si="132"/>
        <v>53 Skilled construction and building trades</v>
      </c>
      <c r="M60" s="17">
        <f t="shared" si="141"/>
        <v>0.31364583107239513</v>
      </c>
      <c r="N60" s="17">
        <f t="shared" si="141"/>
        <v>0.2388156019190053</v>
      </c>
      <c r="O60" s="17">
        <f t="shared" si="141"/>
        <v>0.19779473329168337</v>
      </c>
      <c r="P60" s="17">
        <f t="shared" si="141"/>
        <v>0.22308040013393929</v>
      </c>
      <c r="Q60" s="17">
        <f t="shared" si="141"/>
        <v>0.22212344904089776</v>
      </c>
      <c r="S60" s="67">
        <f t="shared" si="98"/>
        <v>79.271908324156797</v>
      </c>
      <c r="T60" s="68">
        <f t="shared" si="99"/>
        <v>71.835112150723035</v>
      </c>
      <c r="U60" s="68">
        <f t="shared" si="100"/>
        <v>151.10702047487985</v>
      </c>
      <c r="W60" t="str">
        <f t="shared" si="133"/>
        <v>53 Skilled construction and building trades</v>
      </c>
      <c r="X60" s="17">
        <f t="shared" si="142"/>
        <v>0.59031356816360936</v>
      </c>
      <c r="Y60" s="17">
        <f t="shared" si="142"/>
        <v>0.44344049745833719</v>
      </c>
      <c r="Z60" s="17">
        <f t="shared" si="142"/>
        <v>0.39588120348428552</v>
      </c>
      <c r="AA60" s="17">
        <f t="shared" si="142"/>
        <v>0.45281184609703612</v>
      </c>
      <c r="AB60" s="17">
        <f t="shared" si="142"/>
        <v>0.45936485428149221</v>
      </c>
      <c r="AD60" s="67">
        <f t="shared" si="102"/>
        <v>54.091417481829232</v>
      </c>
      <c r="AE60" s="68">
        <f t="shared" si="103"/>
        <v>66.149213348080096</v>
      </c>
      <c r="AF60" s="68">
        <f t="shared" si="104"/>
        <v>120.24063082990935</v>
      </c>
      <c r="AH60" t="str">
        <f t="shared" si="134"/>
        <v>53 Skilled construction and building trades</v>
      </c>
      <c r="AI60" s="17">
        <f t="shared" si="143"/>
        <v>1.022033501348554</v>
      </c>
      <c r="AJ60" s="17">
        <f t="shared" si="143"/>
        <v>0.97820362950120709</v>
      </c>
      <c r="AK60" s="17">
        <f t="shared" si="143"/>
        <v>0.92553730350410746</v>
      </c>
      <c r="AL60" s="17">
        <f t="shared" si="143"/>
        <v>1.0555242837922696</v>
      </c>
      <c r="AM60" s="17">
        <f t="shared" si="143"/>
        <v>1.1013616971760853</v>
      </c>
      <c r="AO60" s="67">
        <f t="shared" si="106"/>
        <v>41.661004459482278</v>
      </c>
      <c r="AP60" s="68">
        <f t="shared" si="107"/>
        <v>64.324969338461429</v>
      </c>
      <c r="AQ60" s="68">
        <f t="shared" si="108"/>
        <v>105.9859737979437</v>
      </c>
      <c r="AS60" t="str">
        <f t="shared" si="135"/>
        <v>53 Skilled construction and building trades</v>
      </c>
      <c r="AT60" s="17">
        <f t="shared" si="144"/>
        <v>1.7274899277674476</v>
      </c>
      <c r="AU60" s="17">
        <f t="shared" si="144"/>
        <v>1.4676249865887099</v>
      </c>
      <c r="AV60" s="17">
        <f t="shared" si="144"/>
        <v>1.240126905252068</v>
      </c>
      <c r="AW60" s="17">
        <f t="shared" si="144"/>
        <v>1.4556019910947129</v>
      </c>
      <c r="AX60" s="17">
        <f t="shared" si="144"/>
        <v>1.4168983919843572</v>
      </c>
      <c r="AZ60" s="67">
        <f t="shared" si="110"/>
        <v>43.526956063585651</v>
      </c>
      <c r="BA60" s="68">
        <f t="shared" si="111"/>
        <v>65.135110039371654</v>
      </c>
      <c r="BB60" s="68">
        <f t="shared" si="112"/>
        <v>108.6620661029573</v>
      </c>
      <c r="BD60" t="str">
        <f t="shared" si="136"/>
        <v>53 Skilled construction and building trades</v>
      </c>
      <c r="BE60" s="17">
        <f t="shared" si="145"/>
        <v>4.5122884784604373</v>
      </c>
      <c r="BF60" s="17">
        <f t="shared" si="145"/>
        <v>4.0647673896484431</v>
      </c>
      <c r="BG60" s="17">
        <f t="shared" si="145"/>
        <v>3.2025246921726804</v>
      </c>
      <c r="BH60" s="17">
        <f t="shared" si="145"/>
        <v>3.1840322069847589</v>
      </c>
      <c r="BI60" s="17">
        <f t="shared" si="145"/>
        <v>2.6740203916228706</v>
      </c>
      <c r="BK60" s="67">
        <f t="shared" si="114"/>
        <v>-10.922519633245743</v>
      </c>
      <c r="BL60" s="68">
        <f t="shared" si="115"/>
        <v>36.537850937328997</v>
      </c>
      <c r="BM60" s="68">
        <f t="shared" si="116"/>
        <v>25.615331304083256</v>
      </c>
      <c r="BO60" t="str">
        <f t="shared" si="137"/>
        <v>53 Skilled construction and building trades</v>
      </c>
      <c r="BP60" s="17">
        <f t="shared" si="146"/>
        <v>3.8210228863716824</v>
      </c>
      <c r="BQ60" s="17">
        <f t="shared" si="146"/>
        <v>3.9397467092798037</v>
      </c>
      <c r="BR60" s="17">
        <f t="shared" si="146"/>
        <v>3.2255751525300842</v>
      </c>
      <c r="BS60" s="17">
        <f t="shared" si="146"/>
        <v>3.5787422413016174</v>
      </c>
      <c r="BT60" s="17">
        <f t="shared" si="146"/>
        <v>3.9896997045122973</v>
      </c>
      <c r="BV60" s="67">
        <f t="shared" si="118"/>
        <v>-4.2830502145025093</v>
      </c>
      <c r="BW60" s="68">
        <f t="shared" si="119"/>
        <v>42.409551173459789</v>
      </c>
      <c r="BX60" s="68">
        <f t="shared" si="120"/>
        <v>38.12650095895728</v>
      </c>
      <c r="BZ60" t="str">
        <f t="shared" si="138"/>
        <v>53 Skilled construction and building trades</v>
      </c>
      <c r="CA60" s="17">
        <f t="shared" si="147"/>
        <v>2.8881799812819904</v>
      </c>
      <c r="CB60" s="17">
        <f t="shared" si="147"/>
        <v>3.0284105233683007</v>
      </c>
      <c r="CC60" s="17">
        <f t="shared" si="147"/>
        <v>2.5590962144699381</v>
      </c>
      <c r="CD60" s="17">
        <f t="shared" si="147"/>
        <v>2.549116022982568</v>
      </c>
      <c r="CE60" s="17">
        <f t="shared" si="147"/>
        <v>2.8516436000351786</v>
      </c>
      <c r="CG60" s="67">
        <f t="shared" si="122"/>
        <v>-37.956737825669158</v>
      </c>
      <c r="CH60" s="68">
        <f t="shared" si="123"/>
        <v>34.036819717466344</v>
      </c>
      <c r="CI60" s="68">
        <f t="shared" si="124"/>
        <v>-3.9199181082028147</v>
      </c>
      <c r="CK60" t="str">
        <f t="shared" si="139"/>
        <v>53 Skilled construction and building trades</v>
      </c>
      <c r="CL60" s="17">
        <f t="shared" si="148"/>
        <v>4.520716104619499</v>
      </c>
      <c r="CM60" s="17">
        <f t="shared" si="148"/>
        <v>4.5853283933728246</v>
      </c>
      <c r="CN60" s="17">
        <f t="shared" si="148"/>
        <v>3.8365925376522876</v>
      </c>
      <c r="CO60" s="17">
        <f t="shared" si="148"/>
        <v>3.8227346015593167</v>
      </c>
      <c r="CP60" s="17">
        <f t="shared" si="148"/>
        <v>1.8712974148426726</v>
      </c>
      <c r="CR60" s="67">
        <f t="shared" si="126"/>
        <v>-67.01348478511558</v>
      </c>
      <c r="CS60" s="68">
        <f t="shared" si="127"/>
        <v>20.505562968545831</v>
      </c>
      <c r="CT60" s="68">
        <f t="shared" si="128"/>
        <v>-46.507921816569741</v>
      </c>
    </row>
    <row r="61" spans="1:98" x14ac:dyDescent="0.2">
      <c r="A61" t="str">
        <f t="shared" si="95"/>
        <v>54 Textiles, printing and other skilled trades</v>
      </c>
      <c r="B61" s="17">
        <f t="shared" si="140"/>
        <v>0.64104094319619365</v>
      </c>
      <c r="C61" s="17">
        <f t="shared" si="140"/>
        <v>0.52230266977452888</v>
      </c>
      <c r="D61" s="17">
        <f t="shared" si="140"/>
        <v>0.48567220016736795</v>
      </c>
      <c r="E61" s="17">
        <f t="shared" si="140"/>
        <v>0.53296261537465073</v>
      </c>
      <c r="F61" s="17">
        <f t="shared" si="140"/>
        <v>0.55673138181177817</v>
      </c>
      <c r="H61" s="67">
        <f t="shared" si="129"/>
        <v>80.942818751657171</v>
      </c>
      <c r="I61" s="68">
        <f t="shared" si="130"/>
        <v>63.513152598498422</v>
      </c>
      <c r="J61" s="68">
        <f t="shared" si="131"/>
        <v>144.45597135015558</v>
      </c>
      <c r="L61" t="str">
        <f t="shared" si="132"/>
        <v>54 Textiles, printing and other skilled trades</v>
      </c>
      <c r="M61" s="17">
        <f t="shared" si="141"/>
        <v>0.72724927070099976</v>
      </c>
      <c r="N61" s="17">
        <f t="shared" si="141"/>
        <v>0.76842321127006996</v>
      </c>
      <c r="O61" s="17">
        <f t="shared" si="141"/>
        <v>0.65103257540999881</v>
      </c>
      <c r="P61" s="17">
        <f t="shared" si="141"/>
        <v>0.67072092468581712</v>
      </c>
      <c r="Q61" s="17">
        <f t="shared" si="141"/>
        <v>0.69427711496468736</v>
      </c>
      <c r="S61" s="67">
        <f t="shared" si="98"/>
        <v>70.24042190143301</v>
      </c>
      <c r="T61" s="68">
        <f t="shared" si="99"/>
        <v>68.188083767449598</v>
      </c>
      <c r="U61" s="68">
        <f t="shared" si="100"/>
        <v>138.42850566888259</v>
      </c>
      <c r="W61" t="str">
        <f t="shared" si="133"/>
        <v>54 Textiles, printing and other skilled trades</v>
      </c>
      <c r="X61" s="17">
        <f t="shared" si="142"/>
        <v>0.85717867437032913</v>
      </c>
      <c r="Y61" s="17">
        <f t="shared" si="142"/>
        <v>0.77610113843518169</v>
      </c>
      <c r="Z61" s="17">
        <f t="shared" si="142"/>
        <v>0.68194141203073988</v>
      </c>
      <c r="AA61" s="17">
        <f t="shared" si="142"/>
        <v>0.73161484905895224</v>
      </c>
      <c r="AB61" s="17">
        <f t="shared" si="142"/>
        <v>0.75186107109213807</v>
      </c>
      <c r="AD61" s="67">
        <f t="shared" si="102"/>
        <v>46.411807485501519</v>
      </c>
      <c r="AE61" s="68">
        <f t="shared" si="103"/>
        <v>68.256590344365748</v>
      </c>
      <c r="AF61" s="68">
        <f t="shared" si="104"/>
        <v>114.66839782986726</v>
      </c>
      <c r="AH61" t="str">
        <f t="shared" si="134"/>
        <v>54 Textiles, printing and other skilled trades</v>
      </c>
      <c r="AI61" s="17">
        <f t="shared" si="143"/>
        <v>1.1153421330412376</v>
      </c>
      <c r="AJ61" s="17">
        <f t="shared" si="143"/>
        <v>1.0317081504907877</v>
      </c>
      <c r="AK61" s="17">
        <f t="shared" si="143"/>
        <v>1.0723834627083817</v>
      </c>
      <c r="AL61" s="17">
        <f t="shared" si="143"/>
        <v>1.1057046452601689</v>
      </c>
      <c r="AM61" s="17">
        <f t="shared" si="143"/>
        <v>1.1926007874137416</v>
      </c>
      <c r="AO61" s="67">
        <f t="shared" si="106"/>
        <v>32.391242922496417</v>
      </c>
      <c r="AP61" s="68">
        <f t="shared" si="107"/>
        <v>62.553359745002943</v>
      </c>
      <c r="AQ61" s="68">
        <f t="shared" si="108"/>
        <v>94.944602667499353</v>
      </c>
      <c r="AS61" t="str">
        <f t="shared" si="135"/>
        <v>54 Textiles, printing and other skilled trades</v>
      </c>
      <c r="AT61" s="17">
        <f t="shared" si="144"/>
        <v>1.2626860828088908</v>
      </c>
      <c r="AU61" s="17">
        <f t="shared" si="144"/>
        <v>1.1450287813073015</v>
      </c>
      <c r="AV61" s="17">
        <f t="shared" si="144"/>
        <v>1.0540661206898778</v>
      </c>
      <c r="AW61" s="17">
        <f t="shared" si="144"/>
        <v>1.175151109243131</v>
      </c>
      <c r="AX61" s="17">
        <f t="shared" si="144"/>
        <v>1.2240757192271994</v>
      </c>
      <c r="AZ61" s="67">
        <f t="shared" si="110"/>
        <v>45.881871274390512</v>
      </c>
      <c r="BA61" s="68">
        <f t="shared" si="111"/>
        <v>67.631808881323707</v>
      </c>
      <c r="BB61" s="68">
        <f t="shared" si="112"/>
        <v>113.51368015571421</v>
      </c>
      <c r="BD61" t="str">
        <f t="shared" si="136"/>
        <v>54 Textiles, printing and other skilled trades</v>
      </c>
      <c r="BE61" s="17">
        <f t="shared" si="145"/>
        <v>2.0411291359136436</v>
      </c>
      <c r="BF61" s="17">
        <f t="shared" si="145"/>
        <v>1.7311519734350416</v>
      </c>
      <c r="BG61" s="17">
        <f t="shared" si="145"/>
        <v>1.6523113864422092</v>
      </c>
      <c r="BH61" s="17">
        <f t="shared" si="145"/>
        <v>1.6101349325339225</v>
      </c>
      <c r="BI61" s="17">
        <f t="shared" si="145"/>
        <v>1.4235144758157185</v>
      </c>
      <c r="BK61" s="67">
        <f t="shared" si="114"/>
        <v>-8.0893815359012695</v>
      </c>
      <c r="BL61" s="68">
        <f t="shared" si="115"/>
        <v>39.907868922046354</v>
      </c>
      <c r="BM61" s="68">
        <f t="shared" si="116"/>
        <v>31.81848738614509</v>
      </c>
      <c r="BO61" t="str">
        <f t="shared" si="137"/>
        <v>54 Textiles, printing and other skilled trades</v>
      </c>
      <c r="BP61" s="17">
        <f t="shared" si="146"/>
        <v>2.5562549965007513</v>
      </c>
      <c r="BQ61" s="17">
        <f t="shared" si="146"/>
        <v>2.0766120613251187</v>
      </c>
      <c r="BR61" s="17">
        <f t="shared" si="146"/>
        <v>2.0899546480310227</v>
      </c>
      <c r="BS61" s="17">
        <f t="shared" si="146"/>
        <v>1.9119210335459307</v>
      </c>
      <c r="BT61" s="17">
        <f t="shared" si="146"/>
        <v>1.7875124075043527</v>
      </c>
      <c r="BV61" s="67">
        <f t="shared" si="118"/>
        <v>-33.813714269824509</v>
      </c>
      <c r="BW61" s="68">
        <f t="shared" si="119"/>
        <v>31.832845221901003</v>
      </c>
      <c r="BX61" s="68">
        <f t="shared" si="120"/>
        <v>-1.9808690479235058</v>
      </c>
      <c r="BZ61" t="str">
        <f t="shared" si="138"/>
        <v>54 Textiles, printing and other skilled trades</v>
      </c>
      <c r="CA61" s="17">
        <f t="shared" si="147"/>
        <v>2.9323630654233583</v>
      </c>
      <c r="CB61" s="17">
        <f t="shared" si="147"/>
        <v>2.5851968411203874</v>
      </c>
      <c r="CC61" s="17">
        <f t="shared" si="147"/>
        <v>2.6832410740515082</v>
      </c>
      <c r="CD61" s="17">
        <f t="shared" si="147"/>
        <v>2.7092855622574485</v>
      </c>
      <c r="CE61" s="17">
        <f t="shared" si="147"/>
        <v>3.3095123994504365</v>
      </c>
      <c r="CG61" s="67">
        <f t="shared" si="122"/>
        <v>-31.326321348175501</v>
      </c>
      <c r="CH61" s="68">
        <f t="shared" si="123"/>
        <v>30.622092310271341</v>
      </c>
      <c r="CI61" s="68">
        <f t="shared" si="124"/>
        <v>-0.70422903790416169</v>
      </c>
      <c r="CK61" t="str">
        <f t="shared" si="139"/>
        <v>54 Textiles, printing and other skilled trades</v>
      </c>
      <c r="CL61" s="17">
        <f t="shared" si="148"/>
        <v>3.6589921995244565</v>
      </c>
      <c r="CM61" s="17">
        <f t="shared" si="148"/>
        <v>3.2241044963374126</v>
      </c>
      <c r="CN61" s="17">
        <f t="shared" si="148"/>
        <v>3.4350250405079095</v>
      </c>
      <c r="CO61" s="17">
        <f t="shared" si="148"/>
        <v>2.8999150910358766</v>
      </c>
      <c r="CP61" s="17">
        <f t="shared" si="148"/>
        <v>2.6283665197658226</v>
      </c>
      <c r="CR61" s="67">
        <f t="shared" si="126"/>
        <v>-48.25179174893735</v>
      </c>
      <c r="CS61" s="68">
        <f t="shared" si="127"/>
        <v>22.639306646718733</v>
      </c>
      <c r="CT61" s="68">
        <f t="shared" si="128"/>
        <v>-25.612485102218617</v>
      </c>
    </row>
    <row r="62" spans="1:98" x14ac:dyDescent="0.2">
      <c r="A62" t="str">
        <f t="shared" si="95"/>
        <v>61 Caring personal service occupations</v>
      </c>
      <c r="B62" s="17">
        <f t="shared" si="140"/>
        <v>0.50526023472977022</v>
      </c>
      <c r="C62" s="17">
        <f t="shared" si="140"/>
        <v>0.47277852327192527</v>
      </c>
      <c r="D62" s="17">
        <f t="shared" si="140"/>
        <v>0.40026941632394819</v>
      </c>
      <c r="E62" s="17">
        <f t="shared" si="140"/>
        <v>0.48344897174195611</v>
      </c>
      <c r="F62" s="17">
        <f t="shared" si="140"/>
        <v>0.5462067950712296</v>
      </c>
      <c r="H62" s="67">
        <f t="shared" si="129"/>
        <v>115.39895162372795</v>
      </c>
      <c r="I62" s="68">
        <f t="shared" si="130"/>
        <v>82.901709766565659</v>
      </c>
      <c r="J62" s="68">
        <f t="shared" si="131"/>
        <v>198.30066139029364</v>
      </c>
      <c r="L62" t="str">
        <f t="shared" si="132"/>
        <v>61 Caring personal service occupations</v>
      </c>
      <c r="M62" s="17">
        <f t="shared" si="141"/>
        <v>3.7786486501952687</v>
      </c>
      <c r="N62" s="17">
        <f t="shared" si="141"/>
        <v>3.9416024279225139</v>
      </c>
      <c r="O62" s="17">
        <f t="shared" si="141"/>
        <v>3.4464349542216484</v>
      </c>
      <c r="P62" s="17">
        <f t="shared" si="141"/>
        <v>3.9690612947117003</v>
      </c>
      <c r="Q62" s="17">
        <f t="shared" si="141"/>
        <v>4.3768572848383993</v>
      </c>
      <c r="S62" s="67">
        <f t="shared" si="98"/>
        <v>102.73319096051348</v>
      </c>
      <c r="T62" s="68">
        <f t="shared" si="99"/>
        <v>82.107046352120832</v>
      </c>
      <c r="U62" s="68">
        <f t="shared" si="100"/>
        <v>184.84023731263432</v>
      </c>
      <c r="W62" t="str">
        <f t="shared" si="133"/>
        <v>61 Caring personal service occupations</v>
      </c>
      <c r="X62" s="17">
        <f t="shared" si="142"/>
        <v>5.7204429505235295</v>
      </c>
      <c r="Y62" s="17">
        <f t="shared" si="142"/>
        <v>6.0662126384840231</v>
      </c>
      <c r="Z62" s="17">
        <f t="shared" si="142"/>
        <v>5.3698115751411271</v>
      </c>
      <c r="AA62" s="17">
        <f t="shared" si="142"/>
        <v>6.1815789295799437</v>
      </c>
      <c r="AB62" s="17">
        <f t="shared" si="142"/>
        <v>6.7660038673632172</v>
      </c>
      <c r="AD62" s="67">
        <f t="shared" si="102"/>
        <v>67.324202033446568</v>
      </c>
      <c r="AE62" s="68">
        <f t="shared" si="103"/>
        <v>90.08552431479896</v>
      </c>
      <c r="AF62" s="68">
        <f t="shared" si="104"/>
        <v>157.40972634824553</v>
      </c>
      <c r="AH62" t="str">
        <f t="shared" si="134"/>
        <v>61 Caring personal service occupations</v>
      </c>
      <c r="AI62" s="17">
        <f t="shared" si="143"/>
        <v>16.006981730586741</v>
      </c>
      <c r="AJ62" s="17">
        <f t="shared" si="143"/>
        <v>16.062028928021892</v>
      </c>
      <c r="AK62" s="17">
        <f t="shared" si="143"/>
        <v>14.606006595010946</v>
      </c>
      <c r="AL62" s="17">
        <f t="shared" si="143"/>
        <v>15.980365016468479</v>
      </c>
      <c r="AM62" s="17">
        <f t="shared" si="143"/>
        <v>15.234697013317788</v>
      </c>
      <c r="AO62" s="67">
        <f t="shared" si="106"/>
        <v>24.169978179902859</v>
      </c>
      <c r="AP62" s="68">
        <f t="shared" si="107"/>
        <v>67.755101726535599</v>
      </c>
      <c r="AQ62" s="68">
        <f t="shared" si="108"/>
        <v>91.925079906438441</v>
      </c>
      <c r="AS62" t="str">
        <f t="shared" si="135"/>
        <v>61 Caring personal service occupations</v>
      </c>
      <c r="AT62" s="17">
        <f t="shared" si="144"/>
        <v>8.7149776504841636</v>
      </c>
      <c r="AU62" s="17">
        <f t="shared" si="144"/>
        <v>9.4113762350763697</v>
      </c>
      <c r="AV62" s="17">
        <f t="shared" si="144"/>
        <v>7.9725175598146878</v>
      </c>
      <c r="AW62" s="17">
        <f t="shared" si="144"/>
        <v>8.6003092922732769</v>
      </c>
      <c r="AX62" s="17">
        <f t="shared" si="144"/>
        <v>8.4372581665825077</v>
      </c>
      <c r="AZ62" s="67">
        <f t="shared" si="110"/>
        <v>32.943390452065849</v>
      </c>
      <c r="BA62" s="68">
        <f t="shared" si="111"/>
        <v>70.222094490715463</v>
      </c>
      <c r="BB62" s="68">
        <f t="shared" si="112"/>
        <v>103.1654849427813</v>
      </c>
      <c r="BD62" t="str">
        <f t="shared" si="136"/>
        <v>61 Caring personal service occupations</v>
      </c>
      <c r="BE62" s="17">
        <f t="shared" si="145"/>
        <v>13.270223801689424</v>
      </c>
      <c r="BF62" s="17">
        <f t="shared" si="145"/>
        <v>13.46443770309078</v>
      </c>
      <c r="BG62" s="17">
        <f t="shared" si="145"/>
        <v>13.749594342290589</v>
      </c>
      <c r="BH62" s="17">
        <f t="shared" si="145"/>
        <v>14.890376750126173</v>
      </c>
      <c r="BI62" s="17">
        <f t="shared" si="145"/>
        <v>16.083336969734908</v>
      </c>
      <c r="BK62" s="67">
        <f t="shared" si="114"/>
        <v>24.790628547021004</v>
      </c>
      <c r="BL62" s="68">
        <f t="shared" si="115"/>
        <v>62.389055669999848</v>
      </c>
      <c r="BM62" s="68">
        <f t="shared" si="116"/>
        <v>87.179684217020863</v>
      </c>
      <c r="BO62" t="str">
        <f t="shared" si="137"/>
        <v>61 Caring personal service occupations</v>
      </c>
      <c r="BP62" s="17">
        <f t="shared" si="146"/>
        <v>10.972335987213473</v>
      </c>
      <c r="BQ62" s="17">
        <f t="shared" si="146"/>
        <v>10.274952614289774</v>
      </c>
      <c r="BR62" s="17">
        <f t="shared" si="146"/>
        <v>10.152279476597917</v>
      </c>
      <c r="BS62" s="17">
        <f t="shared" si="146"/>
        <v>10.431475736904124</v>
      </c>
      <c r="BT62" s="17">
        <f t="shared" si="146"/>
        <v>9.7222915050480232</v>
      </c>
      <c r="BV62" s="67">
        <f t="shared" si="118"/>
        <v>-25.892718770372458</v>
      </c>
      <c r="BW62" s="68">
        <f t="shared" si="119"/>
        <v>45.678445910736421</v>
      </c>
      <c r="BX62" s="68">
        <f t="shared" si="120"/>
        <v>19.78572714036396</v>
      </c>
      <c r="BZ62" t="str">
        <f t="shared" si="138"/>
        <v>61 Caring personal service occupations</v>
      </c>
      <c r="CA62" s="17">
        <f t="shared" si="147"/>
        <v>4.8060523743118058</v>
      </c>
      <c r="CB62" s="17">
        <f t="shared" si="147"/>
        <v>2.6835476912630716</v>
      </c>
      <c r="CC62" s="17">
        <f t="shared" si="147"/>
        <v>2.52276987298203</v>
      </c>
      <c r="CD62" s="17">
        <f t="shared" si="147"/>
        <v>1.8966852079371785</v>
      </c>
      <c r="CE62" s="17">
        <f t="shared" si="147"/>
        <v>2.1906534633305061</v>
      </c>
      <c r="CG62" s="67">
        <f t="shared" si="122"/>
        <v>-51.65160748999115</v>
      </c>
      <c r="CH62" s="68">
        <f t="shared" si="123"/>
        <v>21.596028397938859</v>
      </c>
      <c r="CI62" s="68">
        <f t="shared" si="124"/>
        <v>-30.05557909205228</v>
      </c>
      <c r="CK62" t="str">
        <f t="shared" si="139"/>
        <v>61 Caring personal service occupations</v>
      </c>
      <c r="CL62" s="17">
        <f t="shared" si="148"/>
        <v>1.7756318401935127</v>
      </c>
      <c r="CM62" s="17">
        <f t="shared" si="148"/>
        <v>1.7435915297908542</v>
      </c>
      <c r="CN62" s="17">
        <f t="shared" si="148"/>
        <v>1.8239296724756229</v>
      </c>
      <c r="CO62" s="17">
        <f t="shared" si="148"/>
        <v>2.6892277259845705</v>
      </c>
      <c r="CP62" s="17">
        <f t="shared" si="148"/>
        <v>4.1748583161013757</v>
      </c>
      <c r="CR62" s="67">
        <f t="shared" si="126"/>
        <v>54.80071082947007</v>
      </c>
      <c r="CS62" s="68">
        <f t="shared" si="127"/>
        <v>41.205463823794389</v>
      </c>
      <c r="CT62" s="68">
        <f t="shared" si="128"/>
        <v>96.006174653264452</v>
      </c>
    </row>
    <row r="63" spans="1:98" x14ac:dyDescent="0.2">
      <c r="A63" t="str">
        <f t="shared" si="95"/>
        <v>62 Leisure, travel and related personal service occupations</v>
      </c>
      <c r="B63" s="17">
        <f t="shared" si="140"/>
        <v>0.18209949211616902</v>
      </c>
      <c r="C63" s="17">
        <f t="shared" si="140"/>
        <v>0.25454030202241718</v>
      </c>
      <c r="D63" s="17">
        <f t="shared" si="140"/>
        <v>0.17131943174348724</v>
      </c>
      <c r="E63" s="17">
        <f t="shared" si="140"/>
        <v>0.19771219356030661</v>
      </c>
      <c r="F63" s="17">
        <f t="shared" si="140"/>
        <v>0.24336139903766832</v>
      </c>
      <c r="H63" s="67">
        <f t="shared" si="129"/>
        <v>124.22496383614742</v>
      </c>
      <c r="I63" s="68">
        <f t="shared" si="130"/>
        <v>78.800206957514362</v>
      </c>
      <c r="J63" s="68">
        <f t="shared" si="131"/>
        <v>203.0251707936618</v>
      </c>
      <c r="L63" t="str">
        <f t="shared" si="132"/>
        <v>62 Leisure, travel and related personal service occupations</v>
      </c>
      <c r="M63" s="17">
        <f t="shared" si="141"/>
        <v>0.56705284755404306</v>
      </c>
      <c r="N63" s="17">
        <f t="shared" si="141"/>
        <v>0.70722179793897944</v>
      </c>
      <c r="O63" s="17">
        <f t="shared" si="141"/>
        <v>0.56894493114770694</v>
      </c>
      <c r="P63" s="17">
        <f t="shared" si="141"/>
        <v>0.60052748038095616</v>
      </c>
      <c r="Q63" s="17">
        <f t="shared" si="141"/>
        <v>0.6262687019670522</v>
      </c>
      <c r="S63" s="67">
        <f t="shared" si="98"/>
        <v>75.720743497830867</v>
      </c>
      <c r="T63" s="68">
        <f t="shared" si="99"/>
        <v>67.942713161133369</v>
      </c>
      <c r="U63" s="68">
        <f t="shared" si="100"/>
        <v>143.66345665896426</v>
      </c>
      <c r="W63" t="str">
        <f t="shared" si="133"/>
        <v>62 Leisure, travel and related personal service occupations</v>
      </c>
      <c r="X63" s="17">
        <f t="shared" si="142"/>
        <v>1.1323884723349618</v>
      </c>
      <c r="Y63" s="17">
        <f t="shared" si="142"/>
        <v>1.4249781553777747</v>
      </c>
      <c r="Z63" s="17">
        <f t="shared" si="142"/>
        <v>1.2637199242342239</v>
      </c>
      <c r="AA63" s="17">
        <f t="shared" si="142"/>
        <v>1.4384900309711444</v>
      </c>
      <c r="AB63" s="17">
        <f t="shared" si="142"/>
        <v>1.6779859108180906</v>
      </c>
      <c r="AD63" s="67">
        <f t="shared" si="102"/>
        <v>76.328715877376112</v>
      </c>
      <c r="AE63" s="68">
        <f t="shared" si="103"/>
        <v>86.818278033778</v>
      </c>
      <c r="AF63" s="68">
        <f t="shared" si="104"/>
        <v>163.14699391115411</v>
      </c>
      <c r="AH63" t="str">
        <f t="shared" si="134"/>
        <v>62 Leisure, travel and related personal service occupations</v>
      </c>
      <c r="AI63" s="17">
        <f t="shared" si="143"/>
        <v>2.1668951104702421</v>
      </c>
      <c r="AJ63" s="17">
        <f t="shared" si="143"/>
        <v>3.2178962195915104</v>
      </c>
      <c r="AK63" s="17">
        <f t="shared" si="143"/>
        <v>2.9273003461511373</v>
      </c>
      <c r="AL63" s="17">
        <f t="shared" si="143"/>
        <v>3.293694449513048</v>
      </c>
      <c r="AM63" s="17">
        <f t="shared" si="143"/>
        <v>4.0370659307632453</v>
      </c>
      <c r="AO63" s="67">
        <f t="shared" si="106"/>
        <v>64.177195901750977</v>
      </c>
      <c r="AP63" s="68">
        <f t="shared" si="107"/>
        <v>79.814334766914911</v>
      </c>
      <c r="AQ63" s="68">
        <f t="shared" si="108"/>
        <v>143.99153066866589</v>
      </c>
      <c r="AS63" t="str">
        <f t="shared" si="135"/>
        <v>62 Leisure, travel and related personal service occupations</v>
      </c>
      <c r="AT63" s="17">
        <f t="shared" si="144"/>
        <v>2.5728658970923455</v>
      </c>
      <c r="AU63" s="17">
        <f t="shared" si="144"/>
        <v>3.7265450397869806</v>
      </c>
      <c r="AV63" s="17">
        <f t="shared" si="144"/>
        <v>3.5816230337635147</v>
      </c>
      <c r="AW63" s="17">
        <f t="shared" si="144"/>
        <v>4.0258953111159483</v>
      </c>
      <c r="AX63" s="17">
        <f t="shared" si="144"/>
        <v>5.0324207249075075</v>
      </c>
      <c r="AZ63" s="67">
        <f t="shared" si="110"/>
        <v>76.505386978476309</v>
      </c>
      <c r="BA63" s="68">
        <f t="shared" si="111"/>
        <v>83.83285412756932</v>
      </c>
      <c r="BB63" s="68">
        <f t="shared" si="112"/>
        <v>160.33824110604564</v>
      </c>
      <c r="BD63" t="str">
        <f t="shared" si="136"/>
        <v>62 Leisure, travel and related personal service occupations</v>
      </c>
      <c r="BE63" s="17">
        <f t="shared" si="145"/>
        <v>2.5656052096856885</v>
      </c>
      <c r="BF63" s="17">
        <f t="shared" si="145"/>
        <v>2.9587814681034956</v>
      </c>
      <c r="BG63" s="17">
        <f t="shared" si="145"/>
        <v>2.9181817978493081</v>
      </c>
      <c r="BH63" s="17">
        <f t="shared" si="145"/>
        <v>2.659442530497254</v>
      </c>
      <c r="BI63" s="17">
        <f t="shared" si="145"/>
        <v>2.4059310008393071</v>
      </c>
      <c r="BK63" s="67">
        <f t="shared" si="114"/>
        <v>-12.043787426930546</v>
      </c>
      <c r="BL63" s="68">
        <f t="shared" si="115"/>
        <v>41.221504564181942</v>
      </c>
      <c r="BM63" s="68">
        <f t="shared" si="116"/>
        <v>29.177717137251395</v>
      </c>
      <c r="BO63" t="str">
        <f t="shared" si="137"/>
        <v>62 Leisure, travel and related personal service occupations</v>
      </c>
      <c r="BP63" s="17">
        <f t="shared" si="146"/>
        <v>2.660286591924641</v>
      </c>
      <c r="BQ63" s="17">
        <f t="shared" si="146"/>
        <v>3.1664218642318303</v>
      </c>
      <c r="BR63" s="17">
        <f t="shared" si="146"/>
        <v>3.100554737750342</v>
      </c>
      <c r="BS63" s="17">
        <f t="shared" si="146"/>
        <v>2.7913424913995883</v>
      </c>
      <c r="BT63" s="17">
        <f t="shared" si="146"/>
        <v>2.6178443363853754</v>
      </c>
      <c r="BV63" s="67">
        <f t="shared" si="118"/>
        <v>-34.66284457260366</v>
      </c>
      <c r="BW63" s="68">
        <f t="shared" si="119"/>
        <v>38.735970477673973</v>
      </c>
      <c r="BX63" s="68">
        <f t="shared" si="120"/>
        <v>4.0731259050703157</v>
      </c>
      <c r="BZ63" t="str">
        <f t="shared" si="138"/>
        <v>62 Leisure, travel and related personal service occupations</v>
      </c>
      <c r="CA63" s="17">
        <f t="shared" si="147"/>
        <v>2.6348875236800744</v>
      </c>
      <c r="CB63" s="17">
        <f t="shared" si="147"/>
        <v>3.2683580356214339</v>
      </c>
      <c r="CC63" s="17">
        <f t="shared" si="147"/>
        <v>3.1436004188312201</v>
      </c>
      <c r="CD63" s="17">
        <f t="shared" si="147"/>
        <v>3.7473932091686319</v>
      </c>
      <c r="CE63" s="17">
        <f t="shared" si="147"/>
        <v>4.6522455176093871</v>
      </c>
      <c r="CG63" s="67">
        <f t="shared" si="122"/>
        <v>-17.601125269355183</v>
      </c>
      <c r="CH63" s="68">
        <f t="shared" si="123"/>
        <v>40.291636382630166</v>
      </c>
      <c r="CI63" s="68">
        <f t="shared" si="124"/>
        <v>22.690511113274983</v>
      </c>
      <c r="CK63" t="str">
        <f t="shared" si="139"/>
        <v>62 Leisure, travel and related personal service occupations</v>
      </c>
      <c r="CL63" s="17">
        <f t="shared" si="148"/>
        <v>2.5769560061998669</v>
      </c>
      <c r="CM63" s="17">
        <f t="shared" si="148"/>
        <v>2.7502822703589076</v>
      </c>
      <c r="CN63" s="17">
        <f t="shared" si="148"/>
        <v>2.5865826577887807</v>
      </c>
      <c r="CO63" s="17">
        <f t="shared" si="148"/>
        <v>2.4899180022096217</v>
      </c>
      <c r="CP63" s="17">
        <f t="shared" si="148"/>
        <v>2.0031342307383113</v>
      </c>
      <c r="CR63" s="67">
        <f t="shared" si="126"/>
        <v>-47.625126252029048</v>
      </c>
      <c r="CS63" s="68">
        <f t="shared" si="127"/>
        <v>25.544112635019761</v>
      </c>
      <c r="CT63" s="68">
        <f t="shared" si="128"/>
        <v>-22.08101361700929</v>
      </c>
    </row>
    <row r="64" spans="1:98" x14ac:dyDescent="0.2">
      <c r="A64" t="str">
        <f t="shared" si="95"/>
        <v>63 Community and civil enforcement occupations</v>
      </c>
      <c r="B64" s="17">
        <f t="shared" si="140"/>
        <v>1.7904036360148957E-2</v>
      </c>
      <c r="C64" s="17">
        <f t="shared" si="140"/>
        <v>1.7641093555930736E-2</v>
      </c>
      <c r="D64" s="17">
        <f t="shared" si="140"/>
        <v>1.6254004358784612E-2</v>
      </c>
      <c r="E64" s="17">
        <f t="shared" si="140"/>
        <v>1.8758120190184704E-2</v>
      </c>
      <c r="F64" s="17">
        <f t="shared" si="140"/>
        <v>2.1462361167797008E-2</v>
      </c>
      <c r="H64" s="67">
        <f t="shared" si="129"/>
        <v>108.42798091799841</v>
      </c>
      <c r="I64" s="68">
        <f t="shared" si="130"/>
        <v>81.53854418373281</v>
      </c>
      <c r="J64" s="68">
        <f t="shared" si="131"/>
        <v>189.96652510173121</v>
      </c>
      <c r="L64" t="str">
        <f t="shared" si="132"/>
        <v>63 Community and civil enforcement occupations</v>
      </c>
      <c r="M64" s="17">
        <f t="shared" si="141"/>
        <v>4.1218519758936853E-2</v>
      </c>
      <c r="N64" s="17">
        <f t="shared" si="141"/>
        <v>3.0577503855192228E-2</v>
      </c>
      <c r="O64" s="17">
        <f t="shared" si="141"/>
        <v>3.7296845231686124E-2</v>
      </c>
      <c r="P64" s="17">
        <f t="shared" si="141"/>
        <v>3.4215021956546708E-2</v>
      </c>
      <c r="Q64" s="17">
        <f t="shared" si="141"/>
        <v>3.9785147785646721E-2</v>
      </c>
      <c r="S64" s="67">
        <f t="shared" si="98"/>
        <v>70.286976197831379</v>
      </c>
      <c r="T64" s="68">
        <f t="shared" si="99"/>
        <v>63.557691666419188</v>
      </c>
      <c r="U64" s="68">
        <f t="shared" si="100"/>
        <v>133.84466786425057</v>
      </c>
      <c r="W64" t="str">
        <f t="shared" si="133"/>
        <v>63 Community and civil enforcement occupations</v>
      </c>
      <c r="X64" s="17">
        <f t="shared" si="142"/>
        <v>8.6357962011507985E-2</v>
      </c>
      <c r="Y64" s="17">
        <f t="shared" si="142"/>
        <v>7.7669419105301341E-2</v>
      </c>
      <c r="Z64" s="17">
        <f t="shared" si="142"/>
        <v>8.4533854399312366E-2</v>
      </c>
      <c r="AA64" s="17">
        <f t="shared" si="142"/>
        <v>8.5003373202768781E-2</v>
      </c>
      <c r="AB64" s="17">
        <f t="shared" si="142"/>
        <v>9.4977568362725723E-2</v>
      </c>
      <c r="AD64" s="67">
        <f t="shared" si="102"/>
        <v>49.202445869160201</v>
      </c>
      <c r="AE64" s="68">
        <f t="shared" si="103"/>
        <v>72.986718498089473</v>
      </c>
      <c r="AF64" s="68">
        <f t="shared" si="104"/>
        <v>122.18916436724967</v>
      </c>
      <c r="AH64" t="str">
        <f t="shared" si="134"/>
        <v>63 Community and civil enforcement occupations</v>
      </c>
      <c r="AI64" s="17">
        <f t="shared" si="143"/>
        <v>7.9346254119883289E-2</v>
      </c>
      <c r="AJ64" s="17">
        <f t="shared" si="143"/>
        <v>6.8227616616656314E-2</v>
      </c>
      <c r="AK64" s="17">
        <f t="shared" si="143"/>
        <v>9.3322778475268625E-2</v>
      </c>
      <c r="AL64" s="17">
        <f t="shared" si="143"/>
        <v>8.353521430112805E-2</v>
      </c>
      <c r="AM64" s="17">
        <f t="shared" si="143"/>
        <v>9.7323823266486573E-2</v>
      </c>
      <c r="AO64" s="67">
        <f t="shared" si="106"/>
        <v>24.149729240588531</v>
      </c>
      <c r="AP64" s="68">
        <f t="shared" si="107"/>
        <v>55.957478568475018</v>
      </c>
      <c r="AQ64" s="68">
        <f t="shared" si="108"/>
        <v>80.107207809063553</v>
      </c>
      <c r="AS64" t="str">
        <f t="shared" si="135"/>
        <v>63 Community and civil enforcement occupations</v>
      </c>
      <c r="AT64" s="17">
        <f t="shared" si="144"/>
        <v>8.0218392804673147E-2</v>
      </c>
      <c r="AU64" s="17">
        <f t="shared" si="144"/>
        <v>6.2458110927828728E-2</v>
      </c>
      <c r="AV64" s="17">
        <f t="shared" si="144"/>
        <v>7.3917299261709563E-2</v>
      </c>
      <c r="AW64" s="17">
        <f t="shared" si="144"/>
        <v>5.8749892637061388E-2</v>
      </c>
      <c r="AX64" s="17">
        <f t="shared" si="144"/>
        <v>5.6480932788761005E-2</v>
      </c>
      <c r="AZ64" s="67">
        <f t="shared" si="110"/>
        <v>-4.0120610114840867</v>
      </c>
      <c r="BA64" s="68">
        <f t="shared" si="111"/>
        <v>49.499348520983418</v>
      </c>
      <c r="BB64" s="68">
        <f t="shared" si="112"/>
        <v>45.487287509499332</v>
      </c>
      <c r="BD64" t="str">
        <f t="shared" si="136"/>
        <v>63 Community and civil enforcement occupations</v>
      </c>
      <c r="BE64" s="17">
        <f t="shared" si="145"/>
        <v>9.6511946323255576E-2</v>
      </c>
      <c r="BF64" s="17">
        <f t="shared" si="145"/>
        <v>6.6147709311071626E-2</v>
      </c>
      <c r="BG64" s="17">
        <f t="shared" si="145"/>
        <v>9.0114722674866476E-2</v>
      </c>
      <c r="BH64" s="17">
        <f t="shared" si="145"/>
        <v>6.4662083479374327E-2</v>
      </c>
      <c r="BI64" s="17">
        <f t="shared" si="145"/>
        <v>7.4773280828130936E-2</v>
      </c>
      <c r="BK64" s="67">
        <f t="shared" si="114"/>
        <v>-11.478985532787448</v>
      </c>
      <c r="BL64" s="68">
        <f t="shared" si="115"/>
        <v>28.738272464188853</v>
      </c>
      <c r="BM64" s="68">
        <f t="shared" si="116"/>
        <v>17.259286931401409</v>
      </c>
      <c r="BO64" t="str">
        <f t="shared" si="137"/>
        <v>63 Community and civil enforcement occupations</v>
      </c>
      <c r="BP64" s="17">
        <f t="shared" si="146"/>
        <v>0.12459790467238568</v>
      </c>
      <c r="BQ64" s="17">
        <f t="shared" si="146"/>
        <v>0.10195539694909207</v>
      </c>
      <c r="BR64" s="17">
        <f t="shared" si="146"/>
        <v>0.13475724821059781</v>
      </c>
      <c r="BS64" s="17">
        <f t="shared" si="146"/>
        <v>0.10978765637198197</v>
      </c>
      <c r="BT64" s="17">
        <f t="shared" si="146"/>
        <v>0.13501532166068772</v>
      </c>
      <c r="BV64" s="67">
        <f t="shared" si="118"/>
        <v>-22.466975042591443</v>
      </c>
      <c r="BW64" s="68">
        <f t="shared" si="119"/>
        <v>32.033632695051153</v>
      </c>
      <c r="BX64" s="68">
        <f t="shared" si="120"/>
        <v>9.5666576524597069</v>
      </c>
      <c r="BZ64" t="str">
        <f t="shared" si="138"/>
        <v>63 Community and civil enforcement occupations</v>
      </c>
      <c r="CA64" s="17">
        <f t="shared" si="147"/>
        <v>0.14920674632846162</v>
      </c>
      <c r="CB64" s="17">
        <f t="shared" si="147"/>
        <v>0.13041433762866958</v>
      </c>
      <c r="CC64" s="17">
        <f t="shared" si="147"/>
        <v>0.18280806646184428</v>
      </c>
      <c r="CD64" s="17">
        <f t="shared" si="147"/>
        <v>0.15945404417062387</v>
      </c>
      <c r="CE64" s="17">
        <f t="shared" si="147"/>
        <v>0.20342231781612666</v>
      </c>
      <c r="CG64" s="67">
        <f t="shared" si="122"/>
        <v>-38.043163326878023</v>
      </c>
      <c r="CH64" s="68">
        <f t="shared" si="123"/>
        <v>29.428855760433926</v>
      </c>
      <c r="CI64" s="68">
        <f t="shared" si="124"/>
        <v>-8.6143075664440971</v>
      </c>
      <c r="CK64" t="str">
        <f t="shared" si="139"/>
        <v>63 Community and civil enforcement occupations</v>
      </c>
      <c r="CL64" s="17">
        <f t="shared" si="148"/>
        <v>0.14131812467687613</v>
      </c>
      <c r="CM64" s="17">
        <f t="shared" si="148"/>
        <v>9.8751043636799596E-2</v>
      </c>
      <c r="CN64" s="17">
        <f t="shared" si="148"/>
        <v>0.14189628684034783</v>
      </c>
      <c r="CO64" s="17">
        <f t="shared" si="148"/>
        <v>9.2809918051837886E-2</v>
      </c>
      <c r="CP64" s="17">
        <f t="shared" si="148"/>
        <v>9.5960157841992924E-2</v>
      </c>
      <c r="CR64" s="67">
        <f t="shared" si="126"/>
        <v>-54.263890313416482</v>
      </c>
      <c r="CS64" s="68">
        <f t="shared" si="127"/>
        <v>15.06046070427124</v>
      </c>
      <c r="CT64" s="68">
        <f t="shared" si="128"/>
        <v>-39.203429609145246</v>
      </c>
    </row>
    <row r="65" spans="1:98" x14ac:dyDescent="0.2">
      <c r="A65" t="str">
        <f t="shared" si="95"/>
        <v>71 Sales occupations</v>
      </c>
      <c r="B65" s="17">
        <f t="shared" ref="B65:F70" si="149">B28/B$35*100</f>
        <v>1.2899793214269919</v>
      </c>
      <c r="C65" s="17">
        <f t="shared" si="149"/>
        <v>1.2811454355318022</v>
      </c>
      <c r="D65" s="17">
        <f t="shared" si="149"/>
        <v>0.95360221650569232</v>
      </c>
      <c r="E65" s="17">
        <f t="shared" si="149"/>
        <v>0.92524099793240344</v>
      </c>
      <c r="F65" s="17">
        <f t="shared" si="149"/>
        <v>0.90898866136870526</v>
      </c>
      <c r="H65" s="67">
        <f t="shared" si="129"/>
        <v>50.463135733256401</v>
      </c>
      <c r="I65" s="68">
        <f t="shared" si="130"/>
        <v>54.178198643702459</v>
      </c>
      <c r="J65" s="68">
        <f t="shared" si="131"/>
        <v>104.64133437695887</v>
      </c>
      <c r="L65" t="str">
        <f t="shared" si="132"/>
        <v>71 Sales occupations</v>
      </c>
      <c r="M65" s="17">
        <f t="shared" ref="M65:Q70" si="150">M28/M$35*100</f>
        <v>2.4488011321157761</v>
      </c>
      <c r="N65" s="17">
        <f t="shared" si="150"/>
        <v>2.2276625551142026</v>
      </c>
      <c r="O65" s="17">
        <f t="shared" si="150"/>
        <v>2.035024923567776</v>
      </c>
      <c r="P65" s="17">
        <f t="shared" si="150"/>
        <v>2.0312141923487204</v>
      </c>
      <c r="Q65" s="17">
        <f t="shared" si="150"/>
        <v>2.260886675713059</v>
      </c>
      <c r="S65" s="67">
        <f t="shared" si="98"/>
        <v>77.354257468945036</v>
      </c>
      <c r="T65" s="68">
        <f t="shared" si="99"/>
        <v>60.982210179094132</v>
      </c>
      <c r="U65" s="68">
        <f t="shared" si="100"/>
        <v>138.33646764803919</v>
      </c>
      <c r="W65" t="str">
        <f t="shared" si="133"/>
        <v>71 Sales occupations</v>
      </c>
      <c r="X65" s="17">
        <f t="shared" ref="X65:AB70" si="151">X28/X$35*100</f>
        <v>4.7820761332925441</v>
      </c>
      <c r="Y65" s="17">
        <f t="shared" si="151"/>
        <v>4.4701787138692284</v>
      </c>
      <c r="Z65" s="17">
        <f t="shared" si="151"/>
        <v>4.2426428937718947</v>
      </c>
      <c r="AA65" s="17">
        <f t="shared" si="151"/>
        <v>4.2745752022304782</v>
      </c>
      <c r="AB65" s="17">
        <f t="shared" si="151"/>
        <v>4.7930496301282544</v>
      </c>
      <c r="AD65" s="67">
        <f t="shared" si="102"/>
        <v>50.024094818240741</v>
      </c>
      <c r="AE65" s="68">
        <f t="shared" si="103"/>
        <v>67.827011925556377</v>
      </c>
      <c r="AF65" s="68">
        <f t="shared" si="104"/>
        <v>117.85110674379713</v>
      </c>
      <c r="AH65" t="str">
        <f t="shared" si="134"/>
        <v>71 Sales occupations</v>
      </c>
      <c r="AI65" s="17">
        <f t="shared" ref="AI65:AM70" si="152">AI28/AI$35*100</f>
        <v>5.3341242590647271</v>
      </c>
      <c r="AJ65" s="17">
        <f t="shared" si="152"/>
        <v>5.5033643555514615</v>
      </c>
      <c r="AK65" s="17">
        <f t="shared" si="152"/>
        <v>5.3096933167812841</v>
      </c>
      <c r="AL65" s="17">
        <f t="shared" si="152"/>
        <v>5.506779555894826</v>
      </c>
      <c r="AM65" s="17">
        <f t="shared" si="152"/>
        <v>6.4422195779645879</v>
      </c>
      <c r="AO65" s="67">
        <f t="shared" si="106"/>
        <v>44.437632679136158</v>
      </c>
      <c r="AP65" s="68">
        <f t="shared" si="107"/>
        <v>68.327232686892316</v>
      </c>
      <c r="AQ65" s="68">
        <f t="shared" si="108"/>
        <v>112.76486536602847</v>
      </c>
      <c r="AS65" t="str">
        <f t="shared" si="135"/>
        <v>71 Sales occupations</v>
      </c>
      <c r="AT65" s="17">
        <f t="shared" ref="AT65:AX70" si="153">AT28/AT$35*100</f>
        <v>4.758328362358891</v>
      </c>
      <c r="AU65" s="17">
        <f t="shared" si="153"/>
        <v>4.434772043925407</v>
      </c>
      <c r="AV65" s="17">
        <f t="shared" si="153"/>
        <v>4.2856834303392493</v>
      </c>
      <c r="AW65" s="17">
        <f t="shared" si="153"/>
        <v>4.0373968367152209</v>
      </c>
      <c r="AX65" s="17">
        <f t="shared" si="153"/>
        <v>4.1675556505693017</v>
      </c>
      <c r="AZ65" s="67">
        <f t="shared" si="110"/>
        <v>22.158085209344762</v>
      </c>
      <c r="BA65" s="68">
        <f t="shared" si="111"/>
        <v>50.519290095945216</v>
      </c>
      <c r="BB65" s="68">
        <f t="shared" si="112"/>
        <v>72.677375305289971</v>
      </c>
      <c r="BD65" t="str">
        <f t="shared" si="136"/>
        <v>71 Sales occupations</v>
      </c>
      <c r="BE65" s="17">
        <f t="shared" ref="BE65:BI70" si="154">BE28/BE$35*100</f>
        <v>8.8396620304846589</v>
      </c>
      <c r="BF65" s="17">
        <f t="shared" si="154"/>
        <v>8.1871033037287315</v>
      </c>
      <c r="BG65" s="17">
        <f t="shared" si="154"/>
        <v>8.2070871116226396</v>
      </c>
      <c r="BH65" s="17">
        <f t="shared" si="154"/>
        <v>7.7276285820616089</v>
      </c>
      <c r="BI65" s="17">
        <f t="shared" si="154"/>
        <v>7.8604378265740866</v>
      </c>
      <c r="BK65" s="67">
        <f t="shared" si="114"/>
        <v>2.1770571198225777</v>
      </c>
      <c r="BL65" s="68">
        <f t="shared" si="115"/>
        <v>44.897456169134401</v>
      </c>
      <c r="BM65" s="68">
        <f t="shared" si="116"/>
        <v>47.074513288956979</v>
      </c>
      <c r="BO65" t="str">
        <f t="shared" si="137"/>
        <v>71 Sales occupations</v>
      </c>
      <c r="BP65" s="17">
        <f t="shared" ref="BP65:BT70" si="155">BP28/BP$35*100</f>
        <v>9.4207402511041263</v>
      </c>
      <c r="BQ65" s="17">
        <f t="shared" si="155"/>
        <v>8.4237307931911509</v>
      </c>
      <c r="BR65" s="17">
        <f t="shared" si="155"/>
        <v>8.3832711457854003</v>
      </c>
      <c r="BS65" s="17">
        <f t="shared" si="155"/>
        <v>7.6484103567663757</v>
      </c>
      <c r="BT65" s="17">
        <f t="shared" si="155"/>
        <v>7.2327081613322868</v>
      </c>
      <c r="BV65" s="67">
        <f t="shared" si="118"/>
        <v>-33.235863630259416</v>
      </c>
      <c r="BW65" s="68">
        <f t="shared" si="119"/>
        <v>40.421012319172867</v>
      </c>
      <c r="BX65" s="68">
        <f t="shared" si="120"/>
        <v>7.1851486889134506</v>
      </c>
      <c r="BZ65" t="str">
        <f t="shared" si="138"/>
        <v>71 Sales occupations</v>
      </c>
      <c r="CA65" s="17">
        <f t="shared" ref="CA65:CE70" si="156">CA28/CA$35*100</f>
        <v>9.7928657511992867</v>
      </c>
      <c r="CB65" s="17">
        <f t="shared" si="156"/>
        <v>8.9933465637784025</v>
      </c>
      <c r="CC65" s="17">
        <f t="shared" si="156"/>
        <v>8.6323479163276353</v>
      </c>
      <c r="CD65" s="17">
        <f t="shared" si="156"/>
        <v>8.1187040978668765</v>
      </c>
      <c r="CE65" s="17">
        <f t="shared" si="156"/>
        <v>4.4818543804659408</v>
      </c>
      <c r="CG65" s="67">
        <f t="shared" si="122"/>
        <v>-71.092216148615378</v>
      </c>
      <c r="CH65" s="68">
        <f t="shared" si="123"/>
        <v>23.550372814817834</v>
      </c>
      <c r="CI65" s="68">
        <f t="shared" si="124"/>
        <v>-47.541843333797537</v>
      </c>
      <c r="CK65" t="str">
        <f t="shared" si="139"/>
        <v>71 Sales occupations</v>
      </c>
      <c r="CL65" s="17">
        <f t="shared" ref="CL65:CP70" si="157">CL28/CL$35*100</f>
        <v>10.989116564432083</v>
      </c>
      <c r="CM65" s="17">
        <f t="shared" si="157"/>
        <v>10.047741396549084</v>
      </c>
      <c r="CN65" s="17">
        <f t="shared" si="157"/>
        <v>9.4909069092369851</v>
      </c>
      <c r="CO65" s="17">
        <f t="shared" si="157"/>
        <v>8.2592166760170702</v>
      </c>
      <c r="CP65" s="17">
        <f t="shared" si="157"/>
        <v>7.4069469065253886</v>
      </c>
      <c r="CR65" s="67">
        <f t="shared" si="126"/>
        <v>-47.219826200904883</v>
      </c>
      <c r="CS65" s="68">
        <f t="shared" si="127"/>
        <v>19.997170349122378</v>
      </c>
      <c r="CT65" s="68">
        <f t="shared" si="128"/>
        <v>-27.222655851782505</v>
      </c>
    </row>
    <row r="66" spans="1:98" x14ac:dyDescent="0.2">
      <c r="A66" t="str">
        <f t="shared" si="95"/>
        <v>72 Customer service occupations</v>
      </c>
      <c r="B66" s="17">
        <f t="shared" si="149"/>
        <v>0.42400391012273869</v>
      </c>
      <c r="C66" s="17">
        <f t="shared" si="149"/>
        <v>0.40145268246086985</v>
      </c>
      <c r="D66" s="17">
        <f t="shared" si="149"/>
        <v>0.39615161882493216</v>
      </c>
      <c r="E66" s="17">
        <f t="shared" si="149"/>
        <v>0.54165103212961552</v>
      </c>
      <c r="F66" s="17">
        <f t="shared" si="149"/>
        <v>0.62297231966734579</v>
      </c>
      <c r="H66" s="67">
        <f t="shared" si="129"/>
        <v>148.22539457149716</v>
      </c>
      <c r="I66" s="68">
        <f t="shared" si="130"/>
        <v>77.335722219222419</v>
      </c>
      <c r="J66" s="68">
        <f t="shared" si="131"/>
        <v>225.56111679071958</v>
      </c>
      <c r="L66" t="str">
        <f t="shared" si="132"/>
        <v>72 Customer service occupations</v>
      </c>
      <c r="M66" s="17">
        <f t="shared" si="150"/>
        <v>0.70741357016626527</v>
      </c>
      <c r="N66" s="17">
        <f t="shared" si="150"/>
        <v>0.75616736173205168</v>
      </c>
      <c r="O66" s="17">
        <f t="shared" si="150"/>
        <v>0.70231541313529033</v>
      </c>
      <c r="P66" s="17">
        <f t="shared" si="150"/>
        <v>0.95871925844594996</v>
      </c>
      <c r="Q66" s="17">
        <f t="shared" si="150"/>
        <v>1.113647350081405</v>
      </c>
      <c r="S66" s="67">
        <f t="shared" si="98"/>
        <v>153.13257957967866</v>
      </c>
      <c r="T66" s="68">
        <f t="shared" si="99"/>
        <v>83.086186068869367</v>
      </c>
      <c r="U66" s="68">
        <f t="shared" si="100"/>
        <v>236.21876564854801</v>
      </c>
      <c r="W66" t="str">
        <f t="shared" si="133"/>
        <v>72 Customer service occupations</v>
      </c>
      <c r="X66" s="17">
        <f t="shared" si="151"/>
        <v>1.3311999929667011</v>
      </c>
      <c r="Y66" s="17">
        <f t="shared" si="151"/>
        <v>1.389407493339007</v>
      </c>
      <c r="Z66" s="17">
        <f t="shared" si="151"/>
        <v>1.3289564677397918</v>
      </c>
      <c r="AA66" s="17">
        <f t="shared" si="151"/>
        <v>1.7241325463997894</v>
      </c>
      <c r="AB66" s="17">
        <f t="shared" si="151"/>
        <v>1.9956771156844855</v>
      </c>
      <c r="AD66" s="67">
        <f t="shared" si="102"/>
        <v>99.418336787241699</v>
      </c>
      <c r="AE66" s="68">
        <f t="shared" si="103"/>
        <v>83.791707904879289</v>
      </c>
      <c r="AF66" s="68">
        <f t="shared" si="104"/>
        <v>183.21004469212096</v>
      </c>
      <c r="AH66" t="str">
        <f t="shared" si="134"/>
        <v>72 Customer service occupations</v>
      </c>
      <c r="AI66" s="17">
        <f t="shared" si="152"/>
        <v>1.3568793374964434</v>
      </c>
      <c r="AJ66" s="17">
        <f t="shared" si="152"/>
        <v>1.6482368694788152</v>
      </c>
      <c r="AK66" s="17">
        <f t="shared" si="152"/>
        <v>1.702988617940757</v>
      </c>
      <c r="AL66" s="17">
        <f t="shared" si="152"/>
        <v>2.3938347861709808</v>
      </c>
      <c r="AM66" s="17">
        <f t="shared" si="152"/>
        <v>2.9495784952075104</v>
      </c>
      <c r="AO66" s="67">
        <f t="shared" si="106"/>
        <v>106.18757397538342</v>
      </c>
      <c r="AP66" s="68">
        <f t="shared" si="107"/>
        <v>87.682287453311929</v>
      </c>
      <c r="AQ66" s="68">
        <f t="shared" si="108"/>
        <v>193.86986142869534</v>
      </c>
      <c r="AS66" t="str">
        <f t="shared" si="135"/>
        <v>72 Customer service occupations</v>
      </c>
      <c r="AT66" s="17">
        <f t="shared" si="153"/>
        <v>1.971125437666565</v>
      </c>
      <c r="AU66" s="17">
        <f t="shared" si="153"/>
        <v>1.9843716166560061</v>
      </c>
      <c r="AV66" s="17">
        <f t="shared" si="153"/>
        <v>1.9288815178672289</v>
      </c>
      <c r="AW66" s="17">
        <f t="shared" si="153"/>
        <v>2.5256707629629043</v>
      </c>
      <c r="AX66" s="17">
        <f t="shared" si="153"/>
        <v>2.6608722124073765</v>
      </c>
      <c r="AZ66" s="67">
        <f t="shared" si="110"/>
        <v>73.292338841876798</v>
      </c>
      <c r="BA66" s="68">
        <f t="shared" si="111"/>
        <v>71.414821533384199</v>
      </c>
      <c r="BB66" s="68">
        <f t="shared" si="112"/>
        <v>144.707160375261</v>
      </c>
      <c r="BD66" t="str">
        <f t="shared" si="136"/>
        <v>72 Customer service occupations</v>
      </c>
      <c r="BE66" s="17">
        <f t="shared" si="154"/>
        <v>1.8827259818957827</v>
      </c>
      <c r="BF66" s="17">
        <f t="shared" si="154"/>
        <v>1.8736118193371996</v>
      </c>
      <c r="BG66" s="17">
        <f t="shared" si="154"/>
        <v>2.0316711449728855</v>
      </c>
      <c r="BH66" s="17">
        <f t="shared" si="154"/>
        <v>2.4971346256374831</v>
      </c>
      <c r="BI66" s="17">
        <f t="shared" si="154"/>
        <v>2.7407526822319639</v>
      </c>
      <c r="BK66" s="67">
        <f t="shared" si="114"/>
        <v>43.917011315314554</v>
      </c>
      <c r="BL66" s="68">
        <f t="shared" si="115"/>
        <v>57.012585430037554</v>
      </c>
      <c r="BM66" s="68">
        <f t="shared" si="116"/>
        <v>100.92959674535211</v>
      </c>
      <c r="BO66" t="str">
        <f t="shared" si="137"/>
        <v>72 Customer service occupations</v>
      </c>
      <c r="BP66" s="17">
        <f t="shared" si="155"/>
        <v>1.9613734474044269</v>
      </c>
      <c r="BQ66" s="17">
        <f t="shared" si="155"/>
        <v>1.9922190844938175</v>
      </c>
      <c r="BR66" s="17">
        <f t="shared" si="155"/>
        <v>2.1014092801187036</v>
      </c>
      <c r="BS66" s="17">
        <f t="shared" si="155"/>
        <v>2.6337566805872155</v>
      </c>
      <c r="BT66" s="17">
        <f t="shared" si="155"/>
        <v>2.8570477150010127</v>
      </c>
      <c r="BV66" s="67">
        <f t="shared" si="118"/>
        <v>5.21136486112756</v>
      </c>
      <c r="BW66" s="68">
        <f t="shared" si="119"/>
        <v>56.401632321196061</v>
      </c>
      <c r="BX66" s="68">
        <f t="shared" si="120"/>
        <v>61.612997182323618</v>
      </c>
      <c r="BZ66" t="str">
        <f t="shared" si="138"/>
        <v>72 Customer service occupations</v>
      </c>
      <c r="CA66" s="17">
        <f t="shared" si="156"/>
        <v>1.5536788893793487</v>
      </c>
      <c r="CB66" s="17">
        <f t="shared" si="156"/>
        <v>1.5026415334798244</v>
      </c>
      <c r="CC66" s="17">
        <f t="shared" si="156"/>
        <v>1.5158896289174102</v>
      </c>
      <c r="CD66" s="17">
        <f t="shared" si="156"/>
        <v>1.7887754464393304</v>
      </c>
      <c r="CE66" s="17">
        <f t="shared" si="156"/>
        <v>2.0016204910717974</v>
      </c>
      <c r="CG66" s="67">
        <f t="shared" si="122"/>
        <v>-26.480905511985231</v>
      </c>
      <c r="CH66" s="68">
        <f t="shared" si="123"/>
        <v>31.325659116991456</v>
      </c>
      <c r="CI66" s="68">
        <f t="shared" si="124"/>
        <v>4.8447536050062263</v>
      </c>
      <c r="CK66" t="str">
        <f t="shared" si="139"/>
        <v>72 Customer service occupations</v>
      </c>
      <c r="CL66" s="17">
        <f t="shared" si="157"/>
        <v>1.1201124775314149</v>
      </c>
      <c r="CM66" s="17">
        <f t="shared" si="157"/>
        <v>1.5001302698122827</v>
      </c>
      <c r="CN66" s="17">
        <f t="shared" si="157"/>
        <v>1.5548418937260253</v>
      </c>
      <c r="CO66" s="17">
        <f t="shared" si="157"/>
        <v>2.6506154233265962</v>
      </c>
      <c r="CP66" s="17">
        <f t="shared" si="157"/>
        <v>4.1693211965783554</v>
      </c>
      <c r="CR66" s="67">
        <f t="shared" si="126"/>
        <v>81.350358273541246</v>
      </c>
      <c r="CS66" s="68">
        <f t="shared" si="127"/>
        <v>56.600643426112086</v>
      </c>
      <c r="CT66" s="68">
        <f t="shared" si="128"/>
        <v>137.95100169965332</v>
      </c>
    </row>
    <row r="67" spans="1:98" x14ac:dyDescent="0.2">
      <c r="A67" t="str">
        <f t="shared" si="95"/>
        <v>81 Process, plant and machine operatives</v>
      </c>
      <c r="B67" s="17">
        <f t="shared" si="149"/>
        <v>0.49342446294218262</v>
      </c>
      <c r="C67" s="17">
        <f t="shared" si="149"/>
        <v>0.5956552982477733</v>
      </c>
      <c r="D67" s="17">
        <f t="shared" si="149"/>
        <v>0.44620446926828311</v>
      </c>
      <c r="E67" s="17">
        <f t="shared" si="149"/>
        <v>0.56123157757914188</v>
      </c>
      <c r="F67" s="17">
        <f t="shared" si="149"/>
        <v>0.88520741110566847</v>
      </c>
      <c r="H67" s="67">
        <f t="shared" si="129"/>
        <v>213.14827215855243</v>
      </c>
      <c r="I67" s="68">
        <f t="shared" si="130"/>
        <v>102.07811089083904</v>
      </c>
      <c r="J67" s="68">
        <f t="shared" si="131"/>
        <v>315.22638304939147</v>
      </c>
      <c r="L67" t="str">
        <f t="shared" si="132"/>
        <v>81 Process, plant and machine operatives</v>
      </c>
      <c r="M67" s="17">
        <f t="shared" si="150"/>
        <v>0.56946797837491003</v>
      </c>
      <c r="N67" s="17">
        <f t="shared" si="150"/>
        <v>0.57046481723280729</v>
      </c>
      <c r="O67" s="17">
        <f t="shared" si="150"/>
        <v>0.46231642892612668</v>
      </c>
      <c r="P67" s="17">
        <f t="shared" si="150"/>
        <v>0.68896737901920768</v>
      </c>
      <c r="Q67" s="17">
        <f t="shared" si="150"/>
        <v>1.0385847232462668</v>
      </c>
      <c r="S67" s="67">
        <f t="shared" si="98"/>
        <v>258.62053973161829</v>
      </c>
      <c r="T67" s="68">
        <f t="shared" si="99"/>
        <v>110.19244460200666</v>
      </c>
      <c r="U67" s="68">
        <f t="shared" si="100"/>
        <v>368.81298433362497</v>
      </c>
      <c r="W67" t="str">
        <f t="shared" si="133"/>
        <v>81 Process, plant and machine operatives</v>
      </c>
      <c r="X67" s="17">
        <f t="shared" si="151"/>
        <v>0.75572922703352086</v>
      </c>
      <c r="Y67" s="17">
        <f t="shared" si="151"/>
        <v>0.76620644481126643</v>
      </c>
      <c r="Z67" s="17">
        <f t="shared" si="151"/>
        <v>0.65423359932665082</v>
      </c>
      <c r="AA67" s="17">
        <f t="shared" si="151"/>
        <v>0.95602399771724622</v>
      </c>
      <c r="AB67" s="17">
        <f t="shared" si="151"/>
        <v>1.4429018182402087</v>
      </c>
      <c r="AD67" s="67">
        <f t="shared" si="102"/>
        <v>192.87985706504469</v>
      </c>
      <c r="AE67" s="68">
        <f t="shared" si="103"/>
        <v>103.65023566016309</v>
      </c>
      <c r="AF67" s="68">
        <f t="shared" si="104"/>
        <v>296.53009272520779</v>
      </c>
      <c r="AH67" t="str">
        <f t="shared" si="134"/>
        <v>81 Process, plant and machine operatives</v>
      </c>
      <c r="AI67" s="17">
        <f t="shared" si="152"/>
        <v>1.0686038479462585</v>
      </c>
      <c r="AJ67" s="17">
        <f t="shared" si="152"/>
        <v>1.1050071898281812</v>
      </c>
      <c r="AK67" s="17">
        <f t="shared" si="152"/>
        <v>1.094606050787128</v>
      </c>
      <c r="AL67" s="17">
        <f t="shared" si="152"/>
        <v>1.5555141112395598</v>
      </c>
      <c r="AM67" s="17">
        <f t="shared" si="152"/>
        <v>1.9159204930492293</v>
      </c>
      <c r="AO67" s="67">
        <f t="shared" si="106"/>
        <v>108.36938696536527</v>
      </c>
      <c r="AP67" s="68">
        <f t="shared" si="107"/>
        <v>78.558366334307323</v>
      </c>
      <c r="AQ67" s="68">
        <f t="shared" si="108"/>
        <v>186.92775329967259</v>
      </c>
      <c r="AS67" t="str">
        <f t="shared" si="135"/>
        <v>81 Process, plant and machine operatives</v>
      </c>
      <c r="AT67" s="17">
        <f t="shared" si="153"/>
        <v>2.584541625914802</v>
      </c>
      <c r="AU67" s="17">
        <f t="shared" si="153"/>
        <v>2.4363820539133192</v>
      </c>
      <c r="AV67" s="17">
        <f t="shared" si="153"/>
        <v>2.3457767361512656</v>
      </c>
      <c r="AW67" s="17">
        <f t="shared" si="153"/>
        <v>3.1701350898863425</v>
      </c>
      <c r="AX67" s="17">
        <f t="shared" si="153"/>
        <v>3.7910717889687189</v>
      </c>
      <c r="AZ67" s="67">
        <f t="shared" si="110"/>
        <v>103.01878780644205</v>
      </c>
      <c r="BA67" s="68">
        <f t="shared" si="111"/>
        <v>77.167759130351484</v>
      </c>
      <c r="BB67" s="68">
        <f t="shared" si="112"/>
        <v>180.18654693679355</v>
      </c>
      <c r="BD67" t="str">
        <f t="shared" si="136"/>
        <v>81 Process, plant and machine operatives</v>
      </c>
      <c r="BE67" s="17">
        <f t="shared" si="154"/>
        <v>4.4813858339264607</v>
      </c>
      <c r="BF67" s="17">
        <f t="shared" si="154"/>
        <v>4.3875409241006169</v>
      </c>
      <c r="BG67" s="17">
        <f t="shared" si="154"/>
        <v>3.8688439900845966</v>
      </c>
      <c r="BH67" s="17">
        <f t="shared" si="154"/>
        <v>5.1775991895119589</v>
      </c>
      <c r="BI67" s="17">
        <f t="shared" si="154"/>
        <v>5.819152650980584</v>
      </c>
      <c r="BK67" s="67">
        <f t="shared" si="114"/>
        <v>60.462749310873043</v>
      </c>
      <c r="BL67" s="68">
        <f t="shared" si="115"/>
        <v>52.891167166696604</v>
      </c>
      <c r="BM67" s="68">
        <f t="shared" si="116"/>
        <v>113.35391647756965</v>
      </c>
      <c r="BO67" t="str">
        <f t="shared" si="137"/>
        <v>81 Process, plant and machine operatives</v>
      </c>
      <c r="BP67" s="17">
        <f t="shared" si="155"/>
        <v>5.8394298379913145</v>
      </c>
      <c r="BQ67" s="17">
        <f t="shared" si="155"/>
        <v>5.8749897712201706</v>
      </c>
      <c r="BR67" s="17">
        <f t="shared" si="155"/>
        <v>5.2099514856983653</v>
      </c>
      <c r="BS67" s="17">
        <f t="shared" si="155"/>
        <v>6.9065172391564289</v>
      </c>
      <c r="BT67" s="17">
        <f t="shared" si="155"/>
        <v>7.9086804385861909</v>
      </c>
      <c r="BV67" s="67">
        <f t="shared" si="118"/>
        <v>17.469779960634337</v>
      </c>
      <c r="BW67" s="68">
        <f t="shared" si="119"/>
        <v>47.782913635241563</v>
      </c>
      <c r="BX67" s="68">
        <f t="shared" si="120"/>
        <v>65.252693595875911</v>
      </c>
      <c r="BZ67" t="str">
        <f t="shared" si="138"/>
        <v>81 Process, plant and machine operatives</v>
      </c>
      <c r="CA67" s="17">
        <f t="shared" si="156"/>
        <v>7.1754745497359922</v>
      </c>
      <c r="CB67" s="17">
        <f t="shared" si="156"/>
        <v>7.2888348619517247</v>
      </c>
      <c r="CC67" s="17">
        <f t="shared" si="156"/>
        <v>6.6339709976654255</v>
      </c>
      <c r="CD67" s="17">
        <f t="shared" si="156"/>
        <v>8.0639675771599428</v>
      </c>
      <c r="CE67" s="17">
        <f t="shared" si="156"/>
        <v>6.2973242084456951</v>
      </c>
      <c r="CG67" s="67">
        <f t="shared" si="122"/>
        <v>-47.14714194638109</v>
      </c>
      <c r="CH67" s="68">
        <f t="shared" si="123"/>
        <v>31.548021076039866</v>
      </c>
      <c r="CI67" s="68">
        <f t="shared" si="124"/>
        <v>-15.599120870341229</v>
      </c>
      <c r="CK67" t="str">
        <f t="shared" si="139"/>
        <v>81 Process, plant and machine operatives</v>
      </c>
      <c r="CL67" s="17">
        <f t="shared" si="157"/>
        <v>9.3691224791508194</v>
      </c>
      <c r="CM67" s="17">
        <f t="shared" si="157"/>
        <v>8.0843521243050382</v>
      </c>
      <c r="CN67" s="17">
        <f t="shared" si="157"/>
        <v>7.3454574045339855</v>
      </c>
      <c r="CO67" s="17">
        <f t="shared" si="157"/>
        <v>4.620222447879569</v>
      </c>
      <c r="CP67" s="17">
        <f t="shared" si="157"/>
        <v>2.8546292922224619</v>
      </c>
      <c r="CR67" s="67">
        <f t="shared" si="126"/>
        <v>-73.717288296270794</v>
      </c>
      <c r="CS67" s="68">
        <f t="shared" si="127"/>
        <v>13.790642382728857</v>
      </c>
      <c r="CT67" s="68">
        <f t="shared" si="128"/>
        <v>-59.92664591354194</v>
      </c>
    </row>
    <row r="68" spans="1:98" x14ac:dyDescent="0.2">
      <c r="A68" t="str">
        <f t="shared" si="95"/>
        <v>82 Transport and mobile machine drivers and operatives</v>
      </c>
      <c r="B68" s="17">
        <f t="shared" si="149"/>
        <v>0.5399656997879827</v>
      </c>
      <c r="C68" s="17">
        <f t="shared" si="149"/>
        <v>0.53787648536654797</v>
      </c>
      <c r="D68" s="17">
        <f t="shared" si="149"/>
        <v>0.61898780163712452</v>
      </c>
      <c r="E68" s="17">
        <f t="shared" si="149"/>
        <v>0.77517860103860259</v>
      </c>
      <c r="F68" s="17">
        <f t="shared" si="149"/>
        <v>0.94374223528028467</v>
      </c>
      <c r="H68" s="67">
        <f t="shared" si="129"/>
        <v>140.66348171892329</v>
      </c>
      <c r="I68" s="68">
        <f t="shared" si="130"/>
        <v>108.20939565764233</v>
      </c>
      <c r="J68" s="68">
        <f t="shared" si="131"/>
        <v>248.87287737656561</v>
      </c>
      <c r="L68" t="str">
        <f t="shared" si="132"/>
        <v>82 Transport and mobile machine drivers and operatives</v>
      </c>
      <c r="M68" s="17">
        <f t="shared" si="150"/>
        <v>0.53393810065330216</v>
      </c>
      <c r="N68" s="17">
        <f t="shared" si="150"/>
        <v>0.50748582333660086</v>
      </c>
      <c r="O68" s="17">
        <f t="shared" si="150"/>
        <v>0.56188828437003291</v>
      </c>
      <c r="P68" s="17">
        <f t="shared" si="150"/>
        <v>0.62018871958319588</v>
      </c>
      <c r="Q68" s="17">
        <f t="shared" si="150"/>
        <v>0.68873009688752052</v>
      </c>
      <c r="S68" s="67">
        <f t="shared" si="98"/>
        <v>95.673332376286425</v>
      </c>
      <c r="T68" s="68">
        <f t="shared" si="99"/>
        <v>91.614158603180172</v>
      </c>
      <c r="U68" s="68">
        <f t="shared" si="100"/>
        <v>187.28749097946661</v>
      </c>
      <c r="W68" t="str">
        <f t="shared" si="133"/>
        <v>82 Transport and mobile machine drivers and operatives</v>
      </c>
      <c r="X68" s="17">
        <f t="shared" si="151"/>
        <v>0.92142939744324692</v>
      </c>
      <c r="Y68" s="17">
        <f t="shared" si="151"/>
        <v>0.92810082015921203</v>
      </c>
      <c r="Z68" s="17">
        <f t="shared" si="151"/>
        <v>1.0696455660938282</v>
      </c>
      <c r="AA68" s="17">
        <f t="shared" si="151"/>
        <v>1.1394060483770663</v>
      </c>
      <c r="AB68" s="17">
        <f t="shared" si="151"/>
        <v>1.2231879652706839</v>
      </c>
      <c r="AD68" s="67">
        <f t="shared" si="102"/>
        <v>51.858418182777569</v>
      </c>
      <c r="AE68" s="68">
        <f t="shared" si="103"/>
        <v>83.040395279024921</v>
      </c>
      <c r="AF68" s="68">
        <f t="shared" si="104"/>
        <v>134.89881346180249</v>
      </c>
      <c r="AH68" t="str">
        <f t="shared" si="134"/>
        <v>82 Transport and mobile machine drivers and operatives</v>
      </c>
      <c r="AI68" s="17">
        <f t="shared" si="152"/>
        <v>1.3910739775719423</v>
      </c>
      <c r="AJ68" s="17">
        <f t="shared" si="152"/>
        <v>1.5183807999400996</v>
      </c>
      <c r="AK68" s="17">
        <f t="shared" si="152"/>
        <v>1.9652183068882465</v>
      </c>
      <c r="AL68" s="17">
        <f t="shared" si="152"/>
        <v>2.2331055709864578</v>
      </c>
      <c r="AM68" s="17">
        <f t="shared" si="152"/>
        <v>2.5550280452186414</v>
      </c>
      <c r="AO68" s="67">
        <f t="shared" si="106"/>
        <v>54.774406085535446</v>
      </c>
      <c r="AP68" s="68">
        <f t="shared" si="107"/>
        <v>81.430161600042766</v>
      </c>
      <c r="AQ68" s="68">
        <f t="shared" si="108"/>
        <v>136.20456768557824</v>
      </c>
      <c r="AS68" t="str">
        <f t="shared" si="135"/>
        <v>82 Transport and mobile machine drivers and operatives</v>
      </c>
      <c r="AT68" s="17">
        <f t="shared" si="153"/>
        <v>2.2659319155439537</v>
      </c>
      <c r="AU68" s="17">
        <f t="shared" si="153"/>
        <v>2.3112720182882081</v>
      </c>
      <c r="AV68" s="17">
        <f t="shared" si="153"/>
        <v>2.7034282798480223</v>
      </c>
      <c r="AW68" s="17">
        <f t="shared" si="153"/>
        <v>3.0318798610750624</v>
      </c>
      <c r="AX68" s="17">
        <f t="shared" si="153"/>
        <v>3.2968223966801573</v>
      </c>
      <c r="AZ68" s="67">
        <f t="shared" si="110"/>
        <v>53.193943607150842</v>
      </c>
      <c r="BA68" s="68">
        <f t="shared" si="111"/>
        <v>83.626006859742844</v>
      </c>
      <c r="BB68" s="68">
        <f t="shared" si="112"/>
        <v>136.81995046689369</v>
      </c>
      <c r="BD68" t="str">
        <f t="shared" si="136"/>
        <v>82 Transport and mobile machine drivers and operatives</v>
      </c>
      <c r="BE68" s="17">
        <f t="shared" si="154"/>
        <v>3.7256514295284289</v>
      </c>
      <c r="BF68" s="17">
        <f t="shared" si="154"/>
        <v>4.1196703040025255</v>
      </c>
      <c r="BG68" s="17">
        <f t="shared" si="154"/>
        <v>4.081032835022695</v>
      </c>
      <c r="BH68" s="17">
        <f t="shared" si="154"/>
        <v>4.6802106350249844</v>
      </c>
      <c r="BI68" s="17">
        <f t="shared" si="154"/>
        <v>5.3256821808521835</v>
      </c>
      <c r="BK68" s="67">
        <f t="shared" si="114"/>
        <v>39.219751066542237</v>
      </c>
      <c r="BL68" s="68">
        <f t="shared" si="115"/>
        <v>64.036724515689386</v>
      </c>
      <c r="BM68" s="68">
        <f t="shared" si="116"/>
        <v>103.25647558223162</v>
      </c>
      <c r="BO68" t="str">
        <f t="shared" si="137"/>
        <v>82 Transport and mobile machine drivers and operatives</v>
      </c>
      <c r="BP68" s="17">
        <f t="shared" si="155"/>
        <v>5.7090411314986111</v>
      </c>
      <c r="BQ68" s="17">
        <f t="shared" si="155"/>
        <v>6.6176830196186618</v>
      </c>
      <c r="BR68" s="17">
        <f t="shared" si="155"/>
        <v>6.5618356462743526</v>
      </c>
      <c r="BS68" s="17">
        <f t="shared" si="155"/>
        <v>7.5439308265404614</v>
      </c>
      <c r="BT68" s="17">
        <f t="shared" si="155"/>
        <v>9.0456082602663717</v>
      </c>
      <c r="BV68" s="67">
        <f t="shared" si="118"/>
        <v>6.6763712627639542</v>
      </c>
      <c r="BW68" s="68">
        <f t="shared" si="119"/>
        <v>56.771905370874656</v>
      </c>
      <c r="BX68" s="68">
        <f t="shared" si="120"/>
        <v>63.448276633638613</v>
      </c>
      <c r="BZ68" t="str">
        <f t="shared" si="138"/>
        <v>82 Transport and mobile machine drivers and operatives</v>
      </c>
      <c r="CA68" s="17">
        <f t="shared" si="156"/>
        <v>7.3802281571326178</v>
      </c>
      <c r="CB68" s="17">
        <f t="shared" si="156"/>
        <v>8.3624425192546106</v>
      </c>
      <c r="CC68" s="17">
        <f t="shared" si="156"/>
        <v>8.7553324211305359</v>
      </c>
      <c r="CD68" s="17">
        <f t="shared" si="156"/>
        <v>8.5171545730341212</v>
      </c>
      <c r="CE68" s="17">
        <f t="shared" si="156"/>
        <v>9.6197684066099249</v>
      </c>
      <c r="CG68" s="67">
        <f t="shared" si="122"/>
        <v>-38.824437772917051</v>
      </c>
      <c r="CH68" s="68">
        <f t="shared" si="123"/>
        <v>39.057493775456322</v>
      </c>
      <c r="CI68" s="68">
        <f t="shared" si="124"/>
        <v>0.23305600253927228</v>
      </c>
      <c r="CK68" t="str">
        <f t="shared" si="139"/>
        <v>82 Transport and mobile machine drivers and operatives</v>
      </c>
      <c r="CL68" s="17">
        <f t="shared" si="157"/>
        <v>8.9669822565946848</v>
      </c>
      <c r="CM68" s="17">
        <f t="shared" si="157"/>
        <v>10.670064525092862</v>
      </c>
      <c r="CN68" s="17">
        <f t="shared" si="157"/>
        <v>11.651173467793184</v>
      </c>
      <c r="CO68" s="17">
        <f t="shared" si="157"/>
        <v>12.592916286604874</v>
      </c>
      <c r="CP68" s="17">
        <f t="shared" si="157"/>
        <v>9.2679838158346772</v>
      </c>
      <c r="CR68" s="67">
        <f t="shared" si="126"/>
        <v>-46.203391599707516</v>
      </c>
      <c r="CS68" s="68">
        <f t="shared" si="127"/>
        <v>33.074174052078391</v>
      </c>
      <c r="CT68" s="68">
        <f t="shared" si="128"/>
        <v>-13.129217547629118</v>
      </c>
    </row>
    <row r="69" spans="1:98" x14ac:dyDescent="0.2">
      <c r="A69" t="str">
        <f t="shared" si="95"/>
        <v>91 Elementary trades and related occupations</v>
      </c>
      <c r="B69" s="17">
        <f t="shared" si="149"/>
        <v>7.136564212564098E-3</v>
      </c>
      <c r="C69" s="17">
        <f t="shared" si="149"/>
        <v>5.8575942042261124E-3</v>
      </c>
      <c r="D69" s="17">
        <f t="shared" si="149"/>
        <v>5.4012649516697962E-3</v>
      </c>
      <c r="E69" s="17">
        <f t="shared" si="149"/>
        <v>4.3304932884719888E-3</v>
      </c>
      <c r="F69" s="17">
        <f t="shared" si="149"/>
        <v>4.4978909462225786E-3</v>
      </c>
      <c r="H69" s="67">
        <f t="shared" si="129"/>
        <v>31.447501142052236</v>
      </c>
      <c r="I69" s="68">
        <f t="shared" si="130"/>
        <v>60.423402684993043</v>
      </c>
      <c r="J69" s="68">
        <f t="shared" si="131"/>
        <v>91.870903827045282</v>
      </c>
      <c r="L69" t="str">
        <f t="shared" si="132"/>
        <v>91 Elementary trades and related occupations</v>
      </c>
      <c r="M69" s="17">
        <f t="shared" si="150"/>
        <v>0.31959961449681445</v>
      </c>
      <c r="N69" s="17">
        <f t="shared" si="150"/>
        <v>0.28322560262683216</v>
      </c>
      <c r="O69" s="17">
        <f t="shared" si="150"/>
        <v>0.26000909585264342</v>
      </c>
      <c r="P69" s="17">
        <f t="shared" si="150"/>
        <v>0.24665455823417951</v>
      </c>
      <c r="Q69" s="17">
        <f t="shared" si="150"/>
        <v>0.26668763921107569</v>
      </c>
      <c r="S69" s="67">
        <f t="shared" si="98"/>
        <v>63.737027663376558</v>
      </c>
      <c r="T69" s="68">
        <f t="shared" si="99"/>
        <v>63.429636986026885</v>
      </c>
      <c r="U69" s="68">
        <f t="shared" si="100"/>
        <v>127.16666464940344</v>
      </c>
      <c r="W69" t="str">
        <f t="shared" si="133"/>
        <v>91 Elementary trades and related occupations</v>
      </c>
      <c r="X69" s="17">
        <f t="shared" si="151"/>
        <v>0.50013561124531758</v>
      </c>
      <c r="Y69" s="17">
        <f t="shared" si="151"/>
        <v>0.48778035073517317</v>
      </c>
      <c r="Z69" s="17">
        <f t="shared" si="151"/>
        <v>0.45741482958011354</v>
      </c>
      <c r="AA69" s="17">
        <f t="shared" si="151"/>
        <v>0.40869725680240576</v>
      </c>
      <c r="AB69" s="17">
        <f t="shared" si="151"/>
        <v>0.41606127617220379</v>
      </c>
      <c r="AD69" s="67">
        <f t="shared" si="102"/>
        <v>20.790456864803193</v>
      </c>
      <c r="AE69" s="68">
        <f t="shared" si="103"/>
        <v>64.438543887522258</v>
      </c>
      <c r="AF69" s="68">
        <f t="shared" si="104"/>
        <v>85.229000752325447</v>
      </c>
      <c r="AH69" t="str">
        <f t="shared" si="134"/>
        <v>91 Elementary trades and related occupations</v>
      </c>
      <c r="AI69" s="17">
        <f t="shared" si="152"/>
        <v>1.1310629238643899</v>
      </c>
      <c r="AJ69" s="17">
        <f t="shared" si="152"/>
        <v>1.2399439271173374</v>
      </c>
      <c r="AK69" s="17">
        <f t="shared" si="152"/>
        <v>1.1898726191300222</v>
      </c>
      <c r="AL69" s="17">
        <f t="shared" si="152"/>
        <v>1.0947106389130994</v>
      </c>
      <c r="AM69" s="17">
        <f t="shared" si="152"/>
        <v>1.2109843309626283</v>
      </c>
      <c r="AO69" s="67">
        <f t="shared" si="106"/>
        <v>21.158065027857045</v>
      </c>
      <c r="AP69" s="68">
        <f t="shared" si="107"/>
        <v>63.757091638593678</v>
      </c>
      <c r="AQ69" s="68">
        <f t="shared" si="108"/>
        <v>84.915156666450713</v>
      </c>
      <c r="AS69" t="str">
        <f t="shared" si="135"/>
        <v>91 Elementary trades and related occupations</v>
      </c>
      <c r="AT69" s="17">
        <f t="shared" si="153"/>
        <v>1.2307909478775141</v>
      </c>
      <c r="AU69" s="17">
        <f t="shared" si="153"/>
        <v>1.1864352188841778</v>
      </c>
      <c r="AV69" s="17">
        <f t="shared" si="153"/>
        <v>1.2429033571603569</v>
      </c>
      <c r="AW69" s="17">
        <f t="shared" si="153"/>
        <v>1.1403366769926895</v>
      </c>
      <c r="AX69" s="17">
        <f t="shared" si="153"/>
        <v>1.1499100067428851</v>
      </c>
      <c r="AZ69" s="67">
        <f t="shared" si="110"/>
        <v>16.221744258715383</v>
      </c>
      <c r="BA69" s="68">
        <f t="shared" si="111"/>
        <v>56.11166161090182</v>
      </c>
      <c r="BB69" s="68">
        <f t="shared" si="112"/>
        <v>72.333405869617195</v>
      </c>
      <c r="BD69" t="str">
        <f t="shared" si="136"/>
        <v>91 Elementary trades and related occupations</v>
      </c>
      <c r="BE69" s="17">
        <f t="shared" si="154"/>
        <v>1.5746147182251578</v>
      </c>
      <c r="BF69" s="17">
        <f t="shared" si="154"/>
        <v>1.3766165480521773</v>
      </c>
      <c r="BG69" s="17">
        <f t="shared" si="154"/>
        <v>1.2685404393625108</v>
      </c>
      <c r="BH69" s="17">
        <f t="shared" si="154"/>
        <v>1.1457796806112419</v>
      </c>
      <c r="BI69" s="17">
        <f t="shared" si="154"/>
        <v>1.2539498013107353</v>
      </c>
      <c r="BK69" s="67">
        <f t="shared" si="114"/>
        <v>5.4560574161433326</v>
      </c>
      <c r="BL69" s="68">
        <f t="shared" si="115"/>
        <v>35.001677728161596</v>
      </c>
      <c r="BM69" s="68">
        <f t="shared" si="116"/>
        <v>40.457735144304927</v>
      </c>
      <c r="BO69" t="str">
        <f t="shared" si="137"/>
        <v>91 Elementary trades and related occupations</v>
      </c>
      <c r="BP69" s="17">
        <f t="shared" si="155"/>
        <v>2.6617215150231486</v>
      </c>
      <c r="BQ69" s="17">
        <f t="shared" si="155"/>
        <v>2.3136072210548138</v>
      </c>
      <c r="BR69" s="17">
        <f t="shared" si="155"/>
        <v>2.181842624311217</v>
      </c>
      <c r="BS69" s="17">
        <f t="shared" si="155"/>
        <v>1.8579116056668903</v>
      </c>
      <c r="BT69" s="17">
        <f t="shared" si="155"/>
        <v>1.9612644921254765</v>
      </c>
      <c r="BV69" s="67">
        <f t="shared" si="118"/>
        <v>-30.43856209779673</v>
      </c>
      <c r="BW69" s="68">
        <f t="shared" si="119"/>
        <v>29.380101391419679</v>
      </c>
      <c r="BX69" s="68">
        <f t="shared" si="120"/>
        <v>-1.0584607063770508</v>
      </c>
      <c r="BZ69" t="str">
        <f t="shared" si="138"/>
        <v>91 Elementary trades and related occupations</v>
      </c>
      <c r="CA69" s="17">
        <f t="shared" si="156"/>
        <v>5.0261057661038837</v>
      </c>
      <c r="CB69" s="17">
        <f t="shared" si="156"/>
        <v>4.9876367016095289</v>
      </c>
      <c r="CC69" s="17">
        <f t="shared" si="156"/>
        <v>4.7430200256540385</v>
      </c>
      <c r="CD69" s="17">
        <f t="shared" si="156"/>
        <v>4.0622914008203299</v>
      </c>
      <c r="CE69" s="17">
        <f t="shared" si="156"/>
        <v>5.0097077043183367</v>
      </c>
      <c r="CG69" s="67">
        <f t="shared" si="122"/>
        <v>-41.19105049781259</v>
      </c>
      <c r="CH69" s="68">
        <f t="shared" si="123"/>
        <v>29.422246479147812</v>
      </c>
      <c r="CI69" s="68">
        <f t="shared" si="124"/>
        <v>-11.768804018664783</v>
      </c>
      <c r="CK69" t="str">
        <f t="shared" si="139"/>
        <v>91 Elementary trades and related occupations</v>
      </c>
      <c r="CL69" s="17">
        <f t="shared" si="157"/>
        <v>6.6115130825120012</v>
      </c>
      <c r="CM69" s="17">
        <f t="shared" si="157"/>
        <v>6.5147478323112447</v>
      </c>
      <c r="CN69" s="17">
        <f t="shared" si="157"/>
        <v>6.5636781053727926</v>
      </c>
      <c r="CO69" s="17">
        <f t="shared" si="157"/>
        <v>6.4075954205554702</v>
      </c>
      <c r="CP69" s="17">
        <f t="shared" si="157"/>
        <v>6.7090848717598792</v>
      </c>
      <c r="CR69" s="67">
        <f t="shared" si="126"/>
        <v>-30.871790298112785</v>
      </c>
      <c r="CS69" s="68">
        <f t="shared" si="127"/>
        <v>25.9118566559894</v>
      </c>
      <c r="CT69" s="68">
        <f t="shared" si="128"/>
        <v>-4.9599336421233815</v>
      </c>
    </row>
    <row r="70" spans="1:98" x14ac:dyDescent="0.2">
      <c r="A70" t="str">
        <f t="shared" si="95"/>
        <v>92 Elementary administration and service occupations</v>
      </c>
      <c r="B70" s="17">
        <f t="shared" si="149"/>
        <v>0.56822666597134086</v>
      </c>
      <c r="C70" s="17">
        <f t="shared" si="149"/>
        <v>0.52031562452442393</v>
      </c>
      <c r="D70" s="17">
        <f t="shared" si="149"/>
        <v>0.47304568427515092</v>
      </c>
      <c r="E70" s="17">
        <f t="shared" si="149"/>
        <v>0.54050826769786309</v>
      </c>
      <c r="F70" s="17">
        <f t="shared" si="149"/>
        <v>0.62043264706929224</v>
      </c>
      <c r="H70" s="67">
        <f t="shared" si="129"/>
        <v>107.02865089517775</v>
      </c>
      <c r="I70" s="68">
        <f t="shared" si="130"/>
        <v>80.040931431356483</v>
      </c>
      <c r="J70" s="68">
        <f t="shared" si="131"/>
        <v>187.0695823265342</v>
      </c>
      <c r="L70" t="str">
        <f t="shared" ref="L70" si="158">A70</f>
        <v>92 Elementary administration and service occupations</v>
      </c>
      <c r="M70" s="17">
        <f t="shared" si="150"/>
        <v>1.9218527972200823</v>
      </c>
      <c r="N70" s="17">
        <f t="shared" si="150"/>
        <v>1.7723497688440659</v>
      </c>
      <c r="O70" s="17">
        <f t="shared" si="150"/>
        <v>1.6381648387487187</v>
      </c>
      <c r="P70" s="17">
        <f t="shared" si="150"/>
        <v>1.8660451568266672</v>
      </c>
      <c r="Q70" s="17">
        <f t="shared" si="150"/>
        <v>2.1784288573410535</v>
      </c>
      <c r="S70" s="67">
        <f t="shared" si="98"/>
        <v>112.28452571879552</v>
      </c>
      <c r="T70" s="68">
        <f t="shared" si="99"/>
        <v>80.727087067748855</v>
      </c>
      <c r="U70" s="68">
        <f t="shared" si="100"/>
        <v>193.01161278654439</v>
      </c>
      <c r="W70" t="str">
        <f t="shared" ref="W70" si="159">A70</f>
        <v>92 Elementary administration and service occupations</v>
      </c>
      <c r="X70" s="17">
        <f t="shared" si="151"/>
        <v>3.4473374665393499</v>
      </c>
      <c r="Y70" s="17">
        <f t="shared" si="151"/>
        <v>3.5409383257795879</v>
      </c>
      <c r="Z70" s="17">
        <f t="shared" si="151"/>
        <v>3.2942134209062974</v>
      </c>
      <c r="AA70" s="17">
        <f t="shared" si="151"/>
        <v>3.6358256371472311</v>
      </c>
      <c r="AB70" s="17">
        <f t="shared" si="151"/>
        <v>4.0645489941358264</v>
      </c>
      <c r="AD70" s="67">
        <f t="shared" si="102"/>
        <v>63.849906643531376</v>
      </c>
      <c r="AE70" s="68">
        <f t="shared" si="103"/>
        <v>81.765257722238559</v>
      </c>
      <c r="AF70" s="68">
        <f t="shared" si="104"/>
        <v>145.61516436576994</v>
      </c>
      <c r="AH70" t="str">
        <f t="shared" ref="AH70" si="160">L70</f>
        <v>92 Elementary administration and service occupations</v>
      </c>
      <c r="AI70" s="17">
        <f t="shared" si="152"/>
        <v>5.1455557738989706</v>
      </c>
      <c r="AJ70" s="17">
        <f t="shared" si="152"/>
        <v>5.7065637303058265</v>
      </c>
      <c r="AK70" s="17">
        <f t="shared" si="152"/>
        <v>5.6420066127066679</v>
      </c>
      <c r="AL70" s="17">
        <f t="shared" si="152"/>
        <v>6.5728550262503056</v>
      </c>
      <c r="AM70" s="17">
        <f t="shared" si="152"/>
        <v>7.8313087237767851</v>
      </c>
      <c r="AO70" s="67">
        <f t="shared" si="106"/>
        <v>65.239940488865557</v>
      </c>
      <c r="AP70" s="68">
        <f t="shared" si="107"/>
        <v>77.702550603731751</v>
      </c>
      <c r="AQ70" s="68">
        <f t="shared" si="108"/>
        <v>142.94249109259732</v>
      </c>
      <c r="AS70" t="str">
        <f t="shared" ref="AS70" si="161">W70</f>
        <v>92 Elementary administration and service occupations</v>
      </c>
      <c r="AT70" s="17">
        <f t="shared" si="153"/>
        <v>4.850456018822813</v>
      </c>
      <c r="AU70" s="17">
        <f t="shared" si="153"/>
        <v>5.0907136023888393</v>
      </c>
      <c r="AV70" s="17">
        <f t="shared" si="153"/>
        <v>4.8092915095581485</v>
      </c>
      <c r="AW70" s="17">
        <f t="shared" si="153"/>
        <v>5.2580799184223865</v>
      </c>
      <c r="AX70" s="17">
        <f t="shared" si="153"/>
        <v>5.8862119638597079</v>
      </c>
      <c r="AZ70" s="67">
        <f t="shared" si="110"/>
        <v>53.750200852888831</v>
      </c>
      <c r="BA70" s="68">
        <f t="shared" si="111"/>
        <v>73.995186088904731</v>
      </c>
      <c r="BB70" s="68">
        <f t="shared" si="112"/>
        <v>127.74538694179356</v>
      </c>
      <c r="BD70" t="str">
        <f t="shared" ref="BD70" si="162">AH70</f>
        <v>92 Elementary administration and service occupations</v>
      </c>
      <c r="BE70" s="17">
        <f t="shared" si="154"/>
        <v>8.0798451350551215</v>
      </c>
      <c r="BF70" s="17">
        <f t="shared" si="154"/>
        <v>7.4800612348419904</v>
      </c>
      <c r="BG70" s="17">
        <f t="shared" si="154"/>
        <v>7.1785182587866121</v>
      </c>
      <c r="BH70" s="17">
        <f t="shared" si="154"/>
        <v>7.0392441464104225</v>
      </c>
      <c r="BI70" s="17">
        <f t="shared" si="154"/>
        <v>6.9726891131791273</v>
      </c>
      <c r="BK70" s="67">
        <f t="shared" si="114"/>
        <v>3.6241995753286895</v>
      </c>
      <c r="BL70" s="68">
        <f t="shared" si="115"/>
        <v>46.887366215567397</v>
      </c>
      <c r="BM70" s="68">
        <f t="shared" si="116"/>
        <v>50.511565790896086</v>
      </c>
      <c r="BO70" t="str">
        <f t="shared" ref="BO70" si="163">AS70</f>
        <v>92 Elementary administration and service occupations</v>
      </c>
      <c r="BP70" s="17">
        <f t="shared" si="155"/>
        <v>13.291365381288522</v>
      </c>
      <c r="BQ70" s="17">
        <f t="shared" si="155"/>
        <v>13.228848580559996</v>
      </c>
      <c r="BR70" s="17">
        <f t="shared" si="155"/>
        <v>12.583968777853663</v>
      </c>
      <c r="BS70" s="17">
        <f t="shared" si="155"/>
        <v>13.315930382118408</v>
      </c>
      <c r="BT70" s="17">
        <f t="shared" si="155"/>
        <v>14.298759572256623</v>
      </c>
      <c r="BV70" s="67">
        <f t="shared" si="118"/>
        <v>-12.070108245653087</v>
      </c>
      <c r="BW70" s="68">
        <f t="shared" si="119"/>
        <v>45.431430420144871</v>
      </c>
      <c r="BX70" s="68">
        <f t="shared" si="120"/>
        <v>33.361322174491782</v>
      </c>
      <c r="BZ70" t="str">
        <f t="shared" ref="BZ70" si="164">BD70</f>
        <v>92 Elementary administration and service occupations</v>
      </c>
      <c r="CA70" s="17">
        <f t="shared" si="156"/>
        <v>18.503036392767676</v>
      </c>
      <c r="CB70" s="17">
        <f t="shared" si="156"/>
        <v>18.174387080360507</v>
      </c>
      <c r="CC70" s="17">
        <f t="shared" si="156"/>
        <v>17.665607430195415</v>
      </c>
      <c r="CD70" s="17">
        <f t="shared" si="156"/>
        <v>19.262676678086173</v>
      </c>
      <c r="CE70" s="17">
        <f t="shared" si="156"/>
        <v>20.157893359082372</v>
      </c>
      <c r="CG70" s="67">
        <f t="shared" si="122"/>
        <v>-36.466532189186516</v>
      </c>
      <c r="CH70" s="68">
        <f t="shared" si="123"/>
        <v>33.907496123515209</v>
      </c>
      <c r="CI70" s="68">
        <f t="shared" si="124"/>
        <v>-2.5590360656713154</v>
      </c>
      <c r="CK70" t="str">
        <f t="shared" ref="CK70" si="165">BO70</f>
        <v>92 Elementary administration and service occupations</v>
      </c>
      <c r="CL70" s="17">
        <f t="shared" si="157"/>
        <v>24.152552637275885</v>
      </c>
      <c r="CM70" s="17">
        <f t="shared" si="157"/>
        <v>19.980805726986826</v>
      </c>
      <c r="CN70" s="17">
        <f t="shared" si="157"/>
        <v>17.729511307482117</v>
      </c>
      <c r="CO70" s="17">
        <f t="shared" si="157"/>
        <v>14.242416553008313</v>
      </c>
      <c r="CP70" s="17">
        <f t="shared" si="157"/>
        <v>11.811635246216989</v>
      </c>
      <c r="CR70" s="67">
        <f t="shared" si="126"/>
        <v>-54.944007568797815</v>
      </c>
      <c r="CS70" s="68">
        <f t="shared" si="127"/>
        <v>19.191854482240863</v>
      </c>
      <c r="CT70" s="68">
        <f t="shared" si="128"/>
        <v>-35.752153086556945</v>
      </c>
    </row>
    <row r="71" spans="1:98" x14ac:dyDescent="0.2">
      <c r="B71" s="17"/>
      <c r="C71" s="17"/>
      <c r="D71" s="17"/>
      <c r="E71" s="17"/>
      <c r="F71" s="17"/>
      <c r="H71" s="67"/>
      <c r="I71" s="68"/>
      <c r="J71" s="68"/>
      <c r="M71" s="17"/>
      <c r="N71" s="17"/>
      <c r="O71" s="17"/>
      <c r="P71" s="17"/>
      <c r="Q71" s="17"/>
      <c r="S71" s="67"/>
      <c r="T71" s="68"/>
      <c r="U71" s="68"/>
      <c r="X71" s="17"/>
      <c r="Y71" s="17"/>
      <c r="Z71" s="17"/>
      <c r="AA71" s="17"/>
      <c r="AB71" s="17"/>
      <c r="AD71" s="67"/>
      <c r="AE71" s="68"/>
      <c r="AF71" s="68"/>
      <c r="AI71" s="17"/>
      <c r="AJ71" s="17"/>
      <c r="AK71" s="17"/>
      <c r="AL71" s="17"/>
      <c r="AM71" s="17"/>
      <c r="AO71" s="67"/>
      <c r="AP71" s="68"/>
      <c r="AQ71" s="68"/>
      <c r="AT71" s="17"/>
      <c r="AU71" s="17"/>
      <c r="AV71" s="17"/>
      <c r="AW71" s="17"/>
      <c r="AX71" s="17"/>
      <c r="AZ71" s="67"/>
      <c r="BA71" s="68"/>
      <c r="BB71" s="68"/>
      <c r="BE71" s="17"/>
      <c r="BF71" s="17"/>
      <c r="BG71" s="17"/>
      <c r="BH71" s="17"/>
      <c r="BI71" s="17"/>
      <c r="BK71" s="67"/>
      <c r="BL71" s="68"/>
      <c r="BM71" s="68"/>
      <c r="BP71" s="17"/>
      <c r="BQ71" s="17"/>
      <c r="BR71" s="17"/>
      <c r="BS71" s="17"/>
      <c r="BT71" s="17"/>
      <c r="BV71" s="67"/>
      <c r="BW71" s="68"/>
      <c r="BX71" s="68"/>
      <c r="CA71" s="17"/>
      <c r="CB71" s="17"/>
      <c r="CC71" s="17"/>
      <c r="CD71" s="17"/>
      <c r="CE71" s="17"/>
      <c r="CG71" s="67"/>
      <c r="CH71" s="68"/>
      <c r="CI71" s="68"/>
      <c r="CL71" s="17"/>
      <c r="CM71" s="17"/>
      <c r="CN71" s="17"/>
      <c r="CO71" s="17"/>
      <c r="CP71" s="17"/>
      <c r="CR71" s="67"/>
      <c r="CS71" s="68"/>
      <c r="CT71" s="68"/>
    </row>
    <row r="72" spans="1:98" x14ac:dyDescent="0.2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57.847931261961882</v>
      </c>
      <c r="I72" s="66">
        <f>IF(D35&gt;0,I35/D35*100,0)</f>
        <v>59.20868148006592</v>
      </c>
      <c r="J72" s="66">
        <f>IF(D35&gt;0,(J35/D35)*100,0)</f>
        <v>117.0566127420278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166">IF(O35&gt;0,(S35/O35)*100,0)</f>
        <v>59.636632002499326</v>
      </c>
      <c r="T72" s="66">
        <f t="shared" ref="T72" si="167">IF(O35&gt;0,T35/O35*100,0)</f>
        <v>61.617747106871221</v>
      </c>
      <c r="U72" s="66">
        <f t="shared" ref="U72" si="168">IF(O35&gt;0,(U35/O35)*100,0)</f>
        <v>121.25437910937053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169">IF(Z35&gt;0,(AD35/Z35)*100,0)</f>
        <v>32.796175481733606</v>
      </c>
      <c r="AE72" s="66">
        <f t="shared" ref="AE72" si="170">IF(Z35&gt;0,AE35/Z35*100,0)</f>
        <v>64.098560052382425</v>
      </c>
      <c r="AF72" s="66">
        <f t="shared" ref="AF72" si="171">IF(Z35&gt;0,(AF35/Z35)*100,0)</f>
        <v>96.894735534116023</v>
      </c>
      <c r="AH72" s="23" t="str">
        <f>AH35</f>
        <v>All occupations</v>
      </c>
      <c r="AI72" s="25">
        <f>AI35/AI$35*100</f>
        <v>100</v>
      </c>
      <c r="AJ72" s="25">
        <f>AJ35/AJ$35*100</f>
        <v>100</v>
      </c>
      <c r="AK72" s="25">
        <f>AK35/AK$35*100</f>
        <v>100</v>
      </c>
      <c r="AL72" s="25">
        <f>AL35/AL$35*100</f>
        <v>100</v>
      </c>
      <c r="AM72" s="25">
        <f>AM35/AM$35*100</f>
        <v>100</v>
      </c>
      <c r="AO72" s="69">
        <f t="shared" ref="AO72" si="172">IF(AK35&gt;0,(AO35/AK35)*100,0)</f>
        <v>19.04585425050454</v>
      </c>
      <c r="AP72" s="66">
        <f t="shared" ref="AP72" si="173">IF(AK35&gt;0,AP35/AK35*100,0)</f>
        <v>58.141749573406706</v>
      </c>
      <c r="AQ72" s="66">
        <f t="shared" ref="AQ72" si="174">IF(AK35&gt;0,(AQ35/AK35)*100,0)</f>
        <v>77.187603823911246</v>
      </c>
      <c r="AS72" s="23" t="str">
        <f>AS35</f>
        <v>All occupations</v>
      </c>
      <c r="AT72" s="25">
        <f>AT35/AT$35*100</f>
        <v>100</v>
      </c>
      <c r="AU72" s="25">
        <f>AU35/AU$35*100</f>
        <v>100</v>
      </c>
      <c r="AV72" s="25">
        <f>AV35/AV$35*100</f>
        <v>100</v>
      </c>
      <c r="AW72" s="25">
        <f>AW35/AW$35*100</f>
        <v>100</v>
      </c>
      <c r="AX72" s="25">
        <f>AX35/AX$35*100</f>
        <v>100</v>
      </c>
      <c r="AZ72" s="69">
        <f t="shared" ref="AZ72" si="175">IF(AV35&gt;0,(AZ35/AV35)*100,0)</f>
        <v>25.620609671317261</v>
      </c>
      <c r="BA72" s="66">
        <f t="shared" ref="BA72" si="176">IF(AV35&gt;0,BA35/AV35*100,0)</f>
        <v>57.903526210227909</v>
      </c>
      <c r="BB72" s="66">
        <f t="shared" ref="BB72" si="177">IF(AV35&gt;0,(BB35/AV35)*100,0)</f>
        <v>83.524135881545163</v>
      </c>
      <c r="BD72" s="23" t="str">
        <f>BD35</f>
        <v>All occupations</v>
      </c>
      <c r="BE72" s="25">
        <f>BE35/BE$35*100</f>
        <v>100</v>
      </c>
      <c r="BF72" s="25">
        <f>BF35/BF$35*100</f>
        <v>100</v>
      </c>
      <c r="BG72" s="25">
        <f>BG35/BG$35*100</f>
        <v>100</v>
      </c>
      <c r="BH72" s="25">
        <f>BH35/BH$35*100</f>
        <v>100</v>
      </c>
      <c r="BI72" s="25">
        <f>BI35/BI$35*100</f>
        <v>100</v>
      </c>
      <c r="BK72" s="69">
        <f t="shared" ref="BK72" si="178">IF(BG35&gt;0,(BK35/BG35)*100,0)</f>
        <v>6.6831170340944173</v>
      </c>
      <c r="BL72" s="66">
        <f t="shared" ref="BL72" si="179">IF(BG35&gt;0,BL35/BG35*100,0)</f>
        <v>46.355480252774463</v>
      </c>
      <c r="BM72" s="66">
        <f t="shared" ref="BM72" si="180">IF(BG35&gt;0,(BM35/BG35)*100,0)</f>
        <v>53.038597286868871</v>
      </c>
      <c r="BO72" s="23" t="str">
        <f>BO35</f>
        <v>All occupations</v>
      </c>
      <c r="BP72" s="25">
        <f>BP35/BP$35*100</f>
        <v>100</v>
      </c>
      <c r="BQ72" s="25">
        <f>BQ35/BQ$35*100</f>
        <v>100</v>
      </c>
      <c r="BR72" s="25">
        <f>BR35/BR$35*100</f>
        <v>100</v>
      </c>
      <c r="BS72" s="25">
        <f>BS35/BS$35*100</f>
        <v>100</v>
      </c>
      <c r="BT72" s="25">
        <f>BT35/BT$35*100</f>
        <v>100</v>
      </c>
      <c r="BV72" s="69">
        <f t="shared" ref="BV72" si="181">IF(BR35&gt;0,(BV35/BR35)*100,0)</f>
        <v>-22.61517463209395</v>
      </c>
      <c r="BW72" s="66">
        <f t="shared" ref="BW72" si="182">IF(BR35&gt;0,BW35/BR35*100,0)</f>
        <v>40.90034011399046</v>
      </c>
      <c r="BX72" s="66">
        <f t="shared" ref="BX72" si="183">IF(BR35&gt;0,(BX35/BR35)*100,0)</f>
        <v>18.285165481896506</v>
      </c>
      <c r="BZ72" s="23" t="str">
        <f>BZ35</f>
        <v>All occupations</v>
      </c>
      <c r="CA72" s="25">
        <f>CA35/CA$35*100</f>
        <v>100</v>
      </c>
      <c r="CB72" s="25">
        <f>CB35/CB$35*100</f>
        <v>100</v>
      </c>
      <c r="CC72" s="25">
        <f>CC35/CC$35*100</f>
        <v>100</v>
      </c>
      <c r="CD72" s="25">
        <f>CD35/CD$35*100</f>
        <v>100</v>
      </c>
      <c r="CE72" s="25">
        <f>CE35/CE$35*100</f>
        <v>100</v>
      </c>
      <c r="CG72" s="69">
        <f t="shared" ref="CG72" si="184">IF(CC35&gt;0,(CG35/CC35)*100,0)</f>
        <v>-44.321696665832562</v>
      </c>
      <c r="CH72" s="66">
        <f t="shared" ref="CH72" si="185">IF(CC35&gt;0,CH35/CC35*100,0)</f>
        <v>31.321277764340742</v>
      </c>
      <c r="CI72" s="66">
        <f t="shared" ref="CI72" si="186">IF(CC35&gt;0,(CI35/CC35)*100,0)</f>
        <v>-13.000418901491816</v>
      </c>
      <c r="CK72" s="23" t="str">
        <f>CK35</f>
        <v>All occupations</v>
      </c>
      <c r="CL72" s="25">
        <f>CL35/CL$35*100</f>
        <v>100</v>
      </c>
      <c r="CM72" s="25">
        <f>CM35/CM$35*100</f>
        <v>100</v>
      </c>
      <c r="CN72" s="25">
        <f>CN35/CN$35*100</f>
        <v>100</v>
      </c>
      <c r="CO72" s="25">
        <f>CO35/CO$35*100</f>
        <v>100</v>
      </c>
      <c r="CP72" s="25">
        <f>CP35/CP$35*100</f>
        <v>100</v>
      </c>
      <c r="CR72" s="69">
        <f t="shared" ref="CR72" si="187">IF(CN35&gt;0,(CR35/CN35)*100,0)</f>
        <v>-32.370013920411836</v>
      </c>
      <c r="CS72" s="66">
        <f t="shared" ref="CS72" si="188">IF(CN35&gt;0,CS35/CN35*100,0)</f>
        <v>28.572855887481737</v>
      </c>
      <c r="CT72" s="66">
        <f t="shared" ref="CT72" si="189">IF(CN35&gt;0,(CT35/CN35)*100,0)</f>
        <v>-3.7971580329300965</v>
      </c>
    </row>
    <row r="75" spans="1:98" ht="51" customHeight="1" x14ac:dyDescent="0.2">
      <c r="A75" s="378" t="str">
        <f>CONCATENATE(A$1," (Continued)")</f>
        <v>Basic Table 2  Employment Change by Occupation and Replacement Demand, RQF8 Doctorate, 2015-2035, East Midlands (Continued)</v>
      </c>
      <c r="B75" s="378"/>
      <c r="C75" s="378"/>
      <c r="D75" s="378"/>
      <c r="E75" s="378"/>
      <c r="F75" s="378"/>
      <c r="G75" s="378"/>
      <c r="H75" s="378"/>
      <c r="I75" s="378"/>
      <c r="J75" s="378"/>
      <c r="L75" s="378" t="str">
        <f>CONCATENATE(L$1," (Continued)")</f>
        <v>Basic Table 2.1  Employment Change by Occupation and Replacement Demand, RQF7 Other higher degree, 2015-2035, East Midlands (Continued)</v>
      </c>
      <c r="M75" s="378"/>
      <c r="N75" s="378"/>
      <c r="O75" s="378"/>
      <c r="P75" s="378"/>
      <c r="Q75" s="378"/>
      <c r="R75" s="378"/>
      <c r="S75" s="378"/>
      <c r="T75" s="378"/>
      <c r="U75" s="378"/>
      <c r="W75" s="378" t="str">
        <f>CONCATENATE(W$1," (Continued)")</f>
        <v>Basic Table 2.2  Employment Change by Occupation and Replacement Demand, RQF6 First degree, 2015-2035, East Midlands (Continued)</v>
      </c>
      <c r="X75" s="378"/>
      <c r="Y75" s="378"/>
      <c r="Z75" s="378"/>
      <c r="AA75" s="378"/>
      <c r="AB75" s="378"/>
      <c r="AC75" s="378"/>
      <c r="AD75" s="378"/>
      <c r="AE75" s="378"/>
      <c r="AF75" s="378"/>
      <c r="AH75" s="378" t="str">
        <f>CONCATENATE(AH$1," (Continued)")</f>
        <v>Basic Table 2.3  Employment Change by Occupation and Replacement Demand, RQF5 Foundation degree;Nursing;Teaching, 2015-2035, East Midlands (Continued)</v>
      </c>
      <c r="AI75" s="378"/>
      <c r="AJ75" s="378"/>
      <c r="AK75" s="378"/>
      <c r="AL75" s="378"/>
      <c r="AM75" s="378"/>
      <c r="AN75" s="378"/>
      <c r="AO75" s="378"/>
      <c r="AP75" s="378"/>
      <c r="AQ75" s="378"/>
      <c r="AS75" s="378" t="str">
        <f>CONCATENATE(AS$1," (Continued)")</f>
        <v>Basic Table 2.4  Employment Change by Occupation and Replacement Demand, RQF4 HE below degree level, 2015-2035, East Midlands (Continued)</v>
      </c>
      <c r="AT75" s="378"/>
      <c r="AU75" s="378"/>
      <c r="AV75" s="378"/>
      <c r="AW75" s="378"/>
      <c r="AX75" s="378"/>
      <c r="AY75" s="378"/>
      <c r="AZ75" s="378"/>
      <c r="BA75" s="378"/>
      <c r="BB75" s="378"/>
      <c r="BD75" s="378" t="str">
        <f>CONCATENATE(BD$1," (Continued)")</f>
        <v>Basic Table 2.5  Employment Change by Occupation and Replacement Demand, RQF3 A level &amp; equivalent, 2015-2035, East Midlands (Continued)</v>
      </c>
      <c r="BE75" s="378"/>
      <c r="BF75" s="378"/>
      <c r="BG75" s="378"/>
      <c r="BH75" s="378"/>
      <c r="BI75" s="378"/>
      <c r="BJ75" s="378"/>
      <c r="BK75" s="378"/>
      <c r="BL75" s="378"/>
      <c r="BM75" s="378"/>
      <c r="BO75" s="378" t="str">
        <f>CONCATENATE(BO$1," (Continued)")</f>
        <v>Basic Table 2.6  Employment Change by Occupation and Replacement Demand, RQF2 GCSE(A-C) &amp; equivalent, 2015-2035, East Midlands (Continued)</v>
      </c>
      <c r="BP75" s="378"/>
      <c r="BQ75" s="378"/>
      <c r="BR75" s="378"/>
      <c r="BS75" s="378"/>
      <c r="BT75" s="378"/>
      <c r="BU75" s="378"/>
      <c r="BV75" s="378"/>
      <c r="BW75" s="378"/>
      <c r="BX75" s="378"/>
      <c r="BZ75" s="378" t="str">
        <f>CONCATENATE(BZ$1," (Continued)")</f>
        <v>Basic Table 2.7  Employment Change by Occupation and Replacement Demand, RQF1 GCSE(below grade C) &amp; equivalent, 2015-2035, East Midlands (Continued)</v>
      </c>
      <c r="CA75" s="378"/>
      <c r="CB75" s="378"/>
      <c r="CC75" s="378"/>
      <c r="CD75" s="378"/>
      <c r="CE75" s="378"/>
      <c r="CF75" s="378"/>
      <c r="CG75" s="378"/>
      <c r="CH75" s="378"/>
      <c r="CI75" s="378"/>
      <c r="CK75" s="378" t="str">
        <f>CONCATENATE(CK$1," (Continued)")</f>
        <v>Basic Table 2.8  Employment Change by Occupation and Replacement Demand, No Qualification, 2015-2035, East Midlands (Continued)</v>
      </c>
      <c r="CL75" s="378"/>
      <c r="CM75" s="378"/>
      <c r="CN75" s="378"/>
      <c r="CO75" s="378"/>
      <c r="CP75" s="378"/>
      <c r="CQ75" s="378"/>
      <c r="CR75" s="378"/>
      <c r="CS75" s="378"/>
      <c r="CT75" s="378"/>
    </row>
    <row r="77" spans="1:98" x14ac:dyDescent="0.2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  <c r="AM77" s="15" t="s">
        <v>36</v>
      </c>
      <c r="AQ77" s="15" t="s">
        <v>36</v>
      </c>
      <c r="AX77" s="15" t="s">
        <v>36</v>
      </c>
      <c r="BB77" s="15" t="s">
        <v>36</v>
      </c>
      <c r="BI77" s="15" t="s">
        <v>36</v>
      </c>
      <c r="BM77" s="15" t="s">
        <v>36</v>
      </c>
      <c r="BT77" s="15" t="s">
        <v>36</v>
      </c>
      <c r="BX77" s="15" t="s">
        <v>36</v>
      </c>
      <c r="CE77" s="15" t="s">
        <v>36</v>
      </c>
      <c r="CI77" s="15" t="s">
        <v>36</v>
      </c>
      <c r="CP77" s="15" t="s">
        <v>36</v>
      </c>
      <c r="CT77" s="15" t="s">
        <v>36</v>
      </c>
    </row>
    <row r="78" spans="1:98" x14ac:dyDescent="0.2">
      <c r="A78" s="35"/>
      <c r="B78" s="35"/>
      <c r="C78" s="35"/>
      <c r="D78" s="35"/>
      <c r="E78" s="35"/>
      <c r="F78" s="35"/>
      <c r="H78" s="27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27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27" t="str">
        <f>$H$4</f>
        <v>2020-2035</v>
      </c>
      <c r="AE78" s="35"/>
      <c r="AF78" s="35"/>
      <c r="AH78" s="35"/>
      <c r="AI78" s="35"/>
      <c r="AJ78" s="35"/>
      <c r="AK78" s="35"/>
      <c r="AL78" s="35"/>
      <c r="AM78" s="35"/>
      <c r="AO78" s="27" t="str">
        <f>$H$4</f>
        <v>2020-2035</v>
      </c>
      <c r="AP78" s="35"/>
      <c r="AQ78" s="35"/>
      <c r="AS78" s="35"/>
      <c r="AT78" s="35"/>
      <c r="AU78" s="35"/>
      <c r="AV78" s="35"/>
      <c r="AW78" s="35"/>
      <c r="AX78" s="35"/>
      <c r="AZ78" s="27" t="str">
        <f>$H$4</f>
        <v>2020-2035</v>
      </c>
      <c r="BA78" s="35"/>
      <c r="BB78" s="35"/>
      <c r="BD78" s="35"/>
      <c r="BE78" s="35"/>
      <c r="BF78" s="35"/>
      <c r="BG78" s="35"/>
      <c r="BH78" s="35"/>
      <c r="BI78" s="35"/>
      <c r="BK78" s="27" t="str">
        <f>$H$4</f>
        <v>2020-2035</v>
      </c>
      <c r="BL78" s="35"/>
      <c r="BM78" s="35"/>
      <c r="BO78" s="35"/>
      <c r="BP78" s="35"/>
      <c r="BQ78" s="35"/>
      <c r="BR78" s="35"/>
      <c r="BS78" s="35"/>
      <c r="BT78" s="35"/>
      <c r="BV78" s="27" t="str">
        <f>$H$4</f>
        <v>2020-2035</v>
      </c>
      <c r="BW78" s="35"/>
      <c r="BX78" s="35"/>
      <c r="BZ78" s="35"/>
      <c r="CA78" s="35"/>
      <c r="CB78" s="35"/>
      <c r="CC78" s="35"/>
      <c r="CD78" s="35"/>
      <c r="CE78" s="35"/>
      <c r="CG78" s="27" t="str">
        <f>$H$4</f>
        <v>2020-2035</v>
      </c>
      <c r="CH78" s="35"/>
      <c r="CI78" s="35"/>
      <c r="CK78" s="35"/>
      <c r="CL78" s="35"/>
      <c r="CM78" s="35"/>
      <c r="CN78" s="35"/>
      <c r="CO78" s="35"/>
      <c r="CP78" s="35"/>
      <c r="CR78" s="27" t="str">
        <f>$H$4</f>
        <v>2020-2035</v>
      </c>
      <c r="CS78" s="35"/>
      <c r="CT78" s="35"/>
    </row>
    <row r="79" spans="1:98" x14ac:dyDescent="0.2">
      <c r="H79" s="15" t="str">
        <f t="shared" ref="H79:J80" si="190">H42</f>
        <v>Net</v>
      </c>
      <c r="I79" s="15" t="str">
        <f t="shared" si="190"/>
        <v>Replacement</v>
      </c>
      <c r="J79" s="15" t="str">
        <f t="shared" si="190"/>
        <v>Total</v>
      </c>
      <c r="S79" s="15" t="str">
        <f t="shared" ref="S79:U80" si="191">S42</f>
        <v>Net</v>
      </c>
      <c r="T79" s="15" t="str">
        <f t="shared" si="191"/>
        <v>Replacement</v>
      </c>
      <c r="U79" s="15" t="str">
        <f t="shared" si="191"/>
        <v>Total</v>
      </c>
      <c r="AD79" s="15" t="str">
        <f t="shared" ref="AD79:AF80" si="192">AD42</f>
        <v>Net</v>
      </c>
      <c r="AE79" s="15" t="str">
        <f t="shared" si="192"/>
        <v>Replacement</v>
      </c>
      <c r="AF79" s="15" t="str">
        <f t="shared" si="192"/>
        <v>Total</v>
      </c>
      <c r="AO79" s="15" t="str">
        <f t="shared" ref="AO79:AQ80" si="193">AO42</f>
        <v>Net</v>
      </c>
      <c r="AP79" s="15" t="str">
        <f t="shared" si="193"/>
        <v>Replacement</v>
      </c>
      <c r="AQ79" s="15" t="str">
        <f t="shared" si="193"/>
        <v>Total</v>
      </c>
      <c r="AZ79" s="15" t="str">
        <f t="shared" ref="AZ79:BB80" si="194">AZ42</f>
        <v>Net</v>
      </c>
      <c r="BA79" s="15" t="str">
        <f t="shared" si="194"/>
        <v>Replacement</v>
      </c>
      <c r="BB79" s="15" t="str">
        <f t="shared" si="194"/>
        <v>Total</v>
      </c>
      <c r="BK79" s="15" t="str">
        <f t="shared" ref="BK79:BM80" si="195">BK42</f>
        <v>Net</v>
      </c>
      <c r="BL79" s="15" t="str">
        <f t="shared" si="195"/>
        <v>Replacement</v>
      </c>
      <c r="BM79" s="15" t="str">
        <f t="shared" si="195"/>
        <v>Total</v>
      </c>
      <c r="BV79" s="15" t="str">
        <f t="shared" ref="BV79:BX80" si="196">BV42</f>
        <v>Net</v>
      </c>
      <c r="BW79" s="15" t="str">
        <f t="shared" si="196"/>
        <v>Replacement</v>
      </c>
      <c r="BX79" s="15" t="str">
        <f t="shared" si="196"/>
        <v>Total</v>
      </c>
      <c r="CG79" s="15" t="str">
        <f t="shared" ref="CG79:CI80" si="197">CG42</f>
        <v>Net</v>
      </c>
      <c r="CH79" s="15" t="str">
        <f t="shared" si="197"/>
        <v>Replacement</v>
      </c>
      <c r="CI79" s="15" t="str">
        <f t="shared" si="197"/>
        <v>Total</v>
      </c>
      <c r="CR79" s="15" t="str">
        <f t="shared" ref="CR79:CT80" si="198">CR42</f>
        <v>Net</v>
      </c>
      <c r="CS79" s="15" t="str">
        <f t="shared" si="198"/>
        <v>Replacement</v>
      </c>
      <c r="CT79" s="15" t="str">
        <f t="shared" si="198"/>
        <v>Total</v>
      </c>
    </row>
    <row r="80" spans="1:98" x14ac:dyDescent="0.2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CONCATENATE(C$6,"-",F$6)</f>
        <v>2019-2035</v>
      </c>
      <c r="H80" s="62" t="str">
        <f t="shared" si="190"/>
        <v>Change</v>
      </c>
      <c r="I80" s="62" t="str">
        <f t="shared" si="190"/>
        <v>Demand</v>
      </c>
      <c r="J80" s="62" t="str">
        <f t="shared" si="1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CONCATENATE(N$6,"-",Q$6)</f>
        <v>2019-2035</v>
      </c>
      <c r="S80" s="62" t="str">
        <f t="shared" si="191"/>
        <v>Change</v>
      </c>
      <c r="T80" s="62" t="str">
        <f t="shared" si="191"/>
        <v>Demand</v>
      </c>
      <c r="U80" s="62" t="str">
        <f t="shared" si="191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CONCATENATE(Y$6,"-",AB$6)</f>
        <v>2019-2035</v>
      </c>
      <c r="AD80" s="62" t="str">
        <f t="shared" si="192"/>
        <v>Change</v>
      </c>
      <c r="AE80" s="62" t="str">
        <f t="shared" si="192"/>
        <v>Demand</v>
      </c>
      <c r="AF80" s="62" t="str">
        <f t="shared" si="192"/>
        <v>Requirement</v>
      </c>
      <c r="AH80" s="40" t="s">
        <v>14</v>
      </c>
      <c r="AI80" s="63" t="str">
        <f>CONCATENATE(AI$6,"-",AJ$6)</f>
        <v>2015-2019</v>
      </c>
      <c r="AJ80" s="63" t="str">
        <f>CONCATENATE(AJ$6,"-",AK$6)</f>
        <v>2019-2020</v>
      </c>
      <c r="AK80" s="63" t="str">
        <f>CONCATENATE(AK$6,"-",AL$6)</f>
        <v>2020-2025</v>
      </c>
      <c r="AL80" s="63" t="str">
        <f>CONCATENATE(AL$6,"-",AM$6)</f>
        <v>2025-2035</v>
      </c>
      <c r="AM80" s="63" t="str">
        <f>CONCATENATE(AJ$6,"-",AM$6)</f>
        <v>2019-2035</v>
      </c>
      <c r="AO80" s="62" t="str">
        <f t="shared" si="193"/>
        <v>Change</v>
      </c>
      <c r="AP80" s="62" t="str">
        <f t="shared" si="193"/>
        <v>Demand</v>
      </c>
      <c r="AQ80" s="62" t="str">
        <f t="shared" si="193"/>
        <v>Requirement</v>
      </c>
      <c r="AS80" s="40" t="s">
        <v>14</v>
      </c>
      <c r="AT80" s="63" t="str">
        <f>CONCATENATE(AT$6,"-",AU$6)</f>
        <v>2015-2019</v>
      </c>
      <c r="AU80" s="63" t="str">
        <f>CONCATENATE(AU$6,"-",AV$6)</f>
        <v>2019-2020</v>
      </c>
      <c r="AV80" s="63" t="str">
        <f>CONCATENATE(AV$6,"-",AW$6)</f>
        <v>2020-2025</v>
      </c>
      <c r="AW80" s="63" t="str">
        <f>CONCATENATE(AW$6,"-",AX$6)</f>
        <v>2025-2035</v>
      </c>
      <c r="AX80" s="63" t="str">
        <f>CONCATENATE(AU$6,"-",AX$6)</f>
        <v>2019-2035</v>
      </c>
      <c r="AZ80" s="62" t="str">
        <f t="shared" si="194"/>
        <v>Change</v>
      </c>
      <c r="BA80" s="62" t="str">
        <f t="shared" si="194"/>
        <v>Demand</v>
      </c>
      <c r="BB80" s="62" t="str">
        <f t="shared" si="194"/>
        <v>Requirement</v>
      </c>
      <c r="BD80" s="40" t="s">
        <v>14</v>
      </c>
      <c r="BE80" s="63" t="str">
        <f>CONCATENATE(BE$6,"-",BF$6)</f>
        <v>2015-2019</v>
      </c>
      <c r="BF80" s="63" t="str">
        <f>CONCATENATE(BF$6,"-",BG$6)</f>
        <v>2019-2020</v>
      </c>
      <c r="BG80" s="63" t="str">
        <f>CONCATENATE(BG$6,"-",BH$6)</f>
        <v>2020-2025</v>
      </c>
      <c r="BH80" s="63" t="str">
        <f>CONCATENATE(BH$6,"-",BI$6)</f>
        <v>2025-2035</v>
      </c>
      <c r="BI80" s="63" t="str">
        <f>CONCATENATE(BF$6,"-",BI$6)</f>
        <v>2019-2035</v>
      </c>
      <c r="BK80" s="62" t="str">
        <f t="shared" si="195"/>
        <v>Change</v>
      </c>
      <c r="BL80" s="62" t="str">
        <f t="shared" si="195"/>
        <v>Demand</v>
      </c>
      <c r="BM80" s="62" t="str">
        <f t="shared" si="195"/>
        <v>Requirement</v>
      </c>
      <c r="BO80" s="40" t="s">
        <v>14</v>
      </c>
      <c r="BP80" s="63" t="str">
        <f>CONCATENATE(BP$6,"-",BQ$6)</f>
        <v>2015-2019</v>
      </c>
      <c r="BQ80" s="63" t="str">
        <f>CONCATENATE(BQ$6,"-",BR$6)</f>
        <v>2019-2020</v>
      </c>
      <c r="BR80" s="63" t="str">
        <f>CONCATENATE(BR$6,"-",BS$6)</f>
        <v>2020-2025</v>
      </c>
      <c r="BS80" s="63" t="str">
        <f>CONCATENATE(BS$6,"-",BT$6)</f>
        <v>2025-2035</v>
      </c>
      <c r="BT80" s="63" t="str">
        <f>CONCATENATE(BQ$6,"-",BT$6)</f>
        <v>2019-2035</v>
      </c>
      <c r="BV80" s="62" t="str">
        <f t="shared" si="196"/>
        <v>Change</v>
      </c>
      <c r="BW80" s="62" t="str">
        <f t="shared" si="196"/>
        <v>Demand</v>
      </c>
      <c r="BX80" s="62" t="str">
        <f t="shared" si="196"/>
        <v>Requirement</v>
      </c>
      <c r="BZ80" s="40" t="s">
        <v>14</v>
      </c>
      <c r="CA80" s="63" t="str">
        <f>CONCATENATE(CA$6,"-",CB$6)</f>
        <v>2015-2019</v>
      </c>
      <c r="CB80" s="63" t="str">
        <f>CONCATENATE(CB$6,"-",CC$6)</f>
        <v>2019-2020</v>
      </c>
      <c r="CC80" s="63" t="str">
        <f>CONCATENATE(CC$6,"-",CD$6)</f>
        <v>2020-2025</v>
      </c>
      <c r="CD80" s="63" t="str">
        <f>CONCATENATE(CD$6,"-",CE$6)</f>
        <v>2025-2035</v>
      </c>
      <c r="CE80" s="63" t="str">
        <f>CONCATENATE(CB$6,"-",CE$6)</f>
        <v>2019-2035</v>
      </c>
      <c r="CG80" s="62" t="str">
        <f t="shared" si="197"/>
        <v>Change</v>
      </c>
      <c r="CH80" s="62" t="str">
        <f t="shared" si="197"/>
        <v>Demand</v>
      </c>
      <c r="CI80" s="62" t="str">
        <f t="shared" si="197"/>
        <v>Requirement</v>
      </c>
      <c r="CK80" s="40" t="s">
        <v>14</v>
      </c>
      <c r="CL80" s="63" t="str">
        <f>CONCATENATE(CL$6,"-",CM$6)</f>
        <v>2015-2019</v>
      </c>
      <c r="CM80" s="63" t="str">
        <f>CONCATENATE(CM$6,"-",CN$6)</f>
        <v>2019-2020</v>
      </c>
      <c r="CN80" s="63" t="str">
        <f>CONCATENATE(CN$6,"-",CO$6)</f>
        <v>2020-2025</v>
      </c>
      <c r="CO80" s="63" t="str">
        <f>CONCATENATE(CO$6,"-",CP$6)</f>
        <v>2025-2035</v>
      </c>
      <c r="CP80" s="63" t="str">
        <f>CONCATENATE(CM$6,"-",CP$6)</f>
        <v>2019-2035</v>
      </c>
      <c r="CR80" s="62" t="str">
        <f t="shared" si="198"/>
        <v>Change</v>
      </c>
      <c r="CS80" s="62" t="str">
        <f t="shared" si="198"/>
        <v>Demand</v>
      </c>
      <c r="CT80" s="62" t="str">
        <f t="shared" si="198"/>
        <v>Requirement</v>
      </c>
    </row>
    <row r="82" spans="1:98" x14ac:dyDescent="0.2">
      <c r="A82" t="str">
        <f t="shared" ref="A82:A107" si="199">A8</f>
        <v>11 Corporate managers and directors</v>
      </c>
      <c r="B82" s="17">
        <f t="shared" ref="B82:E107" si="200">IF(AND(C$6-B$6 &lt;&gt; 0,B8&lt;&gt;0,C8&lt;&gt;0),(EXP(LN(C8/B8)/(C$6-B$6))-1)*100,0)</f>
        <v>8.5820705544678901</v>
      </c>
      <c r="C82" s="17">
        <f t="shared" si="200"/>
        <v>0.7061702131364811</v>
      </c>
      <c r="D82" s="17">
        <f t="shared" si="200"/>
        <v>2.3279415075218246</v>
      </c>
      <c r="E82" s="17">
        <f t="shared" si="200"/>
        <v>2.8689566521878485</v>
      </c>
      <c r="F82" s="17">
        <f t="shared" ref="F82:F107" si="201">IF(AND(F$6-C$6 &lt;&gt; 0,C8&lt;&gt;0,F8&lt;&gt;0),(EXP(LN(F8/C8)/(F$6-C$6))-1)*100,0)</f>
        <v>2.5632829385654921</v>
      </c>
      <c r="H82" s="17">
        <f t="shared" ref="H82:H107" si="202">IF($F$6-$D$6 &lt;&gt; 0,(EXP(LN(1+(H45/100))/($F$6-$D$6))-1)*100,0)</f>
        <v>2.6883011945152635</v>
      </c>
      <c r="I82" s="17">
        <f t="shared" ref="I82:I107" si="203">IF(D8&gt;0,((1+(I8/D8))^(1/($F$6-$D$6))-1)*100,0)</f>
        <v>3.2681706744758676</v>
      </c>
      <c r="J82" s="17">
        <f t="shared" ref="J82:J107" si="204">IF($F$6-$D$6 &lt;&gt; 0,(EXP(LN(1+(J45/100))/($F$6-$D$6))-1)*100,0)</f>
        <v>5.0994450998713248</v>
      </c>
      <c r="L82" t="str">
        <f>A82</f>
        <v>11 Corporate managers and directors</v>
      </c>
      <c r="M82" s="17">
        <f t="shared" ref="M82:P107" si="205">IF(AND(N$6-M$6 &lt;&gt; 0,M8&lt;&gt;0,N8&lt;&gt;0),(EXP(LN(N8/M8)/(N$6-M$6))-1)*100,0)</f>
        <v>10.505852748825584</v>
      </c>
      <c r="N82" s="17">
        <f t="shared" si="205"/>
        <v>-7.1246920846990802</v>
      </c>
      <c r="O82" s="17">
        <f t="shared" si="205"/>
        <v>1.9370778449656845</v>
      </c>
      <c r="P82" s="17">
        <f t="shared" si="205"/>
        <v>2.8161861172715907</v>
      </c>
      <c r="Q82" s="17">
        <f t="shared" ref="Q82:Q107" si="206">IF(AND(Q$6-N$6 &lt;&gt; 0,N8&lt;&gt;0,Q8&lt;&gt;0),(EXP(LN(Q8/N8)/(Q$6-N$6))-1)*100,0)</f>
        <v>1.891042118555597</v>
      </c>
      <c r="S82" s="17">
        <f t="shared" ref="S82:S107" si="207">IF($F$6-$D$6 &lt;&gt; 0,(EXP(LN(1+(S45/100))/($F$6-$D$6))-1)*100,0)</f>
        <v>2.5223108552537621</v>
      </c>
      <c r="T82" s="17">
        <f t="shared" ref="T82:T107" si="208">IF(O8&gt;0,((1+(T8/O8))^(1/($F$6-$D$6))-1)*100,0)</f>
        <v>3.204408769759004</v>
      </c>
      <c r="U82" s="17">
        <f t="shared" ref="U82:U107" si="209">IF($F$6-$D$6 &lt;&gt; 0,(EXP(LN(1+(U45/100))/($F$6-$D$6))-1)*100,0)</f>
        <v>4.929298812525662</v>
      </c>
      <c r="W82" t="str">
        <f>A82</f>
        <v>11 Corporate managers and directors</v>
      </c>
      <c r="X82" s="17">
        <f t="shared" ref="X82:AA107" si="210">IF(AND(Y$6-X$6 &lt;&gt; 0,X8&lt;&gt;0,Y8&lt;&gt;0),(EXP(LN(Y8/X8)/(Y$6-X$6))-1)*100,0)</f>
        <v>3.8310208462048356</v>
      </c>
      <c r="Y82" s="17">
        <f t="shared" si="210"/>
        <v>13.031132275107126</v>
      </c>
      <c r="Z82" s="17">
        <f t="shared" si="210"/>
        <v>-0.34771307165388787</v>
      </c>
      <c r="AA82" s="17">
        <f t="shared" si="210"/>
        <v>1.966329999761296</v>
      </c>
      <c r="AB82" s="17">
        <f t="shared" ref="AB82:AB107" si="211">IF(AND(AB$6-Y$6 &lt;&gt; 0,Y8&lt;&gt;0,AB8&lt;&gt;0),(EXP(LN(AB8/Y8)/(AB$6-Y$6))-1)*100,0)</f>
        <v>1.8914269497916525</v>
      </c>
      <c r="AD82" s="17">
        <f t="shared" ref="AD82:AD107" si="212">IF($F$6-$D$6 &lt;&gt; 0,(EXP(LN(1+(AD45/100))/($F$6-$D$6))-1)*100,0)</f>
        <v>1.1890725734213126</v>
      </c>
      <c r="AE82" s="17">
        <f t="shared" ref="AE82:AE107" si="213">IF(Z8&gt;0,((1+(AE8/Z8))^(1/($F$6-$D$6))-1)*100,0)</f>
        <v>3.1961786422574523</v>
      </c>
      <c r="AF82" s="17">
        <f t="shared" ref="AF82:AF107" si="214">IF($F$6-$D$6 &lt;&gt; 0,(EXP(LN(1+(AF45/100))/($F$6-$D$6))-1)*100,0)</f>
        <v>3.9850965477482569</v>
      </c>
      <c r="AH82" t="str">
        <f>L82</f>
        <v>11 Corporate managers and directors</v>
      </c>
      <c r="AI82" s="17">
        <f t="shared" ref="AI82:AL107" si="215">IF(AND(AJ$6-AI$6 &lt;&gt; 0,AI8&lt;&gt;0,AJ8&lt;&gt;0),(EXP(LN(AJ8/AI8)/(AJ$6-AI$6))-1)*100,0)</f>
        <v>2.3330756209793968</v>
      </c>
      <c r="AJ82" s="17">
        <f t="shared" si="215"/>
        <v>9.8390082384725233</v>
      </c>
      <c r="AK82" s="17">
        <f t="shared" si="215"/>
        <v>-1.3273118098400372</v>
      </c>
      <c r="AL82" s="17">
        <f t="shared" si="215"/>
        <v>1.2714274989002572</v>
      </c>
      <c r="AM82" s="17">
        <f t="shared" ref="AM82:AM107" si="216">IF(AND(AM$6-AJ$6 &lt;&gt; 0,AJ8&lt;&gt;0,AM8&lt;&gt;0),(EXP(LN(AM8/AJ8)/(AM$6-AJ$6))-1)*100,0)</f>
        <v>0.96321466475155493</v>
      </c>
      <c r="AO82" s="17">
        <f t="shared" ref="AO82:AO107" si="217">IF($F$6-$D$6 &lt;&gt; 0,(EXP(LN(1+(AO45/100))/($F$6-$D$6))-1)*100,0)</f>
        <v>0.39766396700608997</v>
      </c>
      <c r="AP82" s="17">
        <f t="shared" ref="AP82:AP107" si="218">IF(AK8&gt;0,((1+(AP8/AK8))^(1/($F$6-$D$6))-1)*100,0)</f>
        <v>2.8604079644012126</v>
      </c>
      <c r="AQ82" s="17">
        <f t="shared" ref="AQ82:AQ107" si="219">IF($F$6-$D$6 &lt;&gt; 0,(EXP(LN(1+(AQ45/100))/($F$6-$D$6))-1)*100,0)</f>
        <v>3.1309021699210016</v>
      </c>
      <c r="AS82" t="str">
        <f>W82</f>
        <v>11 Corporate managers and directors</v>
      </c>
      <c r="AT82" s="17">
        <f t="shared" ref="AT82:AW107" si="220">IF(AND(AU$6-AT$6 &lt;&gt; 0,AT8&lt;&gt;0,AU8&lt;&gt;0),(EXP(LN(AU8/AT8)/(AU$6-AT$6))-1)*100,0)</f>
        <v>1.5257389114542219</v>
      </c>
      <c r="AU82" s="17">
        <f t="shared" si="220"/>
        <v>17.850649157043041</v>
      </c>
      <c r="AV82" s="17">
        <f t="shared" si="220"/>
        <v>-1.8244425713845658</v>
      </c>
      <c r="AW82" s="17">
        <f t="shared" si="220"/>
        <v>1.4136262735110705</v>
      </c>
      <c r="AX82" s="17">
        <f t="shared" ref="AX82:AX107" si="221">IF(AND(AX$6-AU$6 &lt;&gt; 0,AU8&lt;&gt;0,AX8&lt;&gt;0),(EXP(LN(AX8/AU8)/(AX$6-AU$6))-1)*100,0)</f>
        <v>1.3373396316409325</v>
      </c>
      <c r="AZ82" s="17">
        <f t="shared" ref="AZ82:AZ107" si="222">IF($F$6-$D$6 &lt;&gt; 0,(EXP(LN(1+(AZ45/100))/($F$6-$D$6))-1)*100,0)</f>
        <v>0.32257406868518856</v>
      </c>
      <c r="BA82" s="17">
        <f t="shared" ref="BA82:BA107" si="223">IF(AV8&gt;0,((1+(BA8/AV8))^(1/($F$6-$D$6))-1)*100,0)</f>
        <v>2.7845125449300845</v>
      </c>
      <c r="BB82" s="17">
        <f t="shared" ref="BB82:BB107" si="224">IF($F$6-$D$6 &lt;&gt; 0,(EXP(LN(1+(BB45/100))/($F$6-$D$6))-1)*100,0)</f>
        <v>3.0057804744965999</v>
      </c>
      <c r="BD82" t="str">
        <f>AH82</f>
        <v>11 Corporate managers and directors</v>
      </c>
      <c r="BE82" s="17">
        <f t="shared" ref="BE82:BH107" si="225">IF(AND(BF$6-BE$6 &lt;&gt; 0,BE8&lt;&gt;0,BF8&lt;&gt;0),(EXP(LN(BF8/BE8)/(BF$6-BE$6))-1)*100,0)</f>
        <v>6.8430420123021474</v>
      </c>
      <c r="BF82" s="17">
        <f t="shared" si="225"/>
        <v>-0.37038915957533503</v>
      </c>
      <c r="BG82" s="17">
        <f t="shared" si="225"/>
        <v>-2.3616873840809349</v>
      </c>
      <c r="BH82" s="17">
        <f t="shared" si="225"/>
        <v>0.89375152862154472</v>
      </c>
      <c r="BI82" s="17">
        <f t="shared" ref="BI82:BI107" si="226">IF(AND(BI$6-BF$6 &lt;&gt; 0,BF8&lt;&gt;0,BI8&lt;&gt;0),(EXP(LN(BI8/BF8)/(BI$6-BF$6))-1)*100,0)</f>
        <v>-0.21373225806785578</v>
      </c>
      <c r="BK82" s="17">
        <f t="shared" ref="BK82:BK107" si="227">IF($F$6-$D$6 &lt;&gt; 0,(EXP(LN(1+(BK45/100))/($F$6-$D$6))-1)*100,0)</f>
        <v>-0.20327971064985073</v>
      </c>
      <c r="BL82" s="17">
        <f t="shared" ref="BL82:BL107" si="228">IF(BG8&gt;0,((1+(BL8/BG8))^(1/($F$6-$D$6))-1)*100,0)</f>
        <v>2.3392968749256449</v>
      </c>
      <c r="BM82" s="17">
        <f t="shared" ref="BM82:BM107" si="229">IF($F$6-$D$6 &lt;&gt; 0,(EXP(LN(1+(BM45/100))/($F$6-$D$6))-1)*100,0)</f>
        <v>2.1928514647355346</v>
      </c>
      <c r="BO82" t="str">
        <f>AS82</f>
        <v>11 Corporate managers and directors</v>
      </c>
      <c r="BP82" s="17">
        <f t="shared" ref="BP82:BS107" si="230">IF(AND(BQ$6-BP$6 &lt;&gt; 0,BP8&lt;&gt;0,BQ8&lt;&gt;0),(EXP(LN(BQ8/BP8)/(BQ$6-BP$6))-1)*100,0)</f>
        <v>4.5317587448913565</v>
      </c>
      <c r="BQ82" s="17">
        <f t="shared" si="230"/>
        <v>-2.4353865564756383</v>
      </c>
      <c r="BR82" s="17">
        <f t="shared" si="230"/>
        <v>-4.8258174304188444</v>
      </c>
      <c r="BS82" s="17">
        <f t="shared" si="230"/>
        <v>-2.5621251542322088</v>
      </c>
      <c r="BT82" s="17">
        <f t="shared" ref="BT82:BT107" si="231">IF(AND(BT$6-BQ$6 &lt;&gt; 0,BQ8&lt;&gt;0,BT8&lt;&gt;0),(EXP(LN(BT8/BQ8)/(BT$6-BQ$6))-1)*100,0)</f>
        <v>-3.2673949565888538</v>
      </c>
      <c r="BV82" s="17">
        <f t="shared" ref="BV82:BV107" si="232">IF($F$6-$D$6 &lt;&gt; 0,(EXP(LN(1+(BV45/100))/($F$6-$D$6))-1)*100,0)</f>
        <v>-3.3226092383109362</v>
      </c>
      <c r="BW82" s="17">
        <f t="shared" ref="BW82:BW107" si="233">IF(BR8&gt;0,((1+(BW8/BR8))^(1/($F$6-$D$6))-1)*100,0)</f>
        <v>1.9711386518947327</v>
      </c>
      <c r="BX82" s="17">
        <f t="shared" ref="BX82:BX107" si="234">IF($F$6-$D$6 &lt;&gt; 0,(EXP(LN(1+(BX45/100))/($F$6-$D$6))-1)*100,0)</f>
        <v>-0.39365193847872293</v>
      </c>
      <c r="BZ82" t="str">
        <f>BD82</f>
        <v>11 Corporate managers and directors</v>
      </c>
      <c r="CA82" s="17">
        <f t="shared" ref="CA82:CD107" si="235">IF(AND(CB$6-CA$6 &lt;&gt; 0,CA8&lt;&gt;0,CB8&lt;&gt;0),(EXP(LN(CB8/CA8)/(CB$6-CA$6))-1)*100,0)</f>
        <v>2.2753824708586778</v>
      </c>
      <c r="CB82" s="17">
        <f t="shared" si="235"/>
        <v>5.4227106794112245</v>
      </c>
      <c r="CC82" s="17">
        <f t="shared" si="235"/>
        <v>-3.0046624534248778</v>
      </c>
      <c r="CD82" s="17">
        <f t="shared" si="235"/>
        <v>-2.8961584318671574</v>
      </c>
      <c r="CE82" s="17">
        <f t="shared" ref="CE82:CE107" si="236">IF(AND(CE$6-CB$6 &lt;&gt; 0,CB8&lt;&gt;0,CE8&lt;&gt;0),(EXP(LN(CE8/CB8)/(CE$6-CB$6))-1)*100,0)</f>
        <v>-2.4301164275090548</v>
      </c>
      <c r="CG82" s="17">
        <f t="shared" ref="CG82:CG107" si="237">IF($F$6-$D$6 &lt;&gt; 0,(EXP(LN(1+(CG45/100))/($F$6-$D$6))-1)*100,0)</f>
        <v>-2.9323399188226018</v>
      </c>
      <c r="CH82" s="17">
        <f t="shared" ref="CH82:CH107" si="238">IF(CC8&gt;0,((1+(CH8/CC8))^(1/($F$6-$D$6))-1)*100,0)</f>
        <v>2.073471384631409</v>
      </c>
      <c r="CI82" s="17">
        <f t="shared" ref="CI82:CI107" si="239">IF($F$6-$D$6 &lt;&gt; 0,(EXP(LN(1+(CI45/100))/($F$6-$D$6))-1)*100,0)</f>
        <v>2.6179186109365205E-3</v>
      </c>
      <c r="CK82" t="str">
        <f>BO82</f>
        <v>11 Corporate managers and directors</v>
      </c>
      <c r="CL82" s="17">
        <f t="shared" ref="CL82:CO107" si="240">IF(AND(CM$6-CL$6 &lt;&gt; 0,CL8&lt;&gt;0,CM8&lt;&gt;0),(EXP(LN(CM8/CL8)/(CM$6-CL$6))-1)*100,0)</f>
        <v>7.1810070947177618</v>
      </c>
      <c r="CM82" s="17">
        <f t="shared" si="240"/>
        <v>-15.24750222826624</v>
      </c>
      <c r="CN82" s="17">
        <f t="shared" si="240"/>
        <v>-1.7016729980555367</v>
      </c>
      <c r="CO82" s="17">
        <f t="shared" si="240"/>
        <v>-1.0222095936509135</v>
      </c>
      <c r="CP82" s="17">
        <f t="shared" ref="CP82:CP107" si="241">IF(AND(CP$6-CM$6 &lt;&gt; 0,CM8&lt;&gt;0,CP8&lt;&gt;0),(EXP(LN(CP8/CM8)/(CP$6-CM$6))-1)*100,0)</f>
        <v>-2.1881906688971609</v>
      </c>
      <c r="CR82" s="17">
        <f t="shared" ref="CR82:CR107" si="242">IF($F$6-$D$6 &lt;&gt; 0,(EXP(LN(1+(CR45/100))/($F$6-$D$6))-1)*100,0)</f>
        <v>-1.2492176457567838</v>
      </c>
      <c r="CS82" s="17">
        <f t="shared" ref="CS82:CS107" si="243">IF(CN8&gt;0,((1+(CS8/CN8))^(1/($F$6-$D$6))-1)*100,0)</f>
        <v>1.8467791650200294</v>
      </c>
      <c r="CT82" s="17">
        <f t="shared" ref="CT82:CT107" si="244">IF($F$6-$D$6 &lt;&gt; 0,(EXP(LN(1+(CT45/100))/($F$6-$D$6))-1)*100,0)</f>
        <v>0.90095256409814528</v>
      </c>
    </row>
    <row r="83" spans="1:98" x14ac:dyDescent="0.2">
      <c r="A83" t="str">
        <f t="shared" si="199"/>
        <v>12 Other managers and proprietors</v>
      </c>
      <c r="B83" s="17">
        <f t="shared" si="200"/>
        <v>8.6297896151327436</v>
      </c>
      <c r="C83" s="17">
        <f t="shared" si="200"/>
        <v>-11.931970047524088</v>
      </c>
      <c r="D83" s="17">
        <f t="shared" si="200"/>
        <v>8.8066981990584825</v>
      </c>
      <c r="E83" s="17">
        <f t="shared" si="200"/>
        <v>3.8252814530806978</v>
      </c>
      <c r="F83" s="17">
        <f t="shared" si="201"/>
        <v>4.2786681328559784</v>
      </c>
      <c r="H83" s="17">
        <f t="shared" si="202"/>
        <v>5.4598838273668848</v>
      </c>
      <c r="I83" s="17">
        <f t="shared" si="203"/>
        <v>4.5997270112351663</v>
      </c>
      <c r="J83" s="17">
        <f t="shared" si="204"/>
        <v>8.024427742939789</v>
      </c>
      <c r="L83" t="str">
        <f t="shared" ref="L83:L106" si="245">A83</f>
        <v>12 Other managers and proprietors</v>
      </c>
      <c r="M83" s="17">
        <f t="shared" si="205"/>
        <v>9.1353749231877668</v>
      </c>
      <c r="N83" s="17">
        <f t="shared" si="205"/>
        <v>-8.0642648510185548</v>
      </c>
      <c r="O83" s="17">
        <f t="shared" si="205"/>
        <v>8.0016594891261672</v>
      </c>
      <c r="P83" s="17">
        <f t="shared" si="205"/>
        <v>3.9336081017927738</v>
      </c>
      <c r="Q83" s="17">
        <f t="shared" si="206"/>
        <v>4.3848048672822104</v>
      </c>
      <c r="S83" s="17">
        <f t="shared" si="207"/>
        <v>5.2723082861713788</v>
      </c>
      <c r="T83" s="17">
        <f t="shared" si="208"/>
        <v>4.3985224939732115</v>
      </c>
      <c r="U83" s="17">
        <f t="shared" si="209"/>
        <v>7.7611944185046244</v>
      </c>
      <c r="W83" t="str">
        <f t="shared" ref="W83:W106" si="246">A83</f>
        <v>12 Other managers and proprietors</v>
      </c>
      <c r="X83" s="17">
        <f t="shared" si="210"/>
        <v>1.8279830979787137</v>
      </c>
      <c r="Y83" s="17">
        <f t="shared" si="210"/>
        <v>12.106670876049153</v>
      </c>
      <c r="Z83" s="17">
        <f t="shared" si="210"/>
        <v>5.7379834976213129</v>
      </c>
      <c r="AA83" s="17">
        <f t="shared" si="210"/>
        <v>2.7317720130036971</v>
      </c>
      <c r="AB83" s="17">
        <f t="shared" si="211"/>
        <v>4.2292584635989838</v>
      </c>
      <c r="AD83" s="17">
        <f t="shared" si="212"/>
        <v>3.724223939231508</v>
      </c>
      <c r="AE83" s="17">
        <f t="shared" si="213"/>
        <v>4.2802410018367931</v>
      </c>
      <c r="AF83" s="17">
        <f t="shared" si="214"/>
        <v>6.5930416772504108</v>
      </c>
      <c r="AH83" t="str">
        <f t="shared" ref="AH83:AH106" si="247">L83</f>
        <v>12 Other managers and proprietors</v>
      </c>
      <c r="AI83" s="17">
        <f t="shared" si="215"/>
        <v>1.7512127841929459</v>
      </c>
      <c r="AJ83" s="17">
        <f t="shared" si="215"/>
        <v>12.825908602634794</v>
      </c>
      <c r="AK83" s="17">
        <f t="shared" si="215"/>
        <v>3.8616975572276724</v>
      </c>
      <c r="AL83" s="17">
        <f t="shared" si="215"/>
        <v>2.3475627800347842</v>
      </c>
      <c r="AM83" s="17">
        <f t="shared" si="216"/>
        <v>3.4466213702552428</v>
      </c>
      <c r="AO83" s="17">
        <f t="shared" si="217"/>
        <v>2.849805719769738</v>
      </c>
      <c r="AP83" s="17">
        <f t="shared" si="218"/>
        <v>3.9941325923541049</v>
      </c>
      <c r="AQ83" s="17">
        <f t="shared" si="219"/>
        <v>5.7819217514758048</v>
      </c>
      <c r="AS83" t="str">
        <f t="shared" ref="AS83:AS106" si="248">W83</f>
        <v>12 Other managers and proprietors</v>
      </c>
      <c r="AT83" s="17">
        <f t="shared" si="220"/>
        <v>0.75379686977099514</v>
      </c>
      <c r="AU83" s="17">
        <f t="shared" si="220"/>
        <v>15.898031066166208</v>
      </c>
      <c r="AV83" s="17">
        <f t="shared" si="220"/>
        <v>4.8746413463946592</v>
      </c>
      <c r="AW83" s="17">
        <f t="shared" si="220"/>
        <v>2.2065907206891167</v>
      </c>
      <c r="AX83" s="17">
        <f t="shared" si="221"/>
        <v>3.8457183732375055</v>
      </c>
      <c r="AZ83" s="17">
        <f t="shared" si="222"/>
        <v>3.0883125658657029</v>
      </c>
      <c r="BA83" s="17">
        <f t="shared" si="223"/>
        <v>3.933365497443897</v>
      </c>
      <c r="BB83" s="17">
        <f t="shared" si="224"/>
        <v>5.896922011008221</v>
      </c>
      <c r="BD83" t="str">
        <f t="shared" ref="BD83:BD106" si="249">AH83</f>
        <v>12 Other managers and proprietors</v>
      </c>
      <c r="BE83" s="17">
        <f t="shared" si="225"/>
        <v>3.1168806374528124</v>
      </c>
      <c r="BF83" s="17">
        <f t="shared" si="225"/>
        <v>6.1707219899537646</v>
      </c>
      <c r="BG83" s="17">
        <f t="shared" si="225"/>
        <v>3.4945759259963349</v>
      </c>
      <c r="BH83" s="17">
        <f t="shared" si="225"/>
        <v>1.3209696681904193</v>
      </c>
      <c r="BI83" s="17">
        <f t="shared" si="226"/>
        <v>2.2937572978835918</v>
      </c>
      <c r="BK83" s="17">
        <f t="shared" si="227"/>
        <v>2.0403848915600209</v>
      </c>
      <c r="BL83" s="17">
        <f t="shared" si="228"/>
        <v>2.984151478111885</v>
      </c>
      <c r="BM83" s="17">
        <f t="shared" si="229"/>
        <v>4.4020809001227512</v>
      </c>
      <c r="BO83" t="str">
        <f t="shared" ref="BO83:BO106" si="250">AS83</f>
        <v>12 Other managers and proprietors</v>
      </c>
      <c r="BP83" s="17">
        <f t="shared" si="230"/>
        <v>3.508539554345691</v>
      </c>
      <c r="BQ83" s="17">
        <f t="shared" si="230"/>
        <v>-2.7182632873736345</v>
      </c>
      <c r="BR83" s="17">
        <f t="shared" si="230"/>
        <v>2.1654785019966649</v>
      </c>
      <c r="BS83" s="17">
        <f t="shared" si="230"/>
        <v>-0.94505892707700268</v>
      </c>
      <c r="BT83" s="17">
        <f t="shared" si="231"/>
        <v>-9.6178436642335718E-2</v>
      </c>
      <c r="BV83" s="17">
        <f t="shared" si="232"/>
        <v>8.1119286343134256E-2</v>
      </c>
      <c r="BW83" s="17">
        <f t="shared" si="233"/>
        <v>3.0432534588609395</v>
      </c>
      <c r="BX83" s="17">
        <f t="shared" si="234"/>
        <v>3.0966780409627415</v>
      </c>
      <c r="BZ83" t="str">
        <f t="shared" ref="BZ83:BZ106" si="251">BD83</f>
        <v>12 Other managers and proprietors</v>
      </c>
      <c r="CA83" s="17">
        <f t="shared" si="235"/>
        <v>-0.9644264804240632</v>
      </c>
      <c r="CB83" s="17">
        <f t="shared" si="235"/>
        <v>5.0389238694274807</v>
      </c>
      <c r="CC83" s="17">
        <f t="shared" si="235"/>
        <v>0.88334084685075531</v>
      </c>
      <c r="CD83" s="17">
        <f t="shared" si="235"/>
        <v>-3.1672773269683874</v>
      </c>
      <c r="CE83" s="17">
        <f t="shared" si="236"/>
        <v>-1.419319682934328</v>
      </c>
      <c r="CG83" s="17">
        <f t="shared" si="237"/>
        <v>-1.8354724441853376</v>
      </c>
      <c r="CH83" s="17">
        <f t="shared" si="238"/>
        <v>2.462833825098576</v>
      </c>
      <c r="CI83" s="17">
        <f t="shared" si="239"/>
        <v>1.210677385784531</v>
      </c>
      <c r="CK83" t="str">
        <f t="shared" ref="CK83:CK106" si="252">BO83</f>
        <v>12 Other managers and proprietors</v>
      </c>
      <c r="CL83" s="17">
        <f t="shared" si="240"/>
        <v>3.7465948599533672</v>
      </c>
      <c r="CM83" s="17">
        <f t="shared" si="240"/>
        <v>-10.067545395998611</v>
      </c>
      <c r="CN83" s="17">
        <f t="shared" si="240"/>
        <v>8.1091047091173216</v>
      </c>
      <c r="CO83" s="17">
        <f t="shared" si="240"/>
        <v>0.97602698343637329</v>
      </c>
      <c r="CP83" s="17">
        <f t="shared" si="241"/>
        <v>2.4090086076233863</v>
      </c>
      <c r="CR83" s="17">
        <f t="shared" si="242"/>
        <v>3.2998306478474904</v>
      </c>
      <c r="CS83" s="17">
        <f t="shared" si="243"/>
        <v>3.0207678342971001</v>
      </c>
      <c r="CT83" s="17">
        <f t="shared" si="244"/>
        <v>5.3652504098571585</v>
      </c>
    </row>
    <row r="84" spans="1:98" x14ac:dyDescent="0.2">
      <c r="A84" t="str">
        <f t="shared" si="199"/>
        <v>21 Science, research, engineering and technology professionals</v>
      </c>
      <c r="B84" s="17">
        <f t="shared" si="200"/>
        <v>9.574973417016853</v>
      </c>
      <c r="C84" s="17">
        <f t="shared" si="200"/>
        <v>-3.3732346066856489</v>
      </c>
      <c r="D84" s="17">
        <f t="shared" si="200"/>
        <v>4.2681593755652836</v>
      </c>
      <c r="E84" s="17">
        <f t="shared" si="200"/>
        <v>2.7323653888451149</v>
      </c>
      <c r="F84" s="17">
        <f t="shared" si="201"/>
        <v>2.8153725273775354</v>
      </c>
      <c r="H84" s="17">
        <f t="shared" si="202"/>
        <v>3.241766662571699</v>
      </c>
      <c r="I84" s="17">
        <f t="shared" si="203"/>
        <v>2.71237688841377</v>
      </c>
      <c r="J84" s="17">
        <f t="shared" si="204"/>
        <v>5.0962625526250305</v>
      </c>
      <c r="L84" t="str">
        <f t="shared" si="245"/>
        <v>21 Science, research, engineering and technology professionals</v>
      </c>
      <c r="M84" s="17">
        <f t="shared" si="205"/>
        <v>9.8905904137022382</v>
      </c>
      <c r="N84" s="17">
        <f t="shared" si="205"/>
        <v>-2.906890691908659</v>
      </c>
      <c r="O84" s="17">
        <f t="shared" si="205"/>
        <v>5.0320527834490703</v>
      </c>
      <c r="P84" s="17">
        <f t="shared" si="205"/>
        <v>3.0541909413443369</v>
      </c>
      <c r="Q84" s="17">
        <f t="shared" si="206"/>
        <v>3.282892263509396</v>
      </c>
      <c r="S84" s="17">
        <f t="shared" si="207"/>
        <v>3.7093048483555657</v>
      </c>
      <c r="T84" s="17">
        <f t="shared" si="208"/>
        <v>2.9201412156356632</v>
      </c>
      <c r="U84" s="17">
        <f t="shared" si="209"/>
        <v>5.6074941903098807</v>
      </c>
      <c r="W84" t="str">
        <f t="shared" si="246"/>
        <v>21 Science, research, engineering and technology professionals</v>
      </c>
      <c r="X84" s="17">
        <f t="shared" si="210"/>
        <v>1.6003042707146919</v>
      </c>
      <c r="Y84" s="17">
        <f t="shared" si="210"/>
        <v>12.873928927943656</v>
      </c>
      <c r="Z84" s="17">
        <f t="shared" si="210"/>
        <v>0.88006761162593428</v>
      </c>
      <c r="AA84" s="17">
        <f t="shared" si="210"/>
        <v>1.0401751054422537</v>
      </c>
      <c r="AB84" s="17">
        <f t="shared" si="211"/>
        <v>1.691601159300804</v>
      </c>
      <c r="AD84" s="17">
        <f t="shared" si="212"/>
        <v>0.98677772653699147</v>
      </c>
      <c r="AE84" s="17">
        <f t="shared" si="213"/>
        <v>2.3707470436002742</v>
      </c>
      <c r="AF84" s="17">
        <f t="shared" si="214"/>
        <v>3.0957557670314717</v>
      </c>
      <c r="AH84" t="str">
        <f t="shared" si="247"/>
        <v>21 Science, research, engineering and technology professionals</v>
      </c>
      <c r="AI84" s="17">
        <f t="shared" si="215"/>
        <v>0.83475796041199146</v>
      </c>
      <c r="AJ84" s="17">
        <f t="shared" si="215"/>
        <v>18.294919675279118</v>
      </c>
      <c r="AK84" s="17">
        <f t="shared" si="215"/>
        <v>0.83711069139522643</v>
      </c>
      <c r="AL84" s="17">
        <f t="shared" si="215"/>
        <v>1.6499814340801056</v>
      </c>
      <c r="AM84" s="17">
        <f t="shared" si="216"/>
        <v>2.3608346646476708</v>
      </c>
      <c r="AO84" s="17">
        <f t="shared" si="217"/>
        <v>1.378299034553554</v>
      </c>
      <c r="AP84" s="17">
        <f t="shared" si="218"/>
        <v>2.4061784807133835</v>
      </c>
      <c r="AQ84" s="17">
        <f t="shared" si="219"/>
        <v>3.421851075080351</v>
      </c>
      <c r="AS84" t="str">
        <f t="shared" si="248"/>
        <v>21 Science, research, engineering and technology professionals</v>
      </c>
      <c r="AT84" s="17">
        <f t="shared" si="220"/>
        <v>-1.0497418789190083</v>
      </c>
      <c r="AU84" s="17">
        <f t="shared" si="220"/>
        <v>18.747855144814896</v>
      </c>
      <c r="AV84" s="17">
        <f t="shared" si="220"/>
        <v>-0.87644215289686134</v>
      </c>
      <c r="AW84" s="17">
        <f t="shared" si="220"/>
        <v>0.66293101484991013</v>
      </c>
      <c r="AX84" s="17">
        <f t="shared" si="221"/>
        <v>1.219192598292751</v>
      </c>
      <c r="AZ84" s="17">
        <f t="shared" si="222"/>
        <v>0.14716854817773406</v>
      </c>
      <c r="BA84" s="17">
        <f t="shared" si="223"/>
        <v>2.0224789134098975</v>
      </c>
      <c r="BB84" s="17">
        <f t="shared" si="224"/>
        <v>2.1339666670187274</v>
      </c>
      <c r="BD84" t="str">
        <f t="shared" si="249"/>
        <v>21 Science, research, engineering and technology professionals</v>
      </c>
      <c r="BE84" s="17">
        <f t="shared" si="225"/>
        <v>6.0487567058276737</v>
      </c>
      <c r="BF84" s="17">
        <f t="shared" si="225"/>
        <v>-2.2854762732022249</v>
      </c>
      <c r="BG84" s="17">
        <f t="shared" si="225"/>
        <v>-0.24078220550313167</v>
      </c>
      <c r="BH84" s="17">
        <f t="shared" si="225"/>
        <v>0.59852807389739748</v>
      </c>
      <c r="BI84" s="17">
        <f t="shared" si="226"/>
        <v>0.15324725226744107</v>
      </c>
      <c r="BK84" s="17">
        <f t="shared" si="227"/>
        <v>0.31797629805350169</v>
      </c>
      <c r="BL84" s="17">
        <f t="shared" si="228"/>
        <v>1.8460213798421554</v>
      </c>
      <c r="BM84" s="17">
        <f t="shared" si="229"/>
        <v>2.0934609265879534</v>
      </c>
      <c r="BO84" t="str">
        <f t="shared" si="250"/>
        <v>21 Science, research, engineering and technology professionals</v>
      </c>
      <c r="BP84" s="17">
        <f t="shared" si="230"/>
        <v>4.1948285002492369</v>
      </c>
      <c r="BQ84" s="17">
        <f t="shared" si="230"/>
        <v>-0.22069681047902634</v>
      </c>
      <c r="BR84" s="17">
        <f t="shared" si="230"/>
        <v>-1.8332710199769675</v>
      </c>
      <c r="BS84" s="17">
        <f t="shared" si="230"/>
        <v>-1.2449448698137688</v>
      </c>
      <c r="BT84" s="17">
        <f t="shared" si="231"/>
        <v>-1.3655870589391883</v>
      </c>
      <c r="BV84" s="17">
        <f t="shared" si="232"/>
        <v>-1.4414443151139156</v>
      </c>
      <c r="BW84" s="17">
        <f t="shared" si="233"/>
        <v>1.7560614275148323</v>
      </c>
      <c r="BX84" s="17">
        <f t="shared" si="234"/>
        <v>0.65376226023483586</v>
      </c>
      <c r="BZ84" t="str">
        <f t="shared" si="251"/>
        <v>21 Science, research, engineering and technology professionals</v>
      </c>
      <c r="CA84" s="17">
        <f t="shared" si="235"/>
        <v>3.2351665293380183</v>
      </c>
      <c r="CB84" s="17">
        <f t="shared" si="235"/>
        <v>3.4585354197891549</v>
      </c>
      <c r="CC84" s="17">
        <f t="shared" si="235"/>
        <v>-2.2345560950746357</v>
      </c>
      <c r="CD84" s="17">
        <f t="shared" si="235"/>
        <v>-3.4768356816391122</v>
      </c>
      <c r="CE84" s="17">
        <f t="shared" si="236"/>
        <v>-2.6691435540780573</v>
      </c>
      <c r="CG84" s="17">
        <f t="shared" si="237"/>
        <v>-3.0645063895077929</v>
      </c>
      <c r="CH84" s="17">
        <f t="shared" si="238"/>
        <v>1.5669757855689914</v>
      </c>
      <c r="CI84" s="17">
        <f t="shared" si="239"/>
        <v>-0.7766494246789879</v>
      </c>
      <c r="CK84" t="str">
        <f t="shared" si="252"/>
        <v>21 Science, research, engineering and technology professionals</v>
      </c>
      <c r="CL84" s="17">
        <f t="shared" si="240"/>
        <v>7.592064983029001</v>
      </c>
      <c r="CM84" s="17">
        <f t="shared" si="240"/>
        <v>-7.1462594989516131</v>
      </c>
      <c r="CN84" s="17">
        <f t="shared" si="240"/>
        <v>6.1077827796609085</v>
      </c>
      <c r="CO84" s="17">
        <f t="shared" si="240"/>
        <v>-0.80770284375115686</v>
      </c>
      <c r="CP84" s="17">
        <f t="shared" si="241"/>
        <v>0.88629954237624542</v>
      </c>
      <c r="CR84" s="17">
        <f t="shared" si="242"/>
        <v>1.4458717671545607</v>
      </c>
      <c r="CS84" s="17">
        <f t="shared" si="243"/>
        <v>2.1045900337188117</v>
      </c>
      <c r="CT84" s="17">
        <f t="shared" si="244"/>
        <v>3.2129404615580004</v>
      </c>
    </row>
    <row r="85" spans="1:98" x14ac:dyDescent="0.2">
      <c r="A85" t="str">
        <f t="shared" si="199"/>
        <v>22 Health professionals</v>
      </c>
      <c r="B85" s="17">
        <f t="shared" si="200"/>
        <v>9.4572101278537666</v>
      </c>
      <c r="C85" s="17">
        <f t="shared" si="200"/>
        <v>-10.229528606896721</v>
      </c>
      <c r="D85" s="17">
        <f t="shared" si="200"/>
        <v>4.9275542055201793</v>
      </c>
      <c r="E85" s="17">
        <f t="shared" si="200"/>
        <v>2.6301488380672478</v>
      </c>
      <c r="F85" s="17">
        <f t="shared" si="201"/>
        <v>2.4815481822439756</v>
      </c>
      <c r="H85" s="17">
        <f t="shared" si="202"/>
        <v>3.3903064165107688</v>
      </c>
      <c r="I85" s="17">
        <f t="shared" si="203"/>
        <v>3.3041317676232751</v>
      </c>
      <c r="J85" s="17">
        <f t="shared" si="204"/>
        <v>5.6399936502759651</v>
      </c>
      <c r="L85" t="str">
        <f t="shared" si="245"/>
        <v>22 Health professionals</v>
      </c>
      <c r="M85" s="17">
        <f t="shared" si="205"/>
        <v>10.290616117447883</v>
      </c>
      <c r="N85" s="17">
        <f t="shared" si="205"/>
        <v>-13.49532664723252</v>
      </c>
      <c r="O85" s="17">
        <f t="shared" si="205"/>
        <v>4.0963515725617183</v>
      </c>
      <c r="P85" s="17">
        <f t="shared" si="205"/>
        <v>2.276931910351232</v>
      </c>
      <c r="Q85" s="17">
        <f t="shared" si="206"/>
        <v>1.7711370625631329</v>
      </c>
      <c r="S85" s="17">
        <f t="shared" si="207"/>
        <v>2.8798440415799043</v>
      </c>
      <c r="T85" s="17">
        <f t="shared" si="208"/>
        <v>3.2044050734424401</v>
      </c>
      <c r="U85" s="17">
        <f t="shared" si="209"/>
        <v>5.1894901039674535</v>
      </c>
      <c r="W85" t="str">
        <f t="shared" si="246"/>
        <v>22 Health professionals</v>
      </c>
      <c r="X85" s="17">
        <f t="shared" si="210"/>
        <v>3.5647668121936205</v>
      </c>
      <c r="Y85" s="17">
        <f t="shared" si="210"/>
        <v>5.8933090795417087</v>
      </c>
      <c r="Z85" s="17">
        <f t="shared" si="210"/>
        <v>2.782369135684748</v>
      </c>
      <c r="AA85" s="17">
        <f t="shared" si="210"/>
        <v>1.7504105873915821</v>
      </c>
      <c r="AB85" s="17">
        <f t="shared" si="211"/>
        <v>2.3266977522663046</v>
      </c>
      <c r="AD85" s="17">
        <f t="shared" si="212"/>
        <v>2.093240369312066</v>
      </c>
      <c r="AE85" s="17">
        <f t="shared" si="213"/>
        <v>3.6469358918153283</v>
      </c>
      <c r="AF85" s="17">
        <f t="shared" si="214"/>
        <v>4.9895385768631284</v>
      </c>
      <c r="AH85" t="str">
        <f t="shared" si="247"/>
        <v>22 Health professionals</v>
      </c>
      <c r="AI85" s="17">
        <f t="shared" si="215"/>
        <v>-6.2380330008072082</v>
      </c>
      <c r="AJ85" s="17">
        <f t="shared" si="215"/>
        <v>-3.7452157984155243</v>
      </c>
      <c r="AK85" s="17">
        <f t="shared" si="215"/>
        <v>-9.0540453966641685</v>
      </c>
      <c r="AL85" s="17">
        <f t="shared" si="215"/>
        <v>-8.2513247426497127</v>
      </c>
      <c r="AM85" s="17">
        <f t="shared" si="216"/>
        <v>-8.2283416211075036</v>
      </c>
      <c r="AO85" s="17">
        <f t="shared" si="217"/>
        <v>-8.5196824540586302</v>
      </c>
      <c r="AP85" s="17">
        <f t="shared" si="218"/>
        <v>1.2997276493467824</v>
      </c>
      <c r="AQ85" s="17">
        <f t="shared" si="219"/>
        <v>-4.8189806998463647</v>
      </c>
      <c r="AS85" t="str">
        <f t="shared" si="248"/>
        <v>22 Health professionals</v>
      </c>
      <c r="AT85" s="17">
        <f t="shared" si="220"/>
        <v>4.4550711902724638</v>
      </c>
      <c r="AU85" s="17">
        <f t="shared" si="220"/>
        <v>15.359140083363432</v>
      </c>
      <c r="AV85" s="17">
        <f t="shared" si="220"/>
        <v>1.4047736782810016</v>
      </c>
      <c r="AW85" s="17">
        <f t="shared" si="220"/>
        <v>1.5360225512650372</v>
      </c>
      <c r="AX85" s="17">
        <f t="shared" si="221"/>
        <v>2.3078816600899721</v>
      </c>
      <c r="AZ85" s="17">
        <f t="shared" si="222"/>
        <v>1.4922540626434611</v>
      </c>
      <c r="BA85" s="17">
        <f t="shared" si="223"/>
        <v>3.1349990829537155</v>
      </c>
      <c r="BB85" s="17">
        <f t="shared" si="224"/>
        <v>4.140105960084095</v>
      </c>
      <c r="BD85" t="str">
        <f t="shared" si="249"/>
        <v>22 Health professionals</v>
      </c>
      <c r="BE85" s="17">
        <f t="shared" si="225"/>
        <v>5.9743394411877482</v>
      </c>
      <c r="BF85" s="17">
        <f t="shared" si="225"/>
        <v>7.976549528889243</v>
      </c>
      <c r="BG85" s="17">
        <f t="shared" si="225"/>
        <v>1.1984769262996631</v>
      </c>
      <c r="BH85" s="17">
        <f t="shared" si="225"/>
        <v>0.64739847359045477</v>
      </c>
      <c r="BI85" s="17">
        <f t="shared" si="226"/>
        <v>1.2631782396466562</v>
      </c>
      <c r="BK85" s="17">
        <f t="shared" si="227"/>
        <v>0.83075704722079813</v>
      </c>
      <c r="BL85" s="17">
        <f t="shared" si="228"/>
        <v>3.1044914296585402</v>
      </c>
      <c r="BM85" s="17">
        <f t="shared" si="229"/>
        <v>3.6573854108597592</v>
      </c>
      <c r="BO85" t="str">
        <f t="shared" si="250"/>
        <v>22 Health professionals</v>
      </c>
      <c r="BP85" s="17">
        <f t="shared" si="230"/>
        <v>4.2963799148719728</v>
      </c>
      <c r="BQ85" s="17">
        <f t="shared" si="230"/>
        <v>5.5041044574367204</v>
      </c>
      <c r="BR85" s="17">
        <f t="shared" si="230"/>
        <v>-1.3228755088170452</v>
      </c>
      <c r="BS85" s="17">
        <f t="shared" si="230"/>
        <v>-2.203449970363347</v>
      </c>
      <c r="BT85" s="17">
        <f t="shared" si="231"/>
        <v>-1.4630318621587368</v>
      </c>
      <c r="BV85" s="17">
        <f t="shared" si="232"/>
        <v>-1.910801749357649</v>
      </c>
      <c r="BW85" s="17">
        <f t="shared" si="233"/>
        <v>2.480137407701255</v>
      </c>
      <c r="BX85" s="17">
        <f t="shared" si="234"/>
        <v>1.1823543978218387</v>
      </c>
      <c r="BZ85" t="str">
        <f t="shared" si="251"/>
        <v>22 Health professionals</v>
      </c>
      <c r="CA85" s="17">
        <f t="shared" si="235"/>
        <v>-0.64095221145817893</v>
      </c>
      <c r="CB85" s="17">
        <f t="shared" si="235"/>
        <v>0.31918862614821464</v>
      </c>
      <c r="CC85" s="17">
        <f t="shared" si="235"/>
        <v>2.6607631834994594</v>
      </c>
      <c r="CD85" s="17">
        <f t="shared" si="235"/>
        <v>-3.8750512732321885</v>
      </c>
      <c r="CE85" s="17">
        <f t="shared" si="236"/>
        <v>-1.6163390440792624</v>
      </c>
      <c r="CG85" s="17">
        <f t="shared" si="237"/>
        <v>-1.7440384089276728</v>
      </c>
      <c r="CH85" s="17">
        <f t="shared" si="238"/>
        <v>2.3562758995743671</v>
      </c>
      <c r="CI85" s="17">
        <f t="shared" si="239"/>
        <v>1.1447181918134985</v>
      </c>
      <c r="CK85" t="str">
        <f t="shared" si="252"/>
        <v>22 Health professionals</v>
      </c>
      <c r="CL85" s="17">
        <f t="shared" si="240"/>
        <v>8.5051685242082407</v>
      </c>
      <c r="CM85" s="17">
        <f t="shared" si="240"/>
        <v>-6.5615989130841985</v>
      </c>
      <c r="CN85" s="17">
        <f t="shared" si="240"/>
        <v>6.4763410410748845</v>
      </c>
      <c r="CO85" s="17">
        <f t="shared" si="240"/>
        <v>0.50712649333144455</v>
      </c>
      <c r="CP85" s="17">
        <f t="shared" si="241"/>
        <v>1.8702735494528389</v>
      </c>
      <c r="CR85" s="17">
        <f t="shared" si="242"/>
        <v>2.4587242382276164</v>
      </c>
      <c r="CS85" s="17">
        <f t="shared" si="243"/>
        <v>3.0018380032730496</v>
      </c>
      <c r="CT85" s="17">
        <f t="shared" si="244"/>
        <v>4.7222839288530993</v>
      </c>
    </row>
    <row r="86" spans="1:98" x14ac:dyDescent="0.2">
      <c r="A86" t="str">
        <f t="shared" si="199"/>
        <v>23 Teaching and other educational professionals</v>
      </c>
      <c r="B86" s="17">
        <f t="shared" si="200"/>
        <v>4.9980635673268159</v>
      </c>
      <c r="C86" s="17">
        <f t="shared" si="200"/>
        <v>-1.9897572868059266</v>
      </c>
      <c r="D86" s="17">
        <f t="shared" si="200"/>
        <v>1.9460062219492924</v>
      </c>
      <c r="E86" s="17">
        <f t="shared" si="200"/>
        <v>1.3137311585697642</v>
      </c>
      <c r="F86" s="17">
        <f t="shared" si="201"/>
        <v>1.3007948127291558</v>
      </c>
      <c r="H86" s="17">
        <f t="shared" si="202"/>
        <v>1.5240525957797457</v>
      </c>
      <c r="I86" s="17">
        <f t="shared" si="203"/>
        <v>2.8623024594896185</v>
      </c>
      <c r="J86" s="17">
        <f t="shared" si="204"/>
        <v>3.9255421501956933</v>
      </c>
      <c r="L86" t="str">
        <f t="shared" si="245"/>
        <v>23 Teaching and other educational professionals</v>
      </c>
      <c r="M86" s="17">
        <f t="shared" si="205"/>
        <v>6.4698998275886543</v>
      </c>
      <c r="N86" s="17">
        <f t="shared" si="205"/>
        <v>-3.5697663020688331</v>
      </c>
      <c r="O86" s="17">
        <f t="shared" si="205"/>
        <v>1.7873638524249946</v>
      </c>
      <c r="P86" s="17">
        <f t="shared" si="205"/>
        <v>1.3202509736195411</v>
      </c>
      <c r="Q86" s="17">
        <f t="shared" si="206"/>
        <v>1.1527793242310791</v>
      </c>
      <c r="S86" s="17">
        <f t="shared" si="207"/>
        <v>1.4757165983501519</v>
      </c>
      <c r="T86" s="17">
        <f t="shared" si="208"/>
        <v>2.9057771486865391</v>
      </c>
      <c r="U86" s="17">
        <f t="shared" si="209"/>
        <v>3.9285707193033925</v>
      </c>
      <c r="W86" t="str">
        <f t="shared" si="246"/>
        <v>23 Teaching and other educational professionals</v>
      </c>
      <c r="X86" s="17">
        <f t="shared" si="210"/>
        <v>-3.2540959213709253</v>
      </c>
      <c r="Y86" s="17">
        <f t="shared" si="210"/>
        <v>16.637955158621985</v>
      </c>
      <c r="Z86" s="17">
        <f t="shared" si="210"/>
        <v>-3.2772444541913637</v>
      </c>
      <c r="AA86" s="17">
        <f t="shared" si="210"/>
        <v>-1.7481416645092729</v>
      </c>
      <c r="AB86" s="17">
        <f t="shared" si="211"/>
        <v>-1.1746904402567981</v>
      </c>
      <c r="AD86" s="17">
        <f t="shared" si="212"/>
        <v>-2.2605098705984261</v>
      </c>
      <c r="AE86" s="17">
        <f t="shared" si="213"/>
        <v>2.4961675865515787</v>
      </c>
      <c r="AF86" s="17">
        <f t="shared" si="214"/>
        <v>0.97780107416562956</v>
      </c>
      <c r="AH86" t="str">
        <f t="shared" si="247"/>
        <v>23 Teaching and other educational professionals</v>
      </c>
      <c r="AI86" s="17">
        <f t="shared" si="215"/>
        <v>-13.462363969104951</v>
      </c>
      <c r="AJ86" s="17">
        <f t="shared" si="215"/>
        <v>2.4136454821696907</v>
      </c>
      <c r="AK86" s="17">
        <f t="shared" si="215"/>
        <v>-9.5608414091415064</v>
      </c>
      <c r="AL86" s="17">
        <f t="shared" si="215"/>
        <v>0.10634879436135503</v>
      </c>
      <c r="AM86" s="17">
        <f t="shared" si="216"/>
        <v>-2.882546143455611</v>
      </c>
      <c r="AO86" s="17">
        <f t="shared" si="217"/>
        <v>-3.2257267089162323</v>
      </c>
      <c r="AP86" s="17">
        <f t="shared" si="218"/>
        <v>1.1599114252777376</v>
      </c>
      <c r="AQ86" s="17">
        <f t="shared" si="219"/>
        <v>-1.4737236450257263</v>
      </c>
      <c r="AS86" t="str">
        <f t="shared" si="248"/>
        <v>23 Teaching and other educational professionals</v>
      </c>
      <c r="AT86" s="17">
        <f t="shared" si="220"/>
        <v>-2.5120561195996594</v>
      </c>
      <c r="AU86" s="17">
        <f t="shared" si="220"/>
        <v>21.931792980301612</v>
      </c>
      <c r="AV86" s="17">
        <f t="shared" si="220"/>
        <v>-3.3722814580088523</v>
      </c>
      <c r="AW86" s="17">
        <f t="shared" si="220"/>
        <v>-0.84091970310978814</v>
      </c>
      <c r="AX86" s="17">
        <f t="shared" si="221"/>
        <v>-0.35984246014896248</v>
      </c>
      <c r="AZ86" s="17">
        <f t="shared" si="222"/>
        <v>-1.6919907010657265</v>
      </c>
      <c r="BA86" s="17">
        <f t="shared" si="223"/>
        <v>2.2981256552869977</v>
      </c>
      <c r="BB86" s="17">
        <f t="shared" si="224"/>
        <v>1.1110337882011434</v>
      </c>
      <c r="BD86" t="str">
        <f t="shared" si="249"/>
        <v>23 Teaching and other educational professionals</v>
      </c>
      <c r="BE86" s="17">
        <f t="shared" si="225"/>
        <v>3.1995514187571183</v>
      </c>
      <c r="BF86" s="17">
        <f t="shared" si="225"/>
        <v>13.965338259962291</v>
      </c>
      <c r="BG86" s="17">
        <f t="shared" si="225"/>
        <v>-2.3718706171471649E-2</v>
      </c>
      <c r="BH86" s="17">
        <f t="shared" si="225"/>
        <v>1.5525615350154176</v>
      </c>
      <c r="BI86" s="17">
        <f t="shared" si="226"/>
        <v>1.7883106000105009</v>
      </c>
      <c r="BK86" s="17">
        <f t="shared" si="227"/>
        <v>1.0243925742221549</v>
      </c>
      <c r="BL86" s="17">
        <f t="shared" si="228"/>
        <v>2.545357214571875</v>
      </c>
      <c r="BM86" s="17">
        <f t="shared" si="229"/>
        <v>3.2817127918849831</v>
      </c>
      <c r="BO86" t="str">
        <f t="shared" si="250"/>
        <v>23 Teaching and other educational professionals</v>
      </c>
      <c r="BP86" s="17">
        <f t="shared" si="230"/>
        <v>0.45796617500606374</v>
      </c>
      <c r="BQ86" s="17">
        <f t="shared" si="230"/>
        <v>14.627698735391936</v>
      </c>
      <c r="BR86" s="17">
        <f t="shared" si="230"/>
        <v>-3.1467314676838387</v>
      </c>
      <c r="BS86" s="17">
        <f t="shared" si="230"/>
        <v>-2.1915592546234652</v>
      </c>
      <c r="BT86" s="17">
        <f t="shared" si="231"/>
        <v>-1.5192106316872733</v>
      </c>
      <c r="BV86" s="17">
        <f t="shared" si="232"/>
        <v>-2.5109920931372209</v>
      </c>
      <c r="BW86" s="17">
        <f t="shared" si="233"/>
        <v>2.2472863388161457</v>
      </c>
      <c r="BX86" s="17">
        <f t="shared" si="234"/>
        <v>0.50517822009110702</v>
      </c>
      <c r="BZ86" t="str">
        <f t="shared" si="251"/>
        <v>23 Teaching and other educational professionals</v>
      </c>
      <c r="CA86" s="17">
        <f t="shared" si="235"/>
        <v>-2.3753177524217906</v>
      </c>
      <c r="CB86" s="17">
        <f t="shared" si="235"/>
        <v>20.805722343972597</v>
      </c>
      <c r="CC86" s="17">
        <f t="shared" si="235"/>
        <v>-0.74373132000703501</v>
      </c>
      <c r="CD86" s="17">
        <f t="shared" si="235"/>
        <v>-2.8208068340861203</v>
      </c>
      <c r="CE86" s="17">
        <f t="shared" si="236"/>
        <v>-0.83677727729272178</v>
      </c>
      <c r="CG86" s="17">
        <f t="shared" si="237"/>
        <v>-2.1333233246642269</v>
      </c>
      <c r="CH86" s="17">
        <f t="shared" si="238"/>
        <v>2.2634199258044108</v>
      </c>
      <c r="CI86" s="17">
        <f t="shared" si="239"/>
        <v>0.77395127328216962</v>
      </c>
      <c r="CK86" t="str">
        <f t="shared" si="252"/>
        <v>23 Teaching and other educational professionals</v>
      </c>
      <c r="CL86" s="17">
        <f t="shared" si="240"/>
        <v>7.9977250641092734</v>
      </c>
      <c r="CM86" s="17">
        <f t="shared" si="240"/>
        <v>16.745027375800859</v>
      </c>
      <c r="CN86" s="17">
        <f t="shared" si="240"/>
        <v>5.8897473812078882</v>
      </c>
      <c r="CO86" s="17">
        <f t="shared" si="240"/>
        <v>-0.781222289425898</v>
      </c>
      <c r="CP86" s="17">
        <f t="shared" si="241"/>
        <v>2.2917049778839793</v>
      </c>
      <c r="CR86" s="17">
        <f t="shared" si="242"/>
        <v>1.3943804300164064</v>
      </c>
      <c r="CS86" s="17">
        <f t="shared" si="243"/>
        <v>3.0486056760494762</v>
      </c>
      <c r="CT86" s="17">
        <f t="shared" si="244"/>
        <v>3.9959466722307102</v>
      </c>
    </row>
    <row r="87" spans="1:98" x14ac:dyDescent="0.2">
      <c r="A87" t="str">
        <f t="shared" si="199"/>
        <v>24 Business, media and public service professionals</v>
      </c>
      <c r="B87" s="17">
        <f t="shared" si="200"/>
        <v>9.788233027288463</v>
      </c>
      <c r="C87" s="17">
        <f t="shared" si="200"/>
        <v>1.2416211445001046</v>
      </c>
      <c r="D87" s="17">
        <f t="shared" si="200"/>
        <v>5.8343746399820873</v>
      </c>
      <c r="E87" s="17">
        <f t="shared" si="200"/>
        <v>3.1975349946119502</v>
      </c>
      <c r="F87" s="17">
        <f t="shared" si="201"/>
        <v>3.8900916134660068</v>
      </c>
      <c r="H87" s="17">
        <f t="shared" si="202"/>
        <v>4.069099933232545</v>
      </c>
      <c r="I87" s="17">
        <f t="shared" si="203"/>
        <v>3.5815274259677787</v>
      </c>
      <c r="J87" s="17">
        <f t="shared" si="204"/>
        <v>6.3392669539522162</v>
      </c>
      <c r="L87" t="str">
        <f t="shared" si="245"/>
        <v>24 Business, media and public service professionals</v>
      </c>
      <c r="M87" s="17">
        <f t="shared" si="205"/>
        <v>10.891032726077476</v>
      </c>
      <c r="N87" s="17">
        <f t="shared" si="205"/>
        <v>1.3000985313950553</v>
      </c>
      <c r="O87" s="17">
        <f t="shared" si="205"/>
        <v>4.5850112603775806</v>
      </c>
      <c r="P87" s="17">
        <f t="shared" si="205"/>
        <v>2.6716555869559233</v>
      </c>
      <c r="Q87" s="17">
        <f t="shared" si="206"/>
        <v>3.1790256227731239</v>
      </c>
      <c r="S87" s="17">
        <f t="shared" si="207"/>
        <v>3.3055194735071014</v>
      </c>
      <c r="T87" s="17">
        <f t="shared" si="208"/>
        <v>3.3237374218183735</v>
      </c>
      <c r="U87" s="17">
        <f t="shared" si="209"/>
        <v>5.5918279646846925</v>
      </c>
      <c r="W87" t="str">
        <f t="shared" si="246"/>
        <v>24 Business, media and public service professionals</v>
      </c>
      <c r="X87" s="17">
        <f t="shared" si="210"/>
        <v>2.668581722175678</v>
      </c>
      <c r="Y87" s="17">
        <f t="shared" si="210"/>
        <v>23.08957758363881</v>
      </c>
      <c r="Z87" s="17">
        <f t="shared" si="210"/>
        <v>2.1709164693620497</v>
      </c>
      <c r="AA87" s="17">
        <f t="shared" si="210"/>
        <v>1.4381123996138001</v>
      </c>
      <c r="AB87" s="17">
        <f t="shared" si="211"/>
        <v>2.9033071023480961</v>
      </c>
      <c r="AD87" s="17">
        <f t="shared" si="212"/>
        <v>1.6817945627261688</v>
      </c>
      <c r="AE87" s="17">
        <f t="shared" si="213"/>
        <v>3.267795774940363</v>
      </c>
      <c r="AF87" s="17">
        <f t="shared" si="214"/>
        <v>4.386863059721624</v>
      </c>
      <c r="AH87" t="str">
        <f t="shared" si="247"/>
        <v>24 Business, media and public service professionals</v>
      </c>
      <c r="AI87" s="17">
        <f t="shared" si="215"/>
        <v>-2.0638690382683955</v>
      </c>
      <c r="AJ87" s="17">
        <f t="shared" si="215"/>
        <v>18.391447101346014</v>
      </c>
      <c r="AK87" s="17">
        <f t="shared" si="215"/>
        <v>-6.6896020255047262E-2</v>
      </c>
      <c r="AL87" s="17">
        <f t="shared" si="215"/>
        <v>1.3297898517266704</v>
      </c>
      <c r="AM87" s="17">
        <f t="shared" si="216"/>
        <v>1.8772971975432817</v>
      </c>
      <c r="AO87" s="17">
        <f t="shared" si="217"/>
        <v>0.86207232791570831</v>
      </c>
      <c r="AP87" s="17">
        <f t="shared" si="218"/>
        <v>2.3318269073993481</v>
      </c>
      <c r="AQ87" s="17">
        <f t="shared" si="219"/>
        <v>2.9669001708074738</v>
      </c>
      <c r="AS87" t="str">
        <f t="shared" si="248"/>
        <v>24 Business, media and public service professionals</v>
      </c>
      <c r="AT87" s="17">
        <f t="shared" si="220"/>
        <v>0.62979628797588116</v>
      </c>
      <c r="AU87" s="17">
        <f t="shared" si="220"/>
        <v>29.012582603399384</v>
      </c>
      <c r="AV87" s="17">
        <f t="shared" si="220"/>
        <v>1.818746659263315</v>
      </c>
      <c r="AW87" s="17">
        <f t="shared" si="220"/>
        <v>1.6929977865122625</v>
      </c>
      <c r="AX87" s="17">
        <f t="shared" si="221"/>
        <v>3.2565431281356361</v>
      </c>
      <c r="AZ87" s="17">
        <f t="shared" si="222"/>
        <v>1.7348968120375785</v>
      </c>
      <c r="BA87" s="17">
        <f t="shared" si="223"/>
        <v>3.0337134128764376</v>
      </c>
      <c r="BB87" s="17">
        <f t="shared" si="224"/>
        <v>4.2238632852551916</v>
      </c>
      <c r="BD87" t="str">
        <f t="shared" si="249"/>
        <v>24 Business, media and public service professionals</v>
      </c>
      <c r="BE87" s="17">
        <f t="shared" si="225"/>
        <v>6.468419794885194</v>
      </c>
      <c r="BF87" s="17">
        <f t="shared" si="225"/>
        <v>7.7860480667816256</v>
      </c>
      <c r="BG87" s="17">
        <f t="shared" si="225"/>
        <v>1.6779642482314783</v>
      </c>
      <c r="BH87" s="17">
        <f t="shared" si="225"/>
        <v>1.030674877211224</v>
      </c>
      <c r="BI87" s="17">
        <f t="shared" si="226"/>
        <v>1.6428494034827157</v>
      </c>
      <c r="BK87" s="17">
        <f t="shared" si="227"/>
        <v>1.2459788459966425</v>
      </c>
      <c r="BL87" s="17">
        <f t="shared" si="228"/>
        <v>2.6109399482304063</v>
      </c>
      <c r="BM87" s="17">
        <f t="shared" si="229"/>
        <v>3.5031016017235794</v>
      </c>
      <c r="BO87" t="str">
        <f t="shared" si="250"/>
        <v>24 Business, media and public service professionals</v>
      </c>
      <c r="BP87" s="17">
        <f t="shared" si="230"/>
        <v>3.5818234123970782</v>
      </c>
      <c r="BQ87" s="17">
        <f t="shared" si="230"/>
        <v>8.9010272298439617</v>
      </c>
      <c r="BR87" s="17">
        <f t="shared" si="230"/>
        <v>-1.371445647587699</v>
      </c>
      <c r="BS87" s="17">
        <f t="shared" si="230"/>
        <v>-1.8834911688118017</v>
      </c>
      <c r="BT87" s="17">
        <f t="shared" si="231"/>
        <v>-1.0811323205492385</v>
      </c>
      <c r="BV87" s="17">
        <f t="shared" si="232"/>
        <v>-1.7131053858188028</v>
      </c>
      <c r="BW87" s="17">
        <f t="shared" si="233"/>
        <v>2.13944500976051</v>
      </c>
      <c r="BX87" s="17">
        <f t="shared" si="234"/>
        <v>0.90917990992605002</v>
      </c>
      <c r="BZ87" t="str">
        <f t="shared" si="251"/>
        <v>24 Business, media and public service professionals</v>
      </c>
      <c r="CA87" s="17">
        <f t="shared" si="235"/>
        <v>1.3300232485064623</v>
      </c>
      <c r="CB87" s="17">
        <f t="shared" si="235"/>
        <v>16.095182772501104</v>
      </c>
      <c r="CC87" s="17">
        <f t="shared" si="235"/>
        <v>-0.32845203170478454</v>
      </c>
      <c r="CD87" s="17">
        <f t="shared" si="235"/>
        <v>-3.7110175194857487</v>
      </c>
      <c r="CE87" s="17">
        <f t="shared" si="236"/>
        <v>-1.521877107495806</v>
      </c>
      <c r="CG87" s="17">
        <f t="shared" si="237"/>
        <v>-2.5964469207830465</v>
      </c>
      <c r="CH87" s="17">
        <f t="shared" si="238"/>
        <v>2.0790788520310244</v>
      </c>
      <c r="CI87" s="17">
        <f t="shared" si="239"/>
        <v>0.23313123588286633</v>
      </c>
      <c r="CK87" t="str">
        <f t="shared" si="252"/>
        <v>24 Business, media and public service professionals</v>
      </c>
      <c r="CL87" s="17">
        <f t="shared" si="240"/>
        <v>8.1288318784556104</v>
      </c>
      <c r="CM87" s="17">
        <f t="shared" si="240"/>
        <v>-1.5973774305481192</v>
      </c>
      <c r="CN87" s="17">
        <f t="shared" si="240"/>
        <v>4.0376319751665557</v>
      </c>
      <c r="CO87" s="17">
        <f t="shared" si="240"/>
        <v>-1.2692149696829524</v>
      </c>
      <c r="CP87" s="17">
        <f t="shared" si="241"/>
        <v>0.3385461950972779</v>
      </c>
      <c r="CR87" s="17">
        <f t="shared" si="242"/>
        <v>0.46895374220707886</v>
      </c>
      <c r="CS87" s="17">
        <f t="shared" si="243"/>
        <v>2.4677223227953737</v>
      </c>
      <c r="CT87" s="17">
        <f t="shared" si="244"/>
        <v>2.8043942787822518</v>
      </c>
    </row>
    <row r="88" spans="1:98" x14ac:dyDescent="0.2">
      <c r="A88" t="str">
        <f t="shared" si="199"/>
        <v>31 Science, engineering and technology associate professionals</v>
      </c>
      <c r="B88" s="17">
        <f t="shared" si="200"/>
        <v>11.917073808546142</v>
      </c>
      <c r="C88" s="17">
        <f t="shared" si="200"/>
        <v>2.3823255035126278</v>
      </c>
      <c r="D88" s="17">
        <f t="shared" si="200"/>
        <v>2.3986380635091731</v>
      </c>
      <c r="E88" s="17">
        <f t="shared" si="200"/>
        <v>3.761649410186374</v>
      </c>
      <c r="F88" s="17">
        <f t="shared" si="201"/>
        <v>3.2473788404676851</v>
      </c>
      <c r="H88" s="17">
        <f t="shared" si="202"/>
        <v>3.3053082598228922</v>
      </c>
      <c r="I88" s="17">
        <f t="shared" si="203"/>
        <v>3.0062549191608445</v>
      </c>
      <c r="J88" s="17">
        <f t="shared" si="204"/>
        <v>5.358820282034138</v>
      </c>
      <c r="L88" t="str">
        <f t="shared" si="245"/>
        <v>31 Science, engineering and technology associate professionals</v>
      </c>
      <c r="M88" s="17">
        <f t="shared" si="205"/>
        <v>10.02887747709944</v>
      </c>
      <c r="N88" s="17">
        <f t="shared" si="205"/>
        <v>1.0347640786210199</v>
      </c>
      <c r="O88" s="17">
        <f t="shared" si="205"/>
        <v>1.3438571641392505</v>
      </c>
      <c r="P88" s="17">
        <f t="shared" si="205"/>
        <v>3.1974112783426545</v>
      </c>
      <c r="Q88" s="17">
        <f t="shared" si="206"/>
        <v>2.4788222675592886</v>
      </c>
      <c r="S88" s="17">
        <f t="shared" si="207"/>
        <v>2.5758234205528474</v>
      </c>
      <c r="T88" s="17">
        <f t="shared" si="208"/>
        <v>2.7257566419683688</v>
      </c>
      <c r="U88" s="17">
        <f t="shared" si="209"/>
        <v>4.5932299403274923</v>
      </c>
      <c r="W88" t="str">
        <f t="shared" si="246"/>
        <v>31 Science, engineering and technology associate professionals</v>
      </c>
      <c r="X88" s="17">
        <f t="shared" si="210"/>
        <v>4.0513713276698837</v>
      </c>
      <c r="Y88" s="17">
        <f t="shared" si="210"/>
        <v>16.654103824729695</v>
      </c>
      <c r="Z88" s="17">
        <f t="shared" si="210"/>
        <v>-1.5561652792952185</v>
      </c>
      <c r="AA88" s="17">
        <f t="shared" si="210"/>
        <v>1.3885765607275058</v>
      </c>
      <c r="AB88" s="17">
        <f t="shared" si="211"/>
        <v>1.3434782529219369</v>
      </c>
      <c r="AD88" s="17">
        <f t="shared" si="212"/>
        <v>0.39733652815687748</v>
      </c>
      <c r="AE88" s="17">
        <f t="shared" si="213"/>
        <v>2.4273802202250616</v>
      </c>
      <c r="AF88" s="17">
        <f t="shared" si="214"/>
        <v>2.7137540346060307</v>
      </c>
      <c r="AH88" t="str">
        <f t="shared" si="247"/>
        <v>31 Science, engineering and technology associate professionals</v>
      </c>
      <c r="AI88" s="17">
        <f t="shared" si="215"/>
        <v>2.4014263589296814</v>
      </c>
      <c r="AJ88" s="17">
        <f t="shared" si="215"/>
        <v>24.013403770542041</v>
      </c>
      <c r="AK88" s="17">
        <f t="shared" si="215"/>
        <v>0.33877705123470658</v>
      </c>
      <c r="AL88" s="17">
        <f t="shared" si="215"/>
        <v>3.0044414265012032</v>
      </c>
      <c r="AM88" s="17">
        <f t="shared" si="216"/>
        <v>3.3560158605618007</v>
      </c>
      <c r="AO88" s="17">
        <f t="shared" si="217"/>
        <v>2.1081094890546659</v>
      </c>
      <c r="AP88" s="17">
        <f t="shared" si="218"/>
        <v>2.8449360207425833</v>
      </c>
      <c r="AQ88" s="17">
        <f t="shared" si="219"/>
        <v>4.3373132178280205</v>
      </c>
      <c r="AS88" t="str">
        <f t="shared" si="248"/>
        <v>31 Science, engineering and technology associate professionals</v>
      </c>
      <c r="AT88" s="17">
        <f t="shared" si="220"/>
        <v>-8.0884215066090448E-2</v>
      </c>
      <c r="AU88" s="17">
        <f t="shared" si="220"/>
        <v>22.922064459475578</v>
      </c>
      <c r="AV88" s="17">
        <f t="shared" si="220"/>
        <v>-4.1641705467646561</v>
      </c>
      <c r="AW88" s="17">
        <f t="shared" si="220"/>
        <v>0.43100141235012934</v>
      </c>
      <c r="AX88" s="17">
        <f t="shared" si="221"/>
        <v>0.22976374689138712</v>
      </c>
      <c r="AZ88" s="17">
        <f t="shared" si="222"/>
        <v>-1.1246962344226397</v>
      </c>
      <c r="BA88" s="17">
        <f t="shared" si="223"/>
        <v>1.8572061048270694</v>
      </c>
      <c r="BB88" s="17">
        <f t="shared" si="224"/>
        <v>1.0050097361748778</v>
      </c>
      <c r="BD88" t="str">
        <f t="shared" si="249"/>
        <v>31 Science, engineering and technology associate professionals</v>
      </c>
      <c r="BE88" s="17">
        <f t="shared" si="225"/>
        <v>5.1175895692945561</v>
      </c>
      <c r="BF88" s="17">
        <f t="shared" si="225"/>
        <v>4.5518358902417067</v>
      </c>
      <c r="BG88" s="17">
        <f t="shared" si="225"/>
        <v>-4.4760674083693992</v>
      </c>
      <c r="BH88" s="17">
        <f t="shared" si="225"/>
        <v>-0.65783368649708907</v>
      </c>
      <c r="BI88" s="17">
        <f t="shared" si="226"/>
        <v>-1.5531542564674483</v>
      </c>
      <c r="BK88" s="17">
        <f t="shared" si="227"/>
        <v>-1.9472416766551537</v>
      </c>
      <c r="BL88" s="17">
        <f t="shared" si="228"/>
        <v>1.6968940791258103</v>
      </c>
      <c r="BM88" s="17">
        <f t="shared" si="229"/>
        <v>0.20804151146851524</v>
      </c>
      <c r="BO88" t="str">
        <f t="shared" si="250"/>
        <v>31 Science, engineering and technology associate professionals</v>
      </c>
      <c r="BP88" s="17">
        <f t="shared" si="230"/>
        <v>4.7025324206692698</v>
      </c>
      <c r="BQ88" s="17">
        <f t="shared" si="230"/>
        <v>5.046034672240296</v>
      </c>
      <c r="BR88" s="17">
        <f t="shared" si="230"/>
        <v>-4.9514631854979507</v>
      </c>
      <c r="BS88" s="17">
        <f t="shared" si="230"/>
        <v>-0.79814972954894703</v>
      </c>
      <c r="BT88" s="17">
        <f t="shared" si="231"/>
        <v>-1.7643698369609218</v>
      </c>
      <c r="BV88" s="17">
        <f t="shared" si="232"/>
        <v>-2.20237077638471</v>
      </c>
      <c r="BW88" s="17">
        <f t="shared" si="233"/>
        <v>1.7563915266973984</v>
      </c>
      <c r="BX88" s="17">
        <f t="shared" si="234"/>
        <v>9.58231717749225E-2</v>
      </c>
      <c r="BZ88" t="str">
        <f t="shared" si="251"/>
        <v>31 Science, engineering and technology associate professionals</v>
      </c>
      <c r="CA88" s="17">
        <f t="shared" si="235"/>
        <v>3.5934174090760607</v>
      </c>
      <c r="CB88" s="17">
        <f t="shared" si="235"/>
        <v>15.434890810723466</v>
      </c>
      <c r="CC88" s="17">
        <f t="shared" si="235"/>
        <v>-5.2550082893134231</v>
      </c>
      <c r="CD88" s="17">
        <f t="shared" si="235"/>
        <v>-2.2913381813246647</v>
      </c>
      <c r="CE88" s="17">
        <f t="shared" si="236"/>
        <v>-2.2136881701818267</v>
      </c>
      <c r="CG88" s="17">
        <f t="shared" si="237"/>
        <v>-3.289388136733129</v>
      </c>
      <c r="CH88" s="17">
        <f t="shared" si="238"/>
        <v>1.619691414784219</v>
      </c>
      <c r="CI88" s="17">
        <f t="shared" si="239"/>
        <v>-0.86343630680046912</v>
      </c>
      <c r="CK88" t="str">
        <f t="shared" si="252"/>
        <v>31 Science, engineering and technology associate professionals</v>
      </c>
      <c r="CL88" s="17">
        <f t="shared" si="240"/>
        <v>8.5335488630353673</v>
      </c>
      <c r="CM88" s="17">
        <f t="shared" si="240"/>
        <v>10.024864076265573</v>
      </c>
      <c r="CN88" s="17">
        <f t="shared" si="240"/>
        <v>2.663875018700157</v>
      </c>
      <c r="CO88" s="17">
        <f t="shared" si="240"/>
        <v>0.11154089557863234</v>
      </c>
      <c r="CP88" s="17">
        <f t="shared" si="241"/>
        <v>1.4994725044098045</v>
      </c>
      <c r="CR88" s="17">
        <f t="shared" si="242"/>
        <v>0.95518946671533378</v>
      </c>
      <c r="CS88" s="17">
        <f t="shared" si="243"/>
        <v>2.5013890050796128</v>
      </c>
      <c r="CT88" s="17">
        <f t="shared" si="244"/>
        <v>3.1909528886444605</v>
      </c>
    </row>
    <row r="89" spans="1:98" x14ac:dyDescent="0.2">
      <c r="A89" t="str">
        <f t="shared" si="199"/>
        <v>32 Health and social care associate professionals</v>
      </c>
      <c r="B89" s="17">
        <f t="shared" si="200"/>
        <v>13.302287731521179</v>
      </c>
      <c r="C89" s="17">
        <f t="shared" si="200"/>
        <v>-27.017540079599446</v>
      </c>
      <c r="D89" s="17">
        <f t="shared" si="200"/>
        <v>5.5357304443924393</v>
      </c>
      <c r="E89" s="17">
        <f t="shared" si="200"/>
        <v>3.8989194295353968</v>
      </c>
      <c r="F89" s="17">
        <f t="shared" si="201"/>
        <v>2.1281348370014053</v>
      </c>
      <c r="H89" s="17">
        <f t="shared" si="202"/>
        <v>4.4416827920543911</v>
      </c>
      <c r="I89" s="17">
        <f t="shared" si="203"/>
        <v>4.0284042251643504</v>
      </c>
      <c r="J89" s="17">
        <f t="shared" si="204"/>
        <v>6.9179896926412354</v>
      </c>
      <c r="L89" t="str">
        <f t="shared" si="245"/>
        <v>32 Health and social care associate professionals</v>
      </c>
      <c r="M89" s="17">
        <f t="shared" si="205"/>
        <v>12.577233088729756</v>
      </c>
      <c r="N89" s="17">
        <f t="shared" si="205"/>
        <v>-13.036612223137068</v>
      </c>
      <c r="O89" s="17">
        <f t="shared" si="205"/>
        <v>4.3078376898365578</v>
      </c>
      <c r="P89" s="17">
        <f t="shared" si="205"/>
        <v>3.3142623965606965</v>
      </c>
      <c r="Q89" s="17">
        <f t="shared" si="206"/>
        <v>2.5138979563660735</v>
      </c>
      <c r="S89" s="17">
        <f t="shared" si="207"/>
        <v>3.6443981047013185</v>
      </c>
      <c r="T89" s="17">
        <f t="shared" si="208"/>
        <v>3.5742172458488097</v>
      </c>
      <c r="U89" s="17">
        <f t="shared" si="209"/>
        <v>6.0225397058943253</v>
      </c>
      <c r="W89" t="str">
        <f t="shared" si="246"/>
        <v>32 Health and social care associate professionals</v>
      </c>
      <c r="X89" s="17">
        <f t="shared" si="210"/>
        <v>4.6877043840411359</v>
      </c>
      <c r="Y89" s="17">
        <f t="shared" si="210"/>
        <v>3.3590199942421739</v>
      </c>
      <c r="Z89" s="17">
        <f t="shared" si="210"/>
        <v>2.9993059526372878</v>
      </c>
      <c r="AA89" s="17">
        <f t="shared" si="210"/>
        <v>2.6830506120026465</v>
      </c>
      <c r="AB89" s="17">
        <f t="shared" si="211"/>
        <v>2.8239347168308226</v>
      </c>
      <c r="AD89" s="17">
        <f t="shared" si="212"/>
        <v>2.7883610169724848</v>
      </c>
      <c r="AE89" s="17">
        <f t="shared" si="213"/>
        <v>4.0443546384639539</v>
      </c>
      <c r="AF89" s="17">
        <f t="shared" si="214"/>
        <v>5.7803340445149454</v>
      </c>
      <c r="AH89" t="str">
        <f t="shared" si="247"/>
        <v>32 Health and social care associate professionals</v>
      </c>
      <c r="AI89" s="17">
        <f t="shared" si="215"/>
        <v>-3.4643650945377358</v>
      </c>
      <c r="AJ89" s="17">
        <f t="shared" si="215"/>
        <v>-1.0718202336482907</v>
      </c>
      <c r="AK89" s="17">
        <f t="shared" si="215"/>
        <v>-5.1678628076824555</v>
      </c>
      <c r="AL89" s="17">
        <f t="shared" si="215"/>
        <v>-4.8356316302680895</v>
      </c>
      <c r="AM89" s="17">
        <f t="shared" si="216"/>
        <v>-4.7088457099993875</v>
      </c>
      <c r="AO89" s="17">
        <f t="shared" si="217"/>
        <v>-4.9465044801881959</v>
      </c>
      <c r="AP89" s="17">
        <f t="shared" si="218"/>
        <v>1.7947882243180002</v>
      </c>
      <c r="AQ89" s="17">
        <f t="shared" si="219"/>
        <v>-1.7015256835825276</v>
      </c>
      <c r="AS89" t="str">
        <f t="shared" si="248"/>
        <v>32 Health and social care associate professionals</v>
      </c>
      <c r="AT89" s="17">
        <f t="shared" si="220"/>
        <v>4.2726281647499587</v>
      </c>
      <c r="AU89" s="17">
        <f t="shared" si="220"/>
        <v>11.085232234900943</v>
      </c>
      <c r="AV89" s="17">
        <f t="shared" si="220"/>
        <v>-0.2552980770096136</v>
      </c>
      <c r="AW89" s="17">
        <f t="shared" si="220"/>
        <v>1.4487134683997649</v>
      </c>
      <c r="AX89" s="17">
        <f t="shared" si="221"/>
        <v>1.487063003406397</v>
      </c>
      <c r="AZ89" s="17">
        <f t="shared" si="222"/>
        <v>0.8774993956238708</v>
      </c>
      <c r="BA89" s="17">
        <f t="shared" si="223"/>
        <v>3.2310312726891999</v>
      </c>
      <c r="BB89" s="17">
        <f t="shared" si="224"/>
        <v>3.8061503462949675</v>
      </c>
      <c r="BD89" t="str">
        <f t="shared" si="249"/>
        <v>32 Health and social care associate professionals</v>
      </c>
      <c r="BE89" s="17">
        <f t="shared" si="225"/>
        <v>5.8694920629942526</v>
      </c>
      <c r="BF89" s="17">
        <f t="shared" si="225"/>
        <v>8.8381776470886741</v>
      </c>
      <c r="BG89" s="17">
        <f t="shared" si="225"/>
        <v>-0.13256631247352546</v>
      </c>
      <c r="BH89" s="17">
        <f t="shared" si="225"/>
        <v>1.1147428514655999</v>
      </c>
      <c r="BI89" s="17">
        <f t="shared" si="226"/>
        <v>1.1877281953933672</v>
      </c>
      <c r="BK89" s="17">
        <f t="shared" si="227"/>
        <v>0.69725172983916561</v>
      </c>
      <c r="BL89" s="17">
        <f t="shared" si="228"/>
        <v>3.1307460919046459</v>
      </c>
      <c r="BM89" s="17">
        <f t="shared" si="229"/>
        <v>3.5916780318175467</v>
      </c>
      <c r="BO89" t="str">
        <f t="shared" si="250"/>
        <v>32 Health and social care associate professionals</v>
      </c>
      <c r="BP89" s="17">
        <f t="shared" si="230"/>
        <v>3.1677819628500137</v>
      </c>
      <c r="BQ89" s="17">
        <f t="shared" si="230"/>
        <v>2.3567003112919815</v>
      </c>
      <c r="BR89" s="17">
        <f t="shared" si="230"/>
        <v>-2.8841954362572753</v>
      </c>
      <c r="BS89" s="17">
        <f t="shared" si="230"/>
        <v>-2.510868275309075</v>
      </c>
      <c r="BT89" s="17">
        <f t="shared" si="231"/>
        <v>-2.3307188131101664</v>
      </c>
      <c r="BV89" s="17">
        <f t="shared" si="232"/>
        <v>-2.6354698486273365</v>
      </c>
      <c r="BW89" s="17">
        <f t="shared" si="233"/>
        <v>2.5198494010886696</v>
      </c>
      <c r="BX89" s="17">
        <f t="shared" si="234"/>
        <v>0.77284549360718824</v>
      </c>
      <c r="BZ89" t="str">
        <f t="shared" si="251"/>
        <v>32 Health and social care associate professionals</v>
      </c>
      <c r="CA89" s="17">
        <f t="shared" si="235"/>
        <v>-6.4038241879349478</v>
      </c>
      <c r="CB89" s="17">
        <f t="shared" si="235"/>
        <v>1.3957326194047326E-2</v>
      </c>
      <c r="CC89" s="17">
        <f t="shared" si="235"/>
        <v>-1.0861088875745328</v>
      </c>
      <c r="CD89" s="17">
        <f t="shared" si="235"/>
        <v>-4.2495158428850317</v>
      </c>
      <c r="CE89" s="17">
        <f t="shared" si="236"/>
        <v>-3.0082485099593548</v>
      </c>
      <c r="CG89" s="17">
        <f t="shared" si="237"/>
        <v>-3.2064508242799605</v>
      </c>
      <c r="CH89" s="17">
        <f t="shared" si="238"/>
        <v>2.0739680452789955</v>
      </c>
      <c r="CI89" s="17">
        <f t="shared" si="239"/>
        <v>-0.17604893913183428</v>
      </c>
      <c r="CK89" t="str">
        <f t="shared" si="252"/>
        <v>32 Health and social care associate professionals</v>
      </c>
      <c r="CL89" s="17">
        <f t="shared" si="240"/>
        <v>3.0501909544831785</v>
      </c>
      <c r="CM89" s="17">
        <f t="shared" si="240"/>
        <v>-4.0731137423745345</v>
      </c>
      <c r="CN89" s="17">
        <f t="shared" si="240"/>
        <v>4.5177444759191276</v>
      </c>
      <c r="CO89" s="17">
        <f t="shared" si="240"/>
        <v>1.2472971188790094</v>
      </c>
      <c r="CP89" s="17">
        <f t="shared" si="241"/>
        <v>1.9137552895472476</v>
      </c>
      <c r="CR89" s="17">
        <f t="shared" si="242"/>
        <v>2.3259146009024345</v>
      </c>
      <c r="CS89" s="17">
        <f t="shared" si="243"/>
        <v>3.0917062607614731</v>
      </c>
      <c r="CT89" s="17">
        <f t="shared" si="244"/>
        <v>4.6970213007387018</v>
      </c>
    </row>
    <row r="90" spans="1:98" x14ac:dyDescent="0.2">
      <c r="A90" t="str">
        <f t="shared" si="199"/>
        <v>33 Protective service occupations</v>
      </c>
      <c r="B90" s="17">
        <f t="shared" si="200"/>
        <v>8.1814308985437521</v>
      </c>
      <c r="C90" s="17">
        <f t="shared" si="200"/>
        <v>-5.4128167597476402</v>
      </c>
      <c r="D90" s="17">
        <f t="shared" si="200"/>
        <v>9.4045439552781662</v>
      </c>
      <c r="E90" s="17">
        <f t="shared" si="200"/>
        <v>5.0858332992926636</v>
      </c>
      <c r="F90" s="17">
        <f t="shared" si="201"/>
        <v>5.7190315519779489</v>
      </c>
      <c r="H90" s="17">
        <f t="shared" si="202"/>
        <v>6.5061211335332603</v>
      </c>
      <c r="I90" s="17">
        <f t="shared" si="203"/>
        <v>3.5036050919328376</v>
      </c>
      <c r="J90" s="17">
        <f t="shared" si="204"/>
        <v>8.1752937577749698</v>
      </c>
      <c r="L90" t="str">
        <f t="shared" si="245"/>
        <v>33 Protective service occupations</v>
      </c>
      <c r="M90" s="17">
        <f t="shared" si="205"/>
        <v>6.5161980159575084</v>
      </c>
      <c r="N90" s="17">
        <f t="shared" si="205"/>
        <v>0.34101654424461003</v>
      </c>
      <c r="O90" s="17">
        <f t="shared" si="205"/>
        <v>8.9603856272998819</v>
      </c>
      <c r="P90" s="17">
        <f t="shared" si="205"/>
        <v>4.8790124042776162</v>
      </c>
      <c r="Q90" s="17">
        <f t="shared" si="206"/>
        <v>5.8447256673327619</v>
      </c>
      <c r="S90" s="17">
        <f t="shared" si="207"/>
        <v>6.222194617377097</v>
      </c>
      <c r="T90" s="17">
        <f t="shared" si="208"/>
        <v>3.1015661559220309</v>
      </c>
      <c r="U90" s="17">
        <f t="shared" si="209"/>
        <v>7.7274780421627831</v>
      </c>
      <c r="W90" t="str">
        <f t="shared" si="246"/>
        <v>33 Protective service occupations</v>
      </c>
      <c r="X90" s="17">
        <f t="shared" si="210"/>
        <v>1.5104683845398537</v>
      </c>
      <c r="Y90" s="17">
        <f t="shared" si="210"/>
        <v>19.240635651102611</v>
      </c>
      <c r="Z90" s="17">
        <f t="shared" si="210"/>
        <v>5.9965887333095713</v>
      </c>
      <c r="AA90" s="17">
        <f t="shared" si="210"/>
        <v>3.9062891693190327</v>
      </c>
      <c r="AB90" s="17">
        <f t="shared" si="211"/>
        <v>5.4584489964107696</v>
      </c>
      <c r="AD90" s="17">
        <f t="shared" si="212"/>
        <v>4.5984348978294731</v>
      </c>
      <c r="AE90" s="17">
        <f t="shared" si="213"/>
        <v>3.2119450115613013</v>
      </c>
      <c r="AF90" s="17">
        <f t="shared" si="214"/>
        <v>6.493705957519369</v>
      </c>
      <c r="AH90" t="str">
        <f t="shared" si="247"/>
        <v>33 Protective service occupations</v>
      </c>
      <c r="AI90" s="17">
        <f t="shared" si="215"/>
        <v>8.0667469796180669E-3</v>
      </c>
      <c r="AJ90" s="17">
        <f t="shared" si="215"/>
        <v>23.980447017755836</v>
      </c>
      <c r="AK90" s="17">
        <f t="shared" si="215"/>
        <v>5.0825651453531906</v>
      </c>
      <c r="AL90" s="17">
        <f t="shared" si="215"/>
        <v>3.294895106124085</v>
      </c>
      <c r="AM90" s="17">
        <f t="shared" si="216"/>
        <v>5.0418095589776835</v>
      </c>
      <c r="AO90" s="17">
        <f t="shared" si="217"/>
        <v>3.8873802097216803</v>
      </c>
      <c r="AP90" s="17">
        <f t="shared" si="218"/>
        <v>2.7754311481984262</v>
      </c>
      <c r="AQ90" s="17">
        <f t="shared" si="219"/>
        <v>5.6473168511087746</v>
      </c>
      <c r="AS90" t="str">
        <f t="shared" si="248"/>
        <v>33 Protective service occupations</v>
      </c>
      <c r="AT90" s="17">
        <f t="shared" si="220"/>
        <v>-3.8542080455306493</v>
      </c>
      <c r="AU90" s="17">
        <f t="shared" si="220"/>
        <v>16.552360873095019</v>
      </c>
      <c r="AV90" s="17">
        <f t="shared" si="220"/>
        <v>1.9211989107886573</v>
      </c>
      <c r="AW90" s="17">
        <f t="shared" si="220"/>
        <v>1.5457786151169994</v>
      </c>
      <c r="AX90" s="17">
        <f t="shared" si="221"/>
        <v>2.5425001565977157</v>
      </c>
      <c r="AZ90" s="17">
        <f t="shared" si="222"/>
        <v>1.6707648130485531</v>
      </c>
      <c r="BA90" s="17">
        <f t="shared" si="223"/>
        <v>2.2403153958438837</v>
      </c>
      <c r="BB90" s="17">
        <f t="shared" si="224"/>
        <v>3.5042536720393702</v>
      </c>
      <c r="BD90" t="str">
        <f t="shared" si="249"/>
        <v>33 Protective service occupations</v>
      </c>
      <c r="BE90" s="17">
        <f t="shared" si="225"/>
        <v>1.3051012569914811</v>
      </c>
      <c r="BF90" s="17">
        <f t="shared" si="225"/>
        <v>-3.6610843317126829</v>
      </c>
      <c r="BG90" s="17">
        <f t="shared" si="225"/>
        <v>4.1322782013449189</v>
      </c>
      <c r="BH90" s="17">
        <f t="shared" si="225"/>
        <v>0.85478293012180018</v>
      </c>
      <c r="BI90" s="17">
        <f t="shared" si="226"/>
        <v>1.5765246148934375</v>
      </c>
      <c r="BK90" s="17">
        <f t="shared" si="227"/>
        <v>1.935656120261009</v>
      </c>
      <c r="BL90" s="17">
        <f t="shared" si="228"/>
        <v>1.8642215849815846</v>
      </c>
      <c r="BM90" s="17">
        <f t="shared" si="229"/>
        <v>3.4050129834086729</v>
      </c>
      <c r="BO90" t="str">
        <f t="shared" si="250"/>
        <v>33 Protective service occupations</v>
      </c>
      <c r="BP90" s="17">
        <f t="shared" si="230"/>
        <v>1.3678712240778212</v>
      </c>
      <c r="BQ90" s="17">
        <f t="shared" si="230"/>
        <v>-3.9717715088231409</v>
      </c>
      <c r="BR90" s="17">
        <f t="shared" si="230"/>
        <v>1.5208125432419894</v>
      </c>
      <c r="BS90" s="17">
        <f t="shared" si="230"/>
        <v>-1.4489596767290114</v>
      </c>
      <c r="BT90" s="17">
        <f t="shared" si="231"/>
        <v>-0.69144684585245031</v>
      </c>
      <c r="BV90" s="17">
        <f t="shared" si="232"/>
        <v>-0.46881598210873898</v>
      </c>
      <c r="BW90" s="17">
        <f t="shared" si="233"/>
        <v>1.7230040064507124</v>
      </c>
      <c r="BX90" s="17">
        <f t="shared" si="234"/>
        <v>1.3566911636545331</v>
      </c>
      <c r="BZ90" t="str">
        <f t="shared" si="251"/>
        <v>33 Protective service occupations</v>
      </c>
      <c r="CA90" s="17">
        <f t="shared" si="235"/>
        <v>-3.142759559952335</v>
      </c>
      <c r="CB90" s="17">
        <f t="shared" si="235"/>
        <v>5.5147200757089676</v>
      </c>
      <c r="CC90" s="17">
        <f t="shared" si="235"/>
        <v>1.4222743243506475</v>
      </c>
      <c r="CD90" s="17">
        <f t="shared" si="235"/>
        <v>-3.7284584188251313</v>
      </c>
      <c r="CE90" s="17">
        <f t="shared" si="236"/>
        <v>-1.5853074923791177</v>
      </c>
      <c r="CG90" s="17">
        <f t="shared" si="237"/>
        <v>-2.0412880937315303</v>
      </c>
      <c r="CH90" s="17">
        <f t="shared" si="238"/>
        <v>1.8193046859769302</v>
      </c>
      <c r="CI90" s="17">
        <f t="shared" si="239"/>
        <v>0.29042270787533742</v>
      </c>
      <c r="CK90" t="str">
        <f t="shared" si="252"/>
        <v>33 Protective service occupations</v>
      </c>
      <c r="CL90" s="17">
        <f t="shared" si="240"/>
        <v>-3.0833394776643819</v>
      </c>
      <c r="CM90" s="17">
        <f t="shared" si="240"/>
        <v>-12.490975198931832</v>
      </c>
      <c r="CN90" s="17">
        <f t="shared" si="240"/>
        <v>-0.49209177934660397</v>
      </c>
      <c r="CO90" s="17">
        <f t="shared" si="240"/>
        <v>-7.708376063324673</v>
      </c>
      <c r="CP90" s="17">
        <f t="shared" si="241"/>
        <v>-5.8250861356035522</v>
      </c>
      <c r="CR90" s="17">
        <f t="shared" si="242"/>
        <v>-5.3630524098532089</v>
      </c>
      <c r="CS90" s="17">
        <f t="shared" si="243"/>
        <v>1.1379298814613525</v>
      </c>
      <c r="CT90" s="17">
        <f t="shared" si="244"/>
        <v>-3.1115823079265192</v>
      </c>
    </row>
    <row r="91" spans="1:98" x14ac:dyDescent="0.2">
      <c r="A91" t="str">
        <f t="shared" si="199"/>
        <v>34 Culture, media and sports occupations</v>
      </c>
      <c r="B91" s="17">
        <f t="shared" si="200"/>
        <v>10.496957294688979</v>
      </c>
      <c r="C91" s="17">
        <f t="shared" si="200"/>
        <v>3.0517564571464151</v>
      </c>
      <c r="D91" s="17">
        <f t="shared" si="200"/>
        <v>1.8322077370162893</v>
      </c>
      <c r="E91" s="17">
        <f t="shared" si="200"/>
        <v>2.8040725204802275</v>
      </c>
      <c r="F91" s="17">
        <f t="shared" si="201"/>
        <v>2.5147895068057702</v>
      </c>
      <c r="H91" s="17">
        <f t="shared" si="202"/>
        <v>2.4790913544070481</v>
      </c>
      <c r="I91" s="17">
        <f t="shared" si="203"/>
        <v>2.9900184562394072</v>
      </c>
      <c r="J91" s="17">
        <f t="shared" si="204"/>
        <v>4.727936284378087</v>
      </c>
      <c r="L91" t="str">
        <f t="shared" si="245"/>
        <v>34 Culture, media and sports occupations</v>
      </c>
      <c r="M91" s="17">
        <f t="shared" si="205"/>
        <v>7.8239681368855951</v>
      </c>
      <c r="N91" s="17">
        <f t="shared" si="205"/>
        <v>-7.361836916727249</v>
      </c>
      <c r="O91" s="17">
        <f t="shared" si="205"/>
        <v>1.2751161155202473</v>
      </c>
      <c r="P91" s="17">
        <f t="shared" si="205"/>
        <v>2.5675294978312779</v>
      </c>
      <c r="Q91" s="17">
        <f t="shared" si="206"/>
        <v>1.5138185648845504</v>
      </c>
      <c r="S91" s="17">
        <f t="shared" si="207"/>
        <v>2.1349027965302358</v>
      </c>
      <c r="T91" s="17">
        <f t="shared" si="208"/>
        <v>2.8868300362573596</v>
      </c>
      <c r="U91" s="17">
        <f t="shared" si="209"/>
        <v>4.391295633509551</v>
      </c>
      <c r="W91" t="str">
        <f t="shared" si="246"/>
        <v>34 Culture, media and sports occupations</v>
      </c>
      <c r="X91" s="17">
        <f t="shared" si="210"/>
        <v>-2.7647591098079793</v>
      </c>
      <c r="Y91" s="17">
        <f t="shared" si="210"/>
        <v>12.695931232447988</v>
      </c>
      <c r="Z91" s="17">
        <f t="shared" si="210"/>
        <v>-1.1804942907677085</v>
      </c>
      <c r="AA91" s="17">
        <f t="shared" si="210"/>
        <v>0.9416876548967279</v>
      </c>
      <c r="AB91" s="17">
        <f t="shared" si="211"/>
        <v>0.96636065531559012</v>
      </c>
      <c r="AD91" s="17">
        <f t="shared" si="212"/>
        <v>0.22927756756505602</v>
      </c>
      <c r="AE91" s="17">
        <f t="shared" si="213"/>
        <v>2.6515009404046941</v>
      </c>
      <c r="AF91" s="17">
        <f t="shared" si="214"/>
        <v>2.8112701265716078</v>
      </c>
      <c r="AH91" t="str">
        <f t="shared" si="247"/>
        <v>34 Culture, media and sports occupations</v>
      </c>
      <c r="AI91" s="17">
        <f t="shared" si="215"/>
        <v>-0.90705514948102861</v>
      </c>
      <c r="AJ91" s="17">
        <f t="shared" si="215"/>
        <v>22.58007985619377</v>
      </c>
      <c r="AK91" s="17">
        <f t="shared" si="215"/>
        <v>-1.3416107041091196</v>
      </c>
      <c r="AL91" s="17">
        <f t="shared" si="215"/>
        <v>2.4778686814571627</v>
      </c>
      <c r="AM91" s="17">
        <f t="shared" si="216"/>
        <v>2.4087176624865814</v>
      </c>
      <c r="AO91" s="17">
        <f t="shared" si="217"/>
        <v>1.1885555758634592</v>
      </c>
      <c r="AP91" s="17">
        <f t="shared" si="218"/>
        <v>2.687264412860646</v>
      </c>
      <c r="AQ91" s="17">
        <f t="shared" si="219"/>
        <v>3.5290164465075158</v>
      </c>
      <c r="AS91" t="str">
        <f t="shared" si="248"/>
        <v>34 Culture, media and sports occupations</v>
      </c>
      <c r="AT91" s="17">
        <f t="shared" si="220"/>
        <v>-2.8105462400628389</v>
      </c>
      <c r="AU91" s="17">
        <f t="shared" si="220"/>
        <v>11.498196782745108</v>
      </c>
      <c r="AV91" s="17">
        <f t="shared" si="220"/>
        <v>-2.4306647253744651</v>
      </c>
      <c r="AW91" s="17">
        <f t="shared" si="220"/>
        <v>0.39202334064740718</v>
      </c>
      <c r="AX91" s="17">
        <f t="shared" si="221"/>
        <v>0.1559294255592647</v>
      </c>
      <c r="AZ91" s="17">
        <f t="shared" si="222"/>
        <v>-0.55783134605594809</v>
      </c>
      <c r="BA91" s="17">
        <f t="shared" si="223"/>
        <v>2.4337334782799758</v>
      </c>
      <c r="BB91" s="17">
        <f t="shared" si="224"/>
        <v>2.0401236555761093</v>
      </c>
      <c r="BD91" t="str">
        <f t="shared" si="249"/>
        <v>34 Culture, media and sports occupations</v>
      </c>
      <c r="BE91" s="17">
        <f t="shared" si="225"/>
        <v>-9.9574655111844823E-2</v>
      </c>
      <c r="BF91" s="17">
        <f t="shared" si="225"/>
        <v>-4.1978607916002169</v>
      </c>
      <c r="BG91" s="17">
        <f t="shared" si="225"/>
        <v>-3.28629232328006</v>
      </c>
      <c r="BH91" s="17">
        <f t="shared" si="225"/>
        <v>0.4483399602244198</v>
      </c>
      <c r="BI91" s="17">
        <f t="shared" si="226"/>
        <v>-1.0273524027090142</v>
      </c>
      <c r="BK91" s="17">
        <f t="shared" si="227"/>
        <v>-0.81229228753532112</v>
      </c>
      <c r="BL91" s="17">
        <f t="shared" si="228"/>
        <v>1.9519819024536034</v>
      </c>
      <c r="BM91" s="17">
        <f t="shared" si="229"/>
        <v>1.3413725297165113</v>
      </c>
      <c r="BO91" t="str">
        <f t="shared" si="250"/>
        <v>34 Culture, media and sports occupations</v>
      </c>
      <c r="BP91" s="17">
        <f t="shared" si="230"/>
        <v>-4.4711319250666515</v>
      </c>
      <c r="BQ91" s="17">
        <f t="shared" si="230"/>
        <v>-5.4651637458015827</v>
      </c>
      <c r="BR91" s="17">
        <f t="shared" si="230"/>
        <v>-6.8439785779007227</v>
      </c>
      <c r="BS91" s="17">
        <f t="shared" si="230"/>
        <v>-4.4749805540892691</v>
      </c>
      <c r="BT91" s="17">
        <f t="shared" si="231"/>
        <v>-5.2833961194991508</v>
      </c>
      <c r="BV91" s="17">
        <f t="shared" si="232"/>
        <v>-5.2712658586767542</v>
      </c>
      <c r="BW91" s="17">
        <f t="shared" si="233"/>
        <v>1.5004853277651664</v>
      </c>
      <c r="BX91" s="17">
        <f t="shared" si="234"/>
        <v>-2.4042977973140367</v>
      </c>
      <c r="BZ91" t="str">
        <f t="shared" si="251"/>
        <v>34 Culture, media and sports occupations</v>
      </c>
      <c r="CA91" s="17">
        <f t="shared" si="235"/>
        <v>-4.4906109549384565</v>
      </c>
      <c r="CB91" s="17">
        <f t="shared" si="235"/>
        <v>1.063804326607598</v>
      </c>
      <c r="CC91" s="17">
        <f t="shared" si="235"/>
        <v>-3.498439254573682</v>
      </c>
      <c r="CD91" s="17">
        <f t="shared" si="235"/>
        <v>-3.5634719308816343</v>
      </c>
      <c r="CE91" s="17">
        <f t="shared" si="236"/>
        <v>-3.2601995803999917</v>
      </c>
      <c r="CG91" s="17">
        <f t="shared" si="237"/>
        <v>-3.5417992430942125</v>
      </c>
      <c r="CH91" s="17">
        <f t="shared" si="238"/>
        <v>1.7054058719204512</v>
      </c>
      <c r="CI91" s="17">
        <f t="shared" si="239"/>
        <v>-0.91693727654230672</v>
      </c>
      <c r="CK91" t="str">
        <f t="shared" si="252"/>
        <v>34 Culture, media and sports occupations</v>
      </c>
      <c r="CL91" s="17">
        <f t="shared" si="240"/>
        <v>4.6836912033376255</v>
      </c>
      <c r="CM91" s="17">
        <f t="shared" si="240"/>
        <v>-7.086145673887656</v>
      </c>
      <c r="CN91" s="17">
        <f t="shared" si="240"/>
        <v>0.95750570417809655</v>
      </c>
      <c r="CO91" s="17">
        <f t="shared" si="240"/>
        <v>-1.6814232936143481</v>
      </c>
      <c r="CP91" s="17">
        <f t="shared" si="241"/>
        <v>-1.2139579475779039</v>
      </c>
      <c r="CR91" s="17">
        <f t="shared" si="242"/>
        <v>-0.80953504688079381</v>
      </c>
      <c r="CS91" s="17">
        <f t="shared" si="243"/>
        <v>2.0667642361390737</v>
      </c>
      <c r="CT91" s="17">
        <f t="shared" si="244"/>
        <v>1.4681399343940305</v>
      </c>
    </row>
    <row r="92" spans="1:98" x14ac:dyDescent="0.2">
      <c r="A92" t="str">
        <f t="shared" si="199"/>
        <v>35 Business and public service associate professionals</v>
      </c>
      <c r="B92" s="17">
        <f t="shared" si="200"/>
        <v>6.8690330870810223</v>
      </c>
      <c r="C92" s="17">
        <f t="shared" si="200"/>
        <v>-3.8566117227533003</v>
      </c>
      <c r="D92" s="17">
        <f t="shared" si="200"/>
        <v>3.7225967974170882</v>
      </c>
      <c r="E92" s="17">
        <f t="shared" si="200"/>
        <v>3.1670280377620319</v>
      </c>
      <c r="F92" s="17">
        <f t="shared" si="201"/>
        <v>2.8859259584673502</v>
      </c>
      <c r="H92" s="17">
        <f t="shared" si="202"/>
        <v>3.3518861914119125</v>
      </c>
      <c r="I92" s="17">
        <f t="shared" si="203"/>
        <v>3.1613351734043338</v>
      </c>
      <c r="J92" s="17">
        <f t="shared" si="204"/>
        <v>5.5070673096293099</v>
      </c>
      <c r="L92" t="str">
        <f t="shared" si="245"/>
        <v>35 Business and public service associate professionals</v>
      </c>
      <c r="M92" s="17">
        <f t="shared" si="205"/>
        <v>9.5862145327997759</v>
      </c>
      <c r="N92" s="17">
        <f t="shared" si="205"/>
        <v>-4.9999901695336746</v>
      </c>
      <c r="O92" s="17">
        <f t="shared" si="205"/>
        <v>3.2830751503493349</v>
      </c>
      <c r="P92" s="17">
        <f t="shared" si="205"/>
        <v>2.6846078336896895</v>
      </c>
      <c r="Q92" s="17">
        <f t="shared" si="206"/>
        <v>2.372352564707958</v>
      </c>
      <c r="S92" s="17">
        <f t="shared" si="207"/>
        <v>2.8837106345405816</v>
      </c>
      <c r="T92" s="17">
        <f t="shared" si="208"/>
        <v>3.0839048456690277</v>
      </c>
      <c r="U92" s="17">
        <f t="shared" si="209"/>
        <v>5.1002579505973422</v>
      </c>
      <c r="W92" t="str">
        <f t="shared" si="246"/>
        <v>35 Business and public service associate professionals</v>
      </c>
      <c r="X92" s="17">
        <f t="shared" si="210"/>
        <v>1.1326278784461241</v>
      </c>
      <c r="Y92" s="17">
        <f t="shared" si="210"/>
        <v>12.592239644454084</v>
      </c>
      <c r="Z92" s="17">
        <f t="shared" si="210"/>
        <v>0.1290236459809746</v>
      </c>
      <c r="AA92" s="17">
        <f t="shared" si="210"/>
        <v>1.1252268432720314</v>
      </c>
      <c r="AB92" s="17">
        <f t="shared" si="211"/>
        <v>1.4919193846739232</v>
      </c>
      <c r="AD92" s="17">
        <f t="shared" si="212"/>
        <v>0.79206268353564369</v>
      </c>
      <c r="AE92" s="17">
        <f t="shared" si="213"/>
        <v>2.9035920942075633</v>
      </c>
      <c r="AF92" s="17">
        <f t="shared" si="214"/>
        <v>3.4442548716242749</v>
      </c>
      <c r="AH92" t="str">
        <f t="shared" si="247"/>
        <v>35 Business and public service associate professionals</v>
      </c>
      <c r="AI92" s="17">
        <f t="shared" si="215"/>
        <v>0.1723855368857441</v>
      </c>
      <c r="AJ92" s="17">
        <f t="shared" si="215"/>
        <v>16.727502914014238</v>
      </c>
      <c r="AK92" s="17">
        <f t="shared" si="215"/>
        <v>0.31009859928889938</v>
      </c>
      <c r="AL92" s="17">
        <f t="shared" si="215"/>
        <v>1.7648486286586884</v>
      </c>
      <c r="AM92" s="17">
        <f t="shared" si="216"/>
        <v>2.1802943532568175</v>
      </c>
      <c r="AO92" s="17">
        <f t="shared" si="217"/>
        <v>1.2776027625407194</v>
      </c>
      <c r="AP92" s="17">
        <f t="shared" si="218"/>
        <v>2.8739110936156775</v>
      </c>
      <c r="AQ92" s="17">
        <f t="shared" si="219"/>
        <v>3.7590792634218717</v>
      </c>
      <c r="AS92" t="str">
        <f t="shared" si="248"/>
        <v>35 Business and public service associate professionals</v>
      </c>
      <c r="AT92" s="17">
        <f t="shared" si="220"/>
        <v>-0.5942896795138819</v>
      </c>
      <c r="AU92" s="17">
        <f t="shared" si="220"/>
        <v>16.837311431472358</v>
      </c>
      <c r="AV92" s="17">
        <f t="shared" si="220"/>
        <v>-0.45486695686112188</v>
      </c>
      <c r="AW92" s="17">
        <f t="shared" si="220"/>
        <v>1.4126097679006744</v>
      </c>
      <c r="AX92" s="17">
        <f t="shared" si="221"/>
        <v>1.7214591681732561</v>
      </c>
      <c r="AZ92" s="17">
        <f t="shared" si="222"/>
        <v>0.78625695953586927</v>
      </c>
      <c r="BA92" s="17">
        <f t="shared" si="223"/>
        <v>2.6843313948876846</v>
      </c>
      <c r="BB92" s="17">
        <f t="shared" si="224"/>
        <v>3.2365880366958644</v>
      </c>
      <c r="BD92" t="str">
        <f t="shared" si="249"/>
        <v>35 Business and public service associate professionals</v>
      </c>
      <c r="BE92" s="17">
        <f t="shared" si="225"/>
        <v>3.0333536338544409</v>
      </c>
      <c r="BF92" s="17">
        <f t="shared" si="225"/>
        <v>4.8024529842139785</v>
      </c>
      <c r="BG92" s="17">
        <f t="shared" si="225"/>
        <v>-1.9082361465586506</v>
      </c>
      <c r="BH92" s="17">
        <f t="shared" si="225"/>
        <v>-0.23673880677312908</v>
      </c>
      <c r="BI92" s="17">
        <f t="shared" si="226"/>
        <v>-0.45601242639274897</v>
      </c>
      <c r="BK92" s="17">
        <f t="shared" si="227"/>
        <v>-0.79704558207458476</v>
      </c>
      <c r="BL92" s="17">
        <f t="shared" si="228"/>
        <v>2.1971570738067658</v>
      </c>
      <c r="BM92" s="17">
        <f t="shared" si="229"/>
        <v>1.6185251967420378</v>
      </c>
      <c r="BO92" t="str">
        <f t="shared" si="250"/>
        <v>35 Business and public service associate professionals</v>
      </c>
      <c r="BP92" s="17">
        <f t="shared" si="230"/>
        <v>1.3323501177952446</v>
      </c>
      <c r="BQ92" s="17">
        <f t="shared" si="230"/>
        <v>2.8066492251467512</v>
      </c>
      <c r="BR92" s="17">
        <f t="shared" si="230"/>
        <v>-3.8713107006014602</v>
      </c>
      <c r="BS92" s="17">
        <f t="shared" si="230"/>
        <v>-2.3779698637854452</v>
      </c>
      <c r="BT92" s="17">
        <f t="shared" si="231"/>
        <v>-2.532395779017016</v>
      </c>
      <c r="BV92" s="17">
        <f t="shared" si="232"/>
        <v>-2.8783101459255889</v>
      </c>
      <c r="BW92" s="17">
        <f t="shared" si="233"/>
        <v>1.8463033825521835</v>
      </c>
      <c r="BX92" s="17">
        <f t="shared" si="234"/>
        <v>-0.26457669941689632</v>
      </c>
      <c r="BZ92" t="str">
        <f t="shared" si="251"/>
        <v>35 Business and public service associate professionals</v>
      </c>
      <c r="CA92" s="17">
        <f t="shared" si="235"/>
        <v>-1.6177679748827001</v>
      </c>
      <c r="CB92" s="17">
        <f t="shared" si="235"/>
        <v>2.6261038471807385</v>
      </c>
      <c r="CC92" s="17">
        <f t="shared" si="235"/>
        <v>-3.9209156353891661</v>
      </c>
      <c r="CD92" s="17">
        <f t="shared" si="235"/>
        <v>-4.3844015125907294</v>
      </c>
      <c r="CE92" s="17">
        <f t="shared" si="236"/>
        <v>-3.8153874713409808</v>
      </c>
      <c r="CG92" s="17">
        <f t="shared" si="237"/>
        <v>-4.230155182956052</v>
      </c>
      <c r="CH92" s="17">
        <f t="shared" si="238"/>
        <v>1.6228930398403341</v>
      </c>
      <c r="CI92" s="17">
        <f t="shared" si="239"/>
        <v>-1.5091398861700744</v>
      </c>
      <c r="CK92" t="str">
        <f t="shared" si="252"/>
        <v>35 Business and public service associate professionals</v>
      </c>
      <c r="CL92" s="17">
        <f t="shared" si="240"/>
        <v>4.5879272684053563</v>
      </c>
      <c r="CM92" s="17">
        <f t="shared" si="240"/>
        <v>-12.119796667200511</v>
      </c>
      <c r="CN92" s="17">
        <f t="shared" si="240"/>
        <v>-1.9150193905831392</v>
      </c>
      <c r="CO92" s="17">
        <f t="shared" si="240"/>
        <v>-1.1138346634615992</v>
      </c>
      <c r="CP92" s="17">
        <f t="shared" si="241"/>
        <v>-2.0896314534459948</v>
      </c>
      <c r="CR92" s="17">
        <f t="shared" si="242"/>
        <v>-1.3816207556944571</v>
      </c>
      <c r="CS92" s="17">
        <f t="shared" si="243"/>
        <v>1.8210085064627846</v>
      </c>
      <c r="CT92" s="17">
        <f t="shared" si="244"/>
        <v>0.77349721036530372</v>
      </c>
    </row>
    <row r="93" spans="1:98" x14ac:dyDescent="0.2">
      <c r="A93" t="str">
        <f t="shared" si="199"/>
        <v>41 Administrative occupations</v>
      </c>
      <c r="B93" s="17">
        <f t="shared" si="200"/>
        <v>8.079869743845336</v>
      </c>
      <c r="C93" s="17">
        <f t="shared" si="200"/>
        <v>-10.348344171444756</v>
      </c>
      <c r="D93" s="17">
        <f t="shared" si="200"/>
        <v>3.8622789883450581</v>
      </c>
      <c r="E93" s="17">
        <f t="shared" si="200"/>
        <v>3.3527728397615419</v>
      </c>
      <c r="F93" s="17">
        <f t="shared" si="201"/>
        <v>2.5957345261820031</v>
      </c>
      <c r="H93" s="17">
        <f t="shared" si="202"/>
        <v>3.5223299009282449</v>
      </c>
      <c r="I93" s="17">
        <f t="shared" si="203"/>
        <v>3.3721026279426303</v>
      </c>
      <c r="J93" s="17">
        <f t="shared" si="204"/>
        <v>5.7870340606227089</v>
      </c>
      <c r="L93" t="str">
        <f t="shared" si="245"/>
        <v>41 Administrative occupations</v>
      </c>
      <c r="M93" s="17">
        <f t="shared" si="205"/>
        <v>10.298024342660671</v>
      </c>
      <c r="N93" s="17">
        <f t="shared" si="205"/>
        <v>-8.84721023885524</v>
      </c>
      <c r="O93" s="17">
        <f t="shared" si="205"/>
        <v>3.8576099473605741</v>
      </c>
      <c r="P93" s="17">
        <f t="shared" si="205"/>
        <v>3.1069038268297433</v>
      </c>
      <c r="Q93" s="17">
        <f t="shared" si="206"/>
        <v>2.5480579537738857</v>
      </c>
      <c r="S93" s="17">
        <f t="shared" si="207"/>
        <v>3.3565343360767663</v>
      </c>
      <c r="T93" s="17">
        <f t="shared" si="208"/>
        <v>3.3801404959404868</v>
      </c>
      <c r="U93" s="17">
        <f t="shared" si="209"/>
        <v>5.670869111223209</v>
      </c>
      <c r="W93" t="str">
        <f t="shared" si="246"/>
        <v>41 Administrative occupations</v>
      </c>
      <c r="X93" s="17">
        <f t="shared" si="210"/>
        <v>2.1844014582669269</v>
      </c>
      <c r="Y93" s="17">
        <f t="shared" si="210"/>
        <v>7.8339986658177541</v>
      </c>
      <c r="Z93" s="17">
        <f t="shared" si="210"/>
        <v>1.15504223076206</v>
      </c>
      <c r="AA93" s="17">
        <f t="shared" si="210"/>
        <v>1.6576301913484137</v>
      </c>
      <c r="AB93" s="17">
        <f t="shared" si="211"/>
        <v>1.8751649969554141</v>
      </c>
      <c r="AD93" s="17">
        <f t="shared" si="212"/>
        <v>1.4898240260692086</v>
      </c>
      <c r="AE93" s="17">
        <f t="shared" si="213"/>
        <v>3.361010068222714</v>
      </c>
      <c r="AF93" s="17">
        <f t="shared" si="214"/>
        <v>4.3361782357880463</v>
      </c>
      <c r="AH93" t="str">
        <f t="shared" si="247"/>
        <v>41 Administrative occupations</v>
      </c>
      <c r="AI93" s="17">
        <f t="shared" si="215"/>
        <v>2.5690107455095479</v>
      </c>
      <c r="AJ93" s="17">
        <f t="shared" si="215"/>
        <v>4.8594239142348394</v>
      </c>
      <c r="AK93" s="17">
        <f t="shared" si="215"/>
        <v>1.0222820930730903</v>
      </c>
      <c r="AL93" s="17">
        <f t="shared" si="215"/>
        <v>1.6974352046898344</v>
      </c>
      <c r="AM93" s="17">
        <f t="shared" si="216"/>
        <v>1.6803620751037807</v>
      </c>
      <c r="AO93" s="17">
        <f t="shared" si="217"/>
        <v>1.471884296448378</v>
      </c>
      <c r="AP93" s="17">
        <f t="shared" si="218"/>
        <v>3.4825999027416676</v>
      </c>
      <c r="AQ93" s="17">
        <f t="shared" si="219"/>
        <v>4.4309026459193879</v>
      </c>
      <c r="AS93" t="str">
        <f t="shared" si="248"/>
        <v>41 Administrative occupations</v>
      </c>
      <c r="AT93" s="17">
        <f t="shared" si="220"/>
        <v>1.9591159136127079</v>
      </c>
      <c r="AU93" s="17">
        <f t="shared" si="220"/>
        <v>6.3923502348423034</v>
      </c>
      <c r="AV93" s="17">
        <f t="shared" si="220"/>
        <v>0.44784195069735855</v>
      </c>
      <c r="AW93" s="17">
        <f t="shared" si="220"/>
        <v>1.6899690955165081</v>
      </c>
      <c r="AX93" s="17">
        <f t="shared" si="221"/>
        <v>1.5867726093003354</v>
      </c>
      <c r="AZ93" s="17">
        <f t="shared" si="222"/>
        <v>1.2742293588031472</v>
      </c>
      <c r="BA93" s="17">
        <f t="shared" si="223"/>
        <v>3.2877974712108626</v>
      </c>
      <c r="BB93" s="17">
        <f t="shared" si="224"/>
        <v>4.1251221580719699</v>
      </c>
      <c r="BD93" t="str">
        <f t="shared" si="249"/>
        <v>41 Administrative occupations</v>
      </c>
      <c r="BE93" s="17">
        <f t="shared" si="225"/>
        <v>1.3481842847107739</v>
      </c>
      <c r="BF93" s="17">
        <f t="shared" si="225"/>
        <v>9.9939285660491262</v>
      </c>
      <c r="BG93" s="17">
        <f t="shared" si="225"/>
        <v>-2.4168799229244309</v>
      </c>
      <c r="BH93" s="17">
        <f t="shared" si="225"/>
        <v>-0.98595000489402063</v>
      </c>
      <c r="BI93" s="17">
        <f t="shared" si="226"/>
        <v>-0.78538443845401762</v>
      </c>
      <c r="BK93" s="17">
        <f t="shared" si="227"/>
        <v>-1.4652429932878408</v>
      </c>
      <c r="BL93" s="17">
        <f t="shared" si="228"/>
        <v>2.3431353229190321</v>
      </c>
      <c r="BM93" s="17">
        <f t="shared" si="229"/>
        <v>1.316707688116181</v>
      </c>
      <c r="BO93" t="str">
        <f t="shared" si="250"/>
        <v>41 Administrative occupations</v>
      </c>
      <c r="BP93" s="17">
        <f t="shared" si="230"/>
        <v>-1.0282358962310334</v>
      </c>
      <c r="BQ93" s="17">
        <f t="shared" si="230"/>
        <v>5.6767952740542027</v>
      </c>
      <c r="BR93" s="17">
        <f t="shared" si="230"/>
        <v>-4.5452454424801054</v>
      </c>
      <c r="BS93" s="17">
        <f t="shared" si="230"/>
        <v>-3.7195919902187291</v>
      </c>
      <c r="BT93" s="17">
        <f t="shared" si="231"/>
        <v>-3.4178947801700832</v>
      </c>
      <c r="BV93" s="17">
        <f t="shared" si="232"/>
        <v>-3.9956002881339936</v>
      </c>
      <c r="BW93" s="17">
        <f t="shared" si="233"/>
        <v>1.965363685083088</v>
      </c>
      <c r="BX93" s="17">
        <f t="shared" si="234"/>
        <v>-0.83742944963500765</v>
      </c>
      <c r="BZ93" t="str">
        <f t="shared" si="251"/>
        <v>41 Administrative occupations</v>
      </c>
      <c r="CA93" s="17">
        <f t="shared" si="235"/>
        <v>-7.1936716861950023</v>
      </c>
      <c r="CB93" s="17">
        <f t="shared" si="235"/>
        <v>2.2582605842214498</v>
      </c>
      <c r="CC93" s="17">
        <f t="shared" si="235"/>
        <v>-6.5219152058127889</v>
      </c>
      <c r="CD93" s="17">
        <f t="shared" si="235"/>
        <v>-8.8715325927189106</v>
      </c>
      <c r="CE93" s="17">
        <f t="shared" si="236"/>
        <v>-7.4797588864230384</v>
      </c>
      <c r="CG93" s="17">
        <f t="shared" si="237"/>
        <v>-8.0949632844430788</v>
      </c>
      <c r="CH93" s="17">
        <f t="shared" si="238"/>
        <v>1.2774861320939745</v>
      </c>
      <c r="CI93" s="17">
        <f t="shared" si="239"/>
        <v>-4.6230977715869148</v>
      </c>
      <c r="CK93" t="str">
        <f t="shared" si="252"/>
        <v>41 Administrative occupations</v>
      </c>
      <c r="CL93" s="17">
        <f t="shared" si="240"/>
        <v>-1.655381655200272</v>
      </c>
      <c r="CM93" s="17">
        <f t="shared" si="240"/>
        <v>-13.523405197621374</v>
      </c>
      <c r="CN93" s="17">
        <f t="shared" si="240"/>
        <v>-3.0562718584706938</v>
      </c>
      <c r="CO93" s="17">
        <f t="shared" si="240"/>
        <v>-4.0995935917620852</v>
      </c>
      <c r="CP93" s="17">
        <f t="shared" si="241"/>
        <v>-4.3948355915169435</v>
      </c>
      <c r="CR93" s="17">
        <f t="shared" si="242"/>
        <v>-3.7530732827547819</v>
      </c>
      <c r="CS93" s="17">
        <f t="shared" si="243"/>
        <v>1.6310455876933805</v>
      </c>
      <c r="CT93" s="17">
        <f t="shared" si="244"/>
        <v>-1.1709668124161521</v>
      </c>
    </row>
    <row r="94" spans="1:98" x14ac:dyDescent="0.2">
      <c r="A94" t="str">
        <f t="shared" si="199"/>
        <v>42 Secretarial and related occupations</v>
      </c>
      <c r="B94" s="17">
        <f t="shared" si="200"/>
        <v>11.064443665487889</v>
      </c>
      <c r="C94" s="17">
        <f t="shared" si="200"/>
        <v>-10.087181380356114</v>
      </c>
      <c r="D94" s="17">
        <f t="shared" si="200"/>
        <v>9.4539864979025889</v>
      </c>
      <c r="E94" s="17">
        <f t="shared" si="200"/>
        <v>4.8234272544732226</v>
      </c>
      <c r="F94" s="17">
        <f t="shared" si="201"/>
        <v>5.2349969155698783</v>
      </c>
      <c r="H94" s="17">
        <f t="shared" si="202"/>
        <v>6.3447606258347333</v>
      </c>
      <c r="I94" s="17">
        <f t="shared" si="203"/>
        <v>4.5728265803391732</v>
      </c>
      <c r="J94" s="17">
        <f t="shared" si="204"/>
        <v>8.6517941834719281</v>
      </c>
      <c r="L94" t="str">
        <f t="shared" si="245"/>
        <v>42 Secretarial and related occupations</v>
      </c>
      <c r="M94" s="17">
        <f t="shared" si="205"/>
        <v>9.1575264934188549</v>
      </c>
      <c r="N94" s="17">
        <f t="shared" si="205"/>
        <v>-17.143839435971454</v>
      </c>
      <c r="O94" s="17">
        <f t="shared" si="205"/>
        <v>9.9139423134057658</v>
      </c>
      <c r="P94" s="17">
        <f t="shared" si="205"/>
        <v>2.5936028426270852</v>
      </c>
      <c r="Q94" s="17">
        <f t="shared" si="206"/>
        <v>3.4366559425081045</v>
      </c>
      <c r="S94" s="17">
        <f t="shared" si="207"/>
        <v>4.9778762826257816</v>
      </c>
      <c r="T94" s="17">
        <f t="shared" si="208"/>
        <v>4.1669218570766775</v>
      </c>
      <c r="U94" s="17">
        <f t="shared" si="209"/>
        <v>7.3982848871280149</v>
      </c>
      <c r="W94" t="str">
        <f t="shared" si="246"/>
        <v>42 Secretarial and related occupations</v>
      </c>
      <c r="X94" s="17">
        <f t="shared" si="210"/>
        <v>2.6398705488809293</v>
      </c>
      <c r="Y94" s="17">
        <f t="shared" si="210"/>
        <v>-0.15561684043144952</v>
      </c>
      <c r="Z94" s="17">
        <f t="shared" si="210"/>
        <v>7.9892276787673966</v>
      </c>
      <c r="AA94" s="17">
        <f t="shared" si="210"/>
        <v>3.2511114144143871</v>
      </c>
      <c r="AB94" s="17">
        <f t="shared" si="211"/>
        <v>4.4896616476012285</v>
      </c>
      <c r="AD94" s="17">
        <f t="shared" si="212"/>
        <v>4.80692244148333</v>
      </c>
      <c r="AE94" s="17">
        <f t="shared" si="213"/>
        <v>4.7494347615793187</v>
      </c>
      <c r="AF94" s="17">
        <f t="shared" si="214"/>
        <v>7.66576896142388</v>
      </c>
      <c r="AH94" t="str">
        <f t="shared" si="247"/>
        <v>42 Secretarial and related occupations</v>
      </c>
      <c r="AI94" s="17">
        <f t="shared" si="215"/>
        <v>2.6116375296912464</v>
      </c>
      <c r="AJ94" s="17">
        <f t="shared" si="215"/>
        <v>2.5189658971823903</v>
      </c>
      <c r="AK94" s="17">
        <f t="shared" si="215"/>
        <v>6.7452463090784898</v>
      </c>
      <c r="AL94" s="17">
        <f t="shared" si="215"/>
        <v>1.3512706970818966</v>
      </c>
      <c r="AM94" s="17">
        <f t="shared" si="216"/>
        <v>3.0807173596880455</v>
      </c>
      <c r="AO94" s="17">
        <f t="shared" si="217"/>
        <v>3.1182767150376156</v>
      </c>
      <c r="AP94" s="17">
        <f t="shared" si="218"/>
        <v>4.1505879279983615</v>
      </c>
      <c r="AQ94" s="17">
        <f t="shared" si="219"/>
        <v>6.0847977511174989</v>
      </c>
      <c r="AS94" t="str">
        <f t="shared" si="248"/>
        <v>42 Secretarial and related occupations</v>
      </c>
      <c r="AT94" s="17">
        <f t="shared" si="220"/>
        <v>1.5604970972521226</v>
      </c>
      <c r="AU94" s="17">
        <f t="shared" si="220"/>
        <v>1.3888494929407802</v>
      </c>
      <c r="AV94" s="17">
        <f t="shared" si="220"/>
        <v>5.2923796152819724</v>
      </c>
      <c r="AW94" s="17">
        <f t="shared" si="220"/>
        <v>-0.74938422630385082</v>
      </c>
      <c r="AX94" s="17">
        <f t="shared" si="221"/>
        <v>1.2352331500969038</v>
      </c>
      <c r="AZ94" s="17">
        <f t="shared" si="222"/>
        <v>1.2250003399371323</v>
      </c>
      <c r="BA94" s="17">
        <f t="shared" si="223"/>
        <v>3.6935936010337844</v>
      </c>
      <c r="BB94" s="17">
        <f t="shared" si="224"/>
        <v>4.4569185756034635</v>
      </c>
      <c r="BD94" t="str">
        <f t="shared" si="249"/>
        <v>42 Secretarial and related occupations</v>
      </c>
      <c r="BE94" s="17">
        <f t="shared" si="225"/>
        <v>3.8435319688567837E-2</v>
      </c>
      <c r="BF94" s="17">
        <f t="shared" si="225"/>
        <v>1.5260510239842873</v>
      </c>
      <c r="BG94" s="17">
        <f t="shared" si="225"/>
        <v>1.3328989257310075</v>
      </c>
      <c r="BH94" s="17">
        <f t="shared" si="225"/>
        <v>-7.8826684291225524</v>
      </c>
      <c r="BI94" s="17">
        <f t="shared" si="226"/>
        <v>-4.5180109642195987</v>
      </c>
      <c r="BK94" s="17">
        <f t="shared" si="227"/>
        <v>-4.9079109619392884</v>
      </c>
      <c r="BL94" s="17">
        <f t="shared" si="228"/>
        <v>2.2722447520446831</v>
      </c>
      <c r="BM94" s="17">
        <f t="shared" si="229"/>
        <v>-0.91771607852836334</v>
      </c>
      <c r="BO94" t="str">
        <f t="shared" si="250"/>
        <v>42 Secretarial and related occupations</v>
      </c>
      <c r="BP94" s="17">
        <f t="shared" si="230"/>
        <v>-2.4174353256324776</v>
      </c>
      <c r="BQ94" s="17">
        <f t="shared" si="230"/>
        <v>0.201627812719396</v>
      </c>
      <c r="BR94" s="17">
        <f t="shared" si="230"/>
        <v>-2.9690576261798163</v>
      </c>
      <c r="BS94" s="17">
        <f t="shared" si="230"/>
        <v>-8.9888188057787755</v>
      </c>
      <c r="BT94" s="17">
        <f t="shared" si="231"/>
        <v>-6.5889302260604961</v>
      </c>
      <c r="BV94" s="17">
        <f t="shared" si="232"/>
        <v>-7.0249150760673285</v>
      </c>
      <c r="BW94" s="17">
        <f t="shared" si="233"/>
        <v>1.9475590349852689</v>
      </c>
      <c r="BX94" s="17">
        <f t="shared" si="234"/>
        <v>-2.6260362300406515</v>
      </c>
      <c r="BZ94" t="str">
        <f t="shared" si="251"/>
        <v>42 Secretarial and related occupations</v>
      </c>
      <c r="CA94" s="17">
        <f t="shared" si="235"/>
        <v>-6.1814953786955673</v>
      </c>
      <c r="CB94" s="17">
        <f t="shared" si="235"/>
        <v>-2.5875531102180882</v>
      </c>
      <c r="CC94" s="17">
        <f t="shared" si="235"/>
        <v>-9.2759290240191135</v>
      </c>
      <c r="CD94" s="17">
        <f t="shared" si="235"/>
        <v>-9.8954476447292716</v>
      </c>
      <c r="CE94" s="17">
        <f t="shared" si="236"/>
        <v>-9.2611225565636506</v>
      </c>
      <c r="CG94" s="17">
        <f t="shared" si="237"/>
        <v>-9.6894129197065411</v>
      </c>
      <c r="CH94" s="17">
        <f t="shared" si="238"/>
        <v>1.2731418614146728</v>
      </c>
      <c r="CI94" s="17">
        <f t="shared" si="239"/>
        <v>-5.5332880149411174</v>
      </c>
      <c r="CK94" t="str">
        <f t="shared" si="252"/>
        <v>42 Secretarial and related occupations</v>
      </c>
      <c r="CL94" s="17">
        <f t="shared" si="240"/>
        <v>2.9869843459827239</v>
      </c>
      <c r="CM94" s="17">
        <f t="shared" si="240"/>
        <v>-6.1604154420409678</v>
      </c>
      <c r="CN94" s="17">
        <f t="shared" si="240"/>
        <v>4.2576064615883258</v>
      </c>
      <c r="CO94" s="17">
        <f t="shared" si="240"/>
        <v>-0.90665097331805722</v>
      </c>
      <c r="CP94" s="17">
        <f t="shared" si="241"/>
        <v>0.33688595854930448</v>
      </c>
      <c r="CR94" s="17">
        <f t="shared" si="242"/>
        <v>0.78570103636756983</v>
      </c>
      <c r="CS94" s="17">
        <f t="shared" si="243"/>
        <v>3.0174299204599908</v>
      </c>
      <c r="CT94" s="17">
        <f t="shared" si="244"/>
        <v>3.5457428626339604</v>
      </c>
    </row>
    <row r="95" spans="1:98" x14ac:dyDescent="0.2">
      <c r="A95" t="str">
        <f t="shared" si="199"/>
        <v>51 Skilled agricultural and related trades</v>
      </c>
      <c r="B95" s="17">
        <f t="shared" si="200"/>
        <v>28.374262394241434</v>
      </c>
      <c r="C95" s="17">
        <f t="shared" si="200"/>
        <v>-54.384377020593092</v>
      </c>
      <c r="D95" s="17">
        <f t="shared" si="200"/>
        <v>3.5488911497676634</v>
      </c>
      <c r="E95" s="17">
        <f t="shared" si="200"/>
        <v>2.9033184433689962</v>
      </c>
      <c r="F95" s="17">
        <f t="shared" si="201"/>
        <v>-2.0068051242961626</v>
      </c>
      <c r="H95" s="17">
        <f t="shared" si="202"/>
        <v>3.1180609012572136</v>
      </c>
      <c r="I95" s="17">
        <f t="shared" si="203"/>
        <v>4.2197261415859</v>
      </c>
      <c r="J95" s="17">
        <f t="shared" si="204"/>
        <v>6.1381499770019055</v>
      </c>
      <c r="L95" t="str">
        <f t="shared" si="245"/>
        <v>51 Skilled agricultural and related trades</v>
      </c>
      <c r="M95" s="17">
        <f t="shared" si="205"/>
        <v>5.9628161193097551</v>
      </c>
      <c r="N95" s="17">
        <f t="shared" si="205"/>
        <v>-13.411565146325399</v>
      </c>
      <c r="O95" s="17">
        <f t="shared" si="205"/>
        <v>1.4145242578964767</v>
      </c>
      <c r="P95" s="17">
        <f t="shared" si="205"/>
        <v>3.5603716892277371</v>
      </c>
      <c r="Q95" s="17">
        <f t="shared" si="206"/>
        <v>1.7404238774598957</v>
      </c>
      <c r="S95" s="17">
        <f t="shared" si="207"/>
        <v>2.8400911490840119</v>
      </c>
      <c r="T95" s="17">
        <f t="shared" si="208"/>
        <v>3.3907649009520924</v>
      </c>
      <c r="U95" s="17">
        <f t="shared" si="209"/>
        <v>5.3041059002014723</v>
      </c>
      <c r="W95" t="str">
        <f t="shared" si="246"/>
        <v>51 Skilled agricultural and related trades</v>
      </c>
      <c r="X95" s="17">
        <f t="shared" si="210"/>
        <v>3.2489085506486326</v>
      </c>
      <c r="Y95" s="17">
        <f t="shared" si="210"/>
        <v>43.501280509490734</v>
      </c>
      <c r="Z95" s="17">
        <f t="shared" si="210"/>
        <v>1.760562634990781</v>
      </c>
      <c r="AA95" s="17">
        <f t="shared" si="210"/>
        <v>2.8941988874938929</v>
      </c>
      <c r="AB95" s="17">
        <f t="shared" si="211"/>
        <v>4.6926965527713804</v>
      </c>
      <c r="AD95" s="17">
        <f t="shared" si="212"/>
        <v>2.5149238205259383</v>
      </c>
      <c r="AE95" s="17">
        <f t="shared" si="213"/>
        <v>3.9354117518858311</v>
      </c>
      <c r="AF95" s="17">
        <f t="shared" si="214"/>
        <v>5.5101606236787726</v>
      </c>
      <c r="AH95" t="str">
        <f t="shared" si="247"/>
        <v>51 Skilled agricultural and related trades</v>
      </c>
      <c r="AI95" s="17">
        <f t="shared" si="215"/>
        <v>1.5419985463469787</v>
      </c>
      <c r="AJ95" s="17">
        <f t="shared" si="215"/>
        <v>15.510637230707536</v>
      </c>
      <c r="AK95" s="17">
        <f t="shared" si="215"/>
        <v>1.2043420628798707</v>
      </c>
      <c r="AL95" s="17">
        <f t="shared" si="215"/>
        <v>2.3842991731165997</v>
      </c>
      <c r="AM95" s="17">
        <f t="shared" si="216"/>
        <v>2.7861165620661321</v>
      </c>
      <c r="AO95" s="17">
        <f t="shared" si="217"/>
        <v>1.9894594146256939</v>
      </c>
      <c r="AP95" s="17">
        <f t="shared" si="218"/>
        <v>4.0994978281464034</v>
      </c>
      <c r="AQ95" s="17">
        <f t="shared" si="219"/>
        <v>5.3029640816240953</v>
      </c>
      <c r="AS95" t="str">
        <f t="shared" si="248"/>
        <v>51 Skilled agricultural and related trades</v>
      </c>
      <c r="AT95" s="17">
        <f t="shared" si="220"/>
        <v>-1.3199953842173873</v>
      </c>
      <c r="AU95" s="17">
        <f t="shared" si="220"/>
        <v>43.602110962400765</v>
      </c>
      <c r="AV95" s="17">
        <f t="shared" si="220"/>
        <v>0.53126197257928887</v>
      </c>
      <c r="AW95" s="17">
        <f t="shared" si="220"/>
        <v>2.773095900050615</v>
      </c>
      <c r="AX95" s="17">
        <f t="shared" si="221"/>
        <v>4.2236564932393472</v>
      </c>
      <c r="AZ95" s="17">
        <f t="shared" si="222"/>
        <v>2.020317538270322</v>
      </c>
      <c r="BA95" s="17">
        <f t="shared" si="223"/>
        <v>3.6143266872918689</v>
      </c>
      <c r="BB95" s="17">
        <f t="shared" si="224"/>
        <v>4.9129296096409369</v>
      </c>
      <c r="BD95" t="str">
        <f t="shared" si="249"/>
        <v>51 Skilled agricultural and related trades</v>
      </c>
      <c r="BE95" s="17">
        <f t="shared" si="225"/>
        <v>2.3193467001664247</v>
      </c>
      <c r="BF95" s="17">
        <f t="shared" si="225"/>
        <v>15.54614598081292</v>
      </c>
      <c r="BG95" s="17">
        <f t="shared" si="225"/>
        <v>-1.5928149907626143</v>
      </c>
      <c r="BH95" s="17">
        <f t="shared" si="225"/>
        <v>-7.0746327686110888E-4</v>
      </c>
      <c r="BI95" s="17">
        <f t="shared" si="226"/>
        <v>0.40172487770318011</v>
      </c>
      <c r="BK95" s="17">
        <f t="shared" si="227"/>
        <v>-0.53425162342554122</v>
      </c>
      <c r="BL95" s="17">
        <f t="shared" si="228"/>
        <v>2.7124958371793406</v>
      </c>
      <c r="BM95" s="17">
        <f t="shared" si="229"/>
        <v>2.3497899096333486</v>
      </c>
      <c r="BO95" t="str">
        <f t="shared" si="250"/>
        <v>51 Skilled agricultural and related trades</v>
      </c>
      <c r="BP95" s="17">
        <f t="shared" si="230"/>
        <v>2.7864461214740066</v>
      </c>
      <c r="BQ95" s="17">
        <f t="shared" si="230"/>
        <v>10.806528670953664</v>
      </c>
      <c r="BR95" s="17">
        <f t="shared" si="230"/>
        <v>-1.8117395175805018</v>
      </c>
      <c r="BS95" s="17">
        <f t="shared" si="230"/>
        <v>-0.76391086854864509</v>
      </c>
      <c r="BT95" s="17">
        <f t="shared" si="231"/>
        <v>-0.40845402095579519</v>
      </c>
      <c r="BV95" s="17">
        <f t="shared" si="232"/>
        <v>-1.1144236771371885</v>
      </c>
      <c r="BW95" s="17">
        <f t="shared" si="233"/>
        <v>2.6322945194959146</v>
      </c>
      <c r="BX95" s="17">
        <f t="shared" si="234"/>
        <v>1.877675515434829</v>
      </c>
      <c r="BZ95" t="str">
        <f t="shared" si="251"/>
        <v>51 Skilled agricultural and related trades</v>
      </c>
      <c r="CA95" s="17">
        <f t="shared" si="235"/>
        <v>-2.9905534323928951</v>
      </c>
      <c r="CB95" s="17">
        <f t="shared" si="235"/>
        <v>20.193093721692577</v>
      </c>
      <c r="CC95" s="17">
        <f t="shared" si="235"/>
        <v>-4.9411039933571876</v>
      </c>
      <c r="CD95" s="17">
        <f t="shared" si="235"/>
        <v>-3.2198976402580848</v>
      </c>
      <c r="CE95" s="17">
        <f t="shared" si="236"/>
        <v>-2.4490490759878081</v>
      </c>
      <c r="CG95" s="17">
        <f t="shared" si="237"/>
        <v>-3.7970683407328343</v>
      </c>
      <c r="CH95" s="17">
        <f t="shared" si="238"/>
        <v>1.9930027311224396</v>
      </c>
      <c r="CI95" s="17">
        <f t="shared" si="239"/>
        <v>-0.67046617984655166</v>
      </c>
      <c r="CK95" t="str">
        <f t="shared" si="252"/>
        <v>51 Skilled agricultural and related trades</v>
      </c>
      <c r="CL95" s="17">
        <f t="shared" si="240"/>
        <v>-2.6788308169647723</v>
      </c>
      <c r="CM95" s="17">
        <f t="shared" si="240"/>
        <v>19.153512991086696</v>
      </c>
      <c r="CN95" s="17">
        <f t="shared" si="240"/>
        <v>1.617178696099919</v>
      </c>
      <c r="CO95" s="17">
        <f t="shared" si="240"/>
        <v>-3.8078674662746947</v>
      </c>
      <c r="CP95" s="17">
        <f t="shared" si="241"/>
        <v>-0.82638871090159327</v>
      </c>
      <c r="CR95" s="17">
        <f t="shared" si="242"/>
        <v>-2.0324878086729892</v>
      </c>
      <c r="CS95" s="17">
        <f t="shared" si="243"/>
        <v>1.9096050748794946</v>
      </c>
      <c r="CT95" s="17">
        <f t="shared" si="244"/>
        <v>0.40808567499428516</v>
      </c>
    </row>
    <row r="96" spans="1:98" x14ac:dyDescent="0.2">
      <c r="A96" t="str">
        <f t="shared" si="199"/>
        <v>52 Skilled metal, electrical and electronic trades</v>
      </c>
      <c r="B96" s="17">
        <f t="shared" si="200"/>
        <v>0.83522741792696475</v>
      </c>
      <c r="C96" s="17">
        <f t="shared" si="200"/>
        <v>10.325708350509565</v>
      </c>
      <c r="D96" s="17">
        <f t="shared" si="200"/>
        <v>4.6882020527321044</v>
      </c>
      <c r="E96" s="17">
        <f t="shared" si="200"/>
        <v>3.7737229413578932</v>
      </c>
      <c r="F96" s="17">
        <f t="shared" si="201"/>
        <v>4.4575806478676538</v>
      </c>
      <c r="H96" s="17">
        <f t="shared" si="202"/>
        <v>4.0776582686340435</v>
      </c>
      <c r="I96" s="17">
        <f t="shared" si="203"/>
        <v>3.3252725652583415</v>
      </c>
      <c r="J96" s="17">
        <f t="shared" si="204"/>
        <v>6.1693659705680304</v>
      </c>
      <c r="L96" t="str">
        <f t="shared" si="245"/>
        <v>52 Skilled metal, electrical and electronic trades</v>
      </c>
      <c r="M96" s="17">
        <f t="shared" si="205"/>
        <v>6.2459117952215593</v>
      </c>
      <c r="N96" s="17">
        <f t="shared" si="205"/>
        <v>-20.825913441794007</v>
      </c>
      <c r="O96" s="17">
        <f t="shared" si="205"/>
        <v>8.2877242078794424</v>
      </c>
      <c r="P96" s="17">
        <f t="shared" si="205"/>
        <v>4.3786504485200384</v>
      </c>
      <c r="Q96" s="17">
        <f t="shared" si="206"/>
        <v>3.7766740988722569</v>
      </c>
      <c r="S96" s="17">
        <f t="shared" si="207"/>
        <v>5.6657387732355069</v>
      </c>
      <c r="T96" s="17">
        <f t="shared" si="208"/>
        <v>3.9342656186049485</v>
      </c>
      <c r="U96" s="17">
        <f t="shared" si="209"/>
        <v>7.7636326014896673</v>
      </c>
      <c r="W96" t="str">
        <f t="shared" si="246"/>
        <v>52 Skilled metal, electrical and electronic trades</v>
      </c>
      <c r="X96" s="17">
        <f t="shared" si="210"/>
        <v>-0.98205684057545151</v>
      </c>
      <c r="Y96" s="17">
        <f t="shared" si="210"/>
        <v>2.4633997277146324</v>
      </c>
      <c r="Z96" s="17">
        <f t="shared" si="210"/>
        <v>3.876793645800003</v>
      </c>
      <c r="AA96" s="17">
        <f t="shared" si="210"/>
        <v>2.5227797213210001</v>
      </c>
      <c r="AB96" s="17">
        <f t="shared" si="211"/>
        <v>2.9402747470106627</v>
      </c>
      <c r="AD96" s="17">
        <f t="shared" si="212"/>
        <v>2.9721452138313786</v>
      </c>
      <c r="AE96" s="17">
        <f t="shared" si="213"/>
        <v>3.3149311415998861</v>
      </c>
      <c r="AF96" s="17">
        <f t="shared" si="214"/>
        <v>5.3413031117049092</v>
      </c>
      <c r="AH96" t="str">
        <f t="shared" si="247"/>
        <v>52 Skilled metal, electrical and electronic trades</v>
      </c>
      <c r="AI96" s="17">
        <f t="shared" si="215"/>
        <v>-3.9059547331519395</v>
      </c>
      <c r="AJ96" s="17">
        <f t="shared" si="215"/>
        <v>9.0073331172737312</v>
      </c>
      <c r="AK96" s="17">
        <f t="shared" si="215"/>
        <v>1.0438366562804946</v>
      </c>
      <c r="AL96" s="17">
        <f t="shared" si="215"/>
        <v>2.0359160571639778</v>
      </c>
      <c r="AM96" s="17">
        <f t="shared" si="216"/>
        <v>2.1459074171756631</v>
      </c>
      <c r="AO96" s="17">
        <f t="shared" si="217"/>
        <v>1.7041453371817283</v>
      </c>
      <c r="AP96" s="17">
        <f t="shared" si="218"/>
        <v>2.7480450921895105</v>
      </c>
      <c r="AQ96" s="17">
        <f t="shared" si="219"/>
        <v>3.9587430214351071</v>
      </c>
      <c r="AS96" t="str">
        <f t="shared" si="248"/>
        <v>52 Skilled metal, electrical and electronic trades</v>
      </c>
      <c r="AT96" s="17">
        <f t="shared" si="220"/>
        <v>-4.3586405511003345</v>
      </c>
      <c r="AU96" s="17">
        <f t="shared" si="220"/>
        <v>5.5421074631515133</v>
      </c>
      <c r="AV96" s="17">
        <f t="shared" si="220"/>
        <v>0.40057861260833771</v>
      </c>
      <c r="AW96" s="17">
        <f t="shared" si="220"/>
        <v>1.2382284054296422</v>
      </c>
      <c r="AX96" s="17">
        <f t="shared" si="221"/>
        <v>1.238805644321439</v>
      </c>
      <c r="AZ96" s="17">
        <f t="shared" si="222"/>
        <v>0.95823816465079314</v>
      </c>
      <c r="BA96" s="17">
        <f t="shared" si="223"/>
        <v>2.5555614199044951</v>
      </c>
      <c r="BB96" s="17">
        <f t="shared" si="224"/>
        <v>3.2425177522931836</v>
      </c>
      <c r="BD96" t="str">
        <f t="shared" si="249"/>
        <v>52 Skilled metal, electrical and electronic trades</v>
      </c>
      <c r="BE96" s="17">
        <f t="shared" si="225"/>
        <v>2.2710577227683437</v>
      </c>
      <c r="BF96" s="17">
        <f t="shared" si="225"/>
        <v>-16.624937592723665</v>
      </c>
      <c r="BG96" s="17">
        <f t="shared" si="225"/>
        <v>0.10795989515215432</v>
      </c>
      <c r="BH96" s="17">
        <f t="shared" si="225"/>
        <v>-0.36612404580960156</v>
      </c>
      <c r="BI96" s="17">
        <f t="shared" si="226"/>
        <v>-1.3230783549013636</v>
      </c>
      <c r="BK96" s="17">
        <f t="shared" si="227"/>
        <v>-0.20834605110733317</v>
      </c>
      <c r="BL96" s="17">
        <f t="shared" si="228"/>
        <v>2.0527349275521134</v>
      </c>
      <c r="BM96" s="17">
        <f t="shared" si="229"/>
        <v>1.8965772881290199</v>
      </c>
      <c r="BO96" t="str">
        <f t="shared" si="250"/>
        <v>52 Skilled metal, electrical and electronic trades</v>
      </c>
      <c r="BP96" s="17">
        <f t="shared" si="230"/>
        <v>0.38745518705154414</v>
      </c>
      <c r="BQ96" s="17">
        <f t="shared" si="230"/>
        <v>-14.629697043621325</v>
      </c>
      <c r="BR96" s="17">
        <f t="shared" si="230"/>
        <v>-2.5010177680065748</v>
      </c>
      <c r="BS96" s="17">
        <f t="shared" si="230"/>
        <v>-2.1307834576069107</v>
      </c>
      <c r="BT96" s="17">
        <f t="shared" si="231"/>
        <v>-3.0778538989918003</v>
      </c>
      <c r="BV96" s="17">
        <f t="shared" si="232"/>
        <v>-2.2543508420375447</v>
      </c>
      <c r="BW96" s="17">
        <f t="shared" si="233"/>
        <v>1.7566633907218465</v>
      </c>
      <c r="BX96" s="17">
        <f t="shared" si="234"/>
        <v>5.8658407079281716E-2</v>
      </c>
      <c r="BZ96" t="str">
        <f t="shared" si="251"/>
        <v>52 Skilled metal, electrical and electronic trades</v>
      </c>
      <c r="CA96" s="17">
        <f t="shared" si="235"/>
        <v>-3.1720673229094998</v>
      </c>
      <c r="CB96" s="17">
        <f t="shared" si="235"/>
        <v>-9.050801735556945</v>
      </c>
      <c r="CC96" s="17">
        <f t="shared" si="235"/>
        <v>-4.1168252775412251</v>
      </c>
      <c r="CD96" s="17">
        <f t="shared" si="235"/>
        <v>-5.4498154580816083</v>
      </c>
      <c r="CE96" s="17">
        <f t="shared" si="236"/>
        <v>-5.2654450192211266</v>
      </c>
      <c r="CG96" s="17">
        <f t="shared" si="237"/>
        <v>-5.0075572844227256</v>
      </c>
      <c r="CH96" s="17">
        <f t="shared" si="238"/>
        <v>1.6041688827946432</v>
      </c>
      <c r="CI96" s="17">
        <f t="shared" si="239"/>
        <v>-2.0551753332977096</v>
      </c>
      <c r="CK96" t="str">
        <f t="shared" si="252"/>
        <v>52 Skilled metal, electrical and electronic trades</v>
      </c>
      <c r="CL96" s="17">
        <f t="shared" si="240"/>
        <v>1.0428482170332432</v>
      </c>
      <c r="CM96" s="17">
        <f t="shared" si="240"/>
        <v>-16.862873258860255</v>
      </c>
      <c r="CN96" s="17">
        <f t="shared" si="240"/>
        <v>0.37690985776555053</v>
      </c>
      <c r="CO96" s="17">
        <f t="shared" si="240"/>
        <v>-3.3315865529838895</v>
      </c>
      <c r="CP96" s="17">
        <f t="shared" si="241"/>
        <v>-3.1051651709743111</v>
      </c>
      <c r="CR96" s="17">
        <f t="shared" si="242"/>
        <v>-2.1109002551835898</v>
      </c>
      <c r="CS96" s="17">
        <f t="shared" si="243"/>
        <v>1.7696141866273551</v>
      </c>
      <c r="CT96" s="17">
        <f t="shared" si="244"/>
        <v>0.17851825385619691</v>
      </c>
    </row>
    <row r="97" spans="1:98" x14ac:dyDescent="0.2">
      <c r="A97" t="str">
        <f t="shared" si="199"/>
        <v>53 Skilled construction and building trades</v>
      </c>
      <c r="B97" s="17">
        <f t="shared" si="200"/>
        <v>-9.9817279154818195</v>
      </c>
      <c r="C97" s="17">
        <f t="shared" si="200"/>
        <v>-27.930182034371999</v>
      </c>
      <c r="D97" s="17">
        <f t="shared" si="200"/>
        <v>11.569645543476881</v>
      </c>
      <c r="E97" s="17">
        <f t="shared" si="200"/>
        <v>0.4843584396727163</v>
      </c>
      <c r="F97" s="17">
        <f t="shared" si="201"/>
        <v>1.690239633073376</v>
      </c>
      <c r="H97" s="17">
        <f t="shared" si="202"/>
        <v>4.051335907695397</v>
      </c>
      <c r="I97" s="17">
        <f t="shared" si="203"/>
        <v>3.9306264883384623</v>
      </c>
      <c r="J97" s="17">
        <f t="shared" si="204"/>
        <v>6.5700481664316746</v>
      </c>
      <c r="L97" t="str">
        <f t="shared" si="245"/>
        <v>53 Skilled construction and building trades</v>
      </c>
      <c r="M97" s="17">
        <f t="shared" si="205"/>
        <v>1.9781950557212546</v>
      </c>
      <c r="N97" s="17">
        <f t="shared" si="205"/>
        <v>-22.584050888700315</v>
      </c>
      <c r="O97" s="17">
        <f t="shared" si="205"/>
        <v>6.491091708952923</v>
      </c>
      <c r="P97" s="17">
        <f t="shared" si="205"/>
        <v>2.7293604780063818</v>
      </c>
      <c r="Q97" s="17">
        <f t="shared" si="206"/>
        <v>2.069601159744372</v>
      </c>
      <c r="S97" s="17">
        <f t="shared" si="207"/>
        <v>3.9682696636426984</v>
      </c>
      <c r="T97" s="17">
        <f t="shared" si="208"/>
        <v>3.6750198957492985</v>
      </c>
      <c r="U97" s="17">
        <f t="shared" si="209"/>
        <v>6.3303533248382005</v>
      </c>
      <c r="W97" t="str">
        <f t="shared" si="246"/>
        <v>53 Skilled construction and building trades</v>
      </c>
      <c r="X97" s="17">
        <f t="shared" si="210"/>
        <v>-5.0486004510208797</v>
      </c>
      <c r="Y97" s="17">
        <f t="shared" si="210"/>
        <v>-0.93778396771838635</v>
      </c>
      <c r="Z97" s="17">
        <f t="shared" si="210"/>
        <v>4.6240188415202166</v>
      </c>
      <c r="AA97" s="17">
        <f t="shared" si="210"/>
        <v>2.0850500188068777</v>
      </c>
      <c r="AB97" s="17">
        <f t="shared" si="211"/>
        <v>2.6787104217762758</v>
      </c>
      <c r="AD97" s="17">
        <f t="shared" si="212"/>
        <v>2.9244519964856996</v>
      </c>
      <c r="AE97" s="17">
        <f t="shared" si="213"/>
        <v>3.4427091089383577</v>
      </c>
      <c r="AF97" s="17">
        <f t="shared" si="214"/>
        <v>5.4046643155689633</v>
      </c>
      <c r="AH97" t="str">
        <f t="shared" si="247"/>
        <v>53 Skilled construction and building trades</v>
      </c>
      <c r="AI97" s="17">
        <f t="shared" si="215"/>
        <v>-1.4153837673398173</v>
      </c>
      <c r="AJ97" s="17">
        <f t="shared" si="215"/>
        <v>-0.19113770585212908</v>
      </c>
      <c r="AK97" s="17">
        <f t="shared" si="215"/>
        <v>3.2454488619038102</v>
      </c>
      <c r="AL97" s="17">
        <f t="shared" si="215"/>
        <v>1.9036109132121615</v>
      </c>
      <c r="AM97" s="17">
        <f t="shared" si="216"/>
        <v>2.1883093104612783</v>
      </c>
      <c r="AO97" s="17">
        <f t="shared" si="217"/>
        <v>2.3489412504048124</v>
      </c>
      <c r="AP97" s="17">
        <f t="shared" si="218"/>
        <v>3.3666014066085603</v>
      </c>
      <c r="AQ97" s="17">
        <f t="shared" si="219"/>
        <v>4.9355178149590673</v>
      </c>
      <c r="AS97" t="str">
        <f t="shared" si="248"/>
        <v>53 Skilled construction and building trades</v>
      </c>
      <c r="AT97" s="17">
        <f t="shared" si="220"/>
        <v>-3.438609240015067</v>
      </c>
      <c r="AU97" s="17">
        <f t="shared" si="220"/>
        <v>-4.8154883659819792</v>
      </c>
      <c r="AV97" s="17">
        <f t="shared" si="220"/>
        <v>4.3674358506817779</v>
      </c>
      <c r="AW97" s="17">
        <f t="shared" si="220"/>
        <v>1.4870995146053501</v>
      </c>
      <c r="AX97" s="17">
        <f t="shared" si="221"/>
        <v>1.9691349548647041</v>
      </c>
      <c r="AZ97" s="17">
        <f t="shared" si="222"/>
        <v>2.4382691102217136</v>
      </c>
      <c r="BA97" s="17">
        <f t="shared" si="223"/>
        <v>3.4004974259819187</v>
      </c>
      <c r="BB97" s="17">
        <f t="shared" si="224"/>
        <v>5.0258568867911801</v>
      </c>
      <c r="BD97" t="str">
        <f t="shared" si="249"/>
        <v>53 Skilled construction and building trades</v>
      </c>
      <c r="BE97" s="17">
        <f t="shared" si="225"/>
        <v>0.2954320334216165</v>
      </c>
      <c r="BF97" s="17">
        <f t="shared" si="225"/>
        <v>-22.58118138657753</v>
      </c>
      <c r="BG97" s="17">
        <f t="shared" si="225"/>
        <v>0.23789107611049687</v>
      </c>
      <c r="BH97" s="17">
        <f t="shared" si="225"/>
        <v>-1.2673412993310262</v>
      </c>
      <c r="BI97" s="17">
        <f t="shared" si="226"/>
        <v>-2.2957615503839346</v>
      </c>
      <c r="BK97" s="17">
        <f t="shared" si="227"/>
        <v>-0.76812558138574794</v>
      </c>
      <c r="BL97" s="17">
        <f t="shared" si="228"/>
        <v>2.0979144498102009</v>
      </c>
      <c r="BM97" s="17">
        <f t="shared" si="229"/>
        <v>1.5319771145923422</v>
      </c>
      <c r="BO97" t="str">
        <f t="shared" si="250"/>
        <v>53 Skilled construction and building trades</v>
      </c>
      <c r="BP97" s="17">
        <f t="shared" si="230"/>
        <v>1.6459241362504429</v>
      </c>
      <c r="BQ97" s="17">
        <f t="shared" si="230"/>
        <v>-21.730990472461777</v>
      </c>
      <c r="BR97" s="17">
        <f t="shared" si="230"/>
        <v>0.58276240822605629</v>
      </c>
      <c r="BS97" s="17">
        <f t="shared" si="230"/>
        <v>-0.72563779598172617</v>
      </c>
      <c r="BT97" s="17">
        <f t="shared" si="231"/>
        <v>-1.7887659663086919</v>
      </c>
      <c r="BV97" s="17">
        <f t="shared" si="232"/>
        <v>-0.29140651432991715</v>
      </c>
      <c r="BW97" s="17">
        <f t="shared" si="233"/>
        <v>2.3849072453843156</v>
      </c>
      <c r="BX97" s="17">
        <f t="shared" si="234"/>
        <v>2.1766831832521927</v>
      </c>
      <c r="BZ97" t="str">
        <f t="shared" si="251"/>
        <v>53 Skilled construction and building trades</v>
      </c>
      <c r="CA97" s="17">
        <f t="shared" si="235"/>
        <v>-2.2868294251062515</v>
      </c>
      <c r="CB97" s="17">
        <f t="shared" si="235"/>
        <v>-16.228195193056504</v>
      </c>
      <c r="CC97" s="17">
        <f t="shared" si="235"/>
        <v>-2.5328590540124929</v>
      </c>
      <c r="CD97" s="17">
        <f t="shared" si="235"/>
        <v>-3.4304185677613508</v>
      </c>
      <c r="CE97" s="17">
        <f t="shared" si="236"/>
        <v>-4.0075599915856186</v>
      </c>
      <c r="CG97" s="17">
        <f t="shared" si="237"/>
        <v>-3.1321542293826221</v>
      </c>
      <c r="CH97" s="17">
        <f t="shared" si="238"/>
        <v>1.9721573980987284</v>
      </c>
      <c r="CI97" s="17">
        <f t="shared" si="239"/>
        <v>-0.26623267644996229</v>
      </c>
      <c r="CK97" t="str">
        <f t="shared" si="252"/>
        <v>53 Skilled construction and building trades</v>
      </c>
      <c r="CL97" s="17">
        <f t="shared" si="240"/>
        <v>-1.1368332897705447</v>
      </c>
      <c r="CM97" s="17">
        <f t="shared" si="240"/>
        <v>-29.584434241898727</v>
      </c>
      <c r="CN97" s="17">
        <f t="shared" si="240"/>
        <v>-1.1954881191181488</v>
      </c>
      <c r="CO97" s="17">
        <f t="shared" si="240"/>
        <v>-9.9579746269854557</v>
      </c>
      <c r="CP97" s="17">
        <f t="shared" si="241"/>
        <v>-8.7200655714368303</v>
      </c>
      <c r="CR97" s="17">
        <f t="shared" si="242"/>
        <v>-7.1270809564310644</v>
      </c>
      <c r="CS97" s="17">
        <f t="shared" si="243"/>
        <v>1.2512685463325735</v>
      </c>
      <c r="CT97" s="17">
        <f t="shared" si="244"/>
        <v>-4.0851250947595119</v>
      </c>
    </row>
    <row r="98" spans="1:98" x14ac:dyDescent="0.2">
      <c r="A98" t="str">
        <f t="shared" si="199"/>
        <v>54 Textiles, printing and other skilled trades</v>
      </c>
      <c r="B98" s="17">
        <f t="shared" si="200"/>
        <v>2.670829848396683</v>
      </c>
      <c r="C98" s="17">
        <f t="shared" si="200"/>
        <v>-11.745838941783271</v>
      </c>
      <c r="D98" s="17">
        <f t="shared" si="200"/>
        <v>5.9146024057546098</v>
      </c>
      <c r="E98" s="17">
        <f t="shared" si="200"/>
        <v>3.1041663325775959</v>
      </c>
      <c r="F98" s="17">
        <f t="shared" si="201"/>
        <v>2.9685942984984282</v>
      </c>
      <c r="H98" s="17">
        <f t="shared" si="202"/>
        <v>4.0325930178297886</v>
      </c>
      <c r="I98" s="17">
        <f t="shared" si="203"/>
        <v>3.3324784450227574</v>
      </c>
      <c r="J98" s="17">
        <f t="shared" si="204"/>
        <v>6.1402346351746795</v>
      </c>
      <c r="L98" t="str">
        <f t="shared" si="245"/>
        <v>54 Textiles, printing and other skilled trades</v>
      </c>
      <c r="M98" s="17">
        <f t="shared" si="205"/>
        <v>10.682974512345966</v>
      </c>
      <c r="N98" s="17">
        <f t="shared" si="205"/>
        <v>-20.808118744553351</v>
      </c>
      <c r="O98" s="17">
        <f t="shared" si="205"/>
        <v>4.5807538768595446</v>
      </c>
      <c r="P98" s="17">
        <f t="shared" si="205"/>
        <v>3.1288997968543786</v>
      </c>
      <c r="Q98" s="17">
        <f t="shared" si="206"/>
        <v>1.8846972260985639</v>
      </c>
      <c r="S98" s="17">
        <f t="shared" si="207"/>
        <v>3.6105977229995423</v>
      </c>
      <c r="T98" s="17">
        <f t="shared" si="208"/>
        <v>3.5268535404251455</v>
      </c>
      <c r="U98" s="17">
        <f t="shared" si="209"/>
        <v>5.9637237582116587</v>
      </c>
      <c r="W98" t="str">
        <f t="shared" si="246"/>
        <v>54 Textiles, printing and other skilled trades</v>
      </c>
      <c r="X98" s="17">
        <f t="shared" si="210"/>
        <v>-0.51102321117366678</v>
      </c>
      <c r="Y98" s="17">
        <f t="shared" si="210"/>
        <v>-2.4994077142046378</v>
      </c>
      <c r="Z98" s="17">
        <f t="shared" si="210"/>
        <v>3.292290502380868</v>
      </c>
      <c r="AA98" s="17">
        <f t="shared" si="210"/>
        <v>2.2171237210518502</v>
      </c>
      <c r="AB98" s="17">
        <f t="shared" si="211"/>
        <v>2.2495628072643159</v>
      </c>
      <c r="AD98" s="17">
        <f t="shared" si="212"/>
        <v>2.5742633733293552</v>
      </c>
      <c r="AE98" s="17">
        <f t="shared" si="213"/>
        <v>3.5296642518731769</v>
      </c>
      <c r="AF98" s="17">
        <f t="shared" si="214"/>
        <v>5.2247431517870258</v>
      </c>
      <c r="AH98" t="str">
        <f t="shared" si="247"/>
        <v>54 Textiles, printing and other skilled trades</v>
      </c>
      <c r="AI98" s="17">
        <f t="shared" si="215"/>
        <v>-2.2525798374135264</v>
      </c>
      <c r="AJ98" s="17">
        <f t="shared" si="215"/>
        <v>9.6472374357109878</v>
      </c>
      <c r="AK98" s="17">
        <f t="shared" si="215"/>
        <v>1.1844700862752688</v>
      </c>
      <c r="AL98" s="17">
        <f t="shared" si="215"/>
        <v>2.2419196826784837</v>
      </c>
      <c r="AM98" s="17">
        <f t="shared" si="216"/>
        <v>2.356649067230232</v>
      </c>
      <c r="AO98" s="17">
        <f t="shared" si="217"/>
        <v>1.888214252703091</v>
      </c>
      <c r="AP98" s="17">
        <f t="shared" si="218"/>
        <v>3.2919310527343981</v>
      </c>
      <c r="AQ98" s="17">
        <f t="shared" si="219"/>
        <v>4.5508130190333285</v>
      </c>
      <c r="AS98" t="str">
        <f t="shared" si="248"/>
        <v>54 Textiles, printing and other skilled trades</v>
      </c>
      <c r="AT98" s="17">
        <f t="shared" si="220"/>
        <v>-1.8514537631379224</v>
      </c>
      <c r="AU98" s="17">
        <f t="shared" si="220"/>
        <v>3.6971223609110426</v>
      </c>
      <c r="AV98" s="17">
        <f t="shared" si="220"/>
        <v>3.2987065269709515</v>
      </c>
      <c r="AW98" s="17">
        <f t="shared" si="220"/>
        <v>2.1768926055002469</v>
      </c>
      <c r="AX98" s="17">
        <f t="shared" si="221"/>
        <v>2.6208250306483771</v>
      </c>
      <c r="AZ98" s="17">
        <f t="shared" si="222"/>
        <v>2.5494703607446212</v>
      </c>
      <c r="BA98" s="17">
        <f t="shared" si="223"/>
        <v>3.503990855837702</v>
      </c>
      <c r="BB98" s="17">
        <f t="shared" si="224"/>
        <v>5.1869139730004843</v>
      </c>
      <c r="BD98" t="str">
        <f t="shared" si="249"/>
        <v>54 Textiles, printing and other skilled trades</v>
      </c>
      <c r="BE98" s="17">
        <f t="shared" si="225"/>
        <v>-1.2043957938954741</v>
      </c>
      <c r="BF98" s="17">
        <f t="shared" si="225"/>
        <v>-6.2121778649440573</v>
      </c>
      <c r="BG98" s="17">
        <f t="shared" si="225"/>
        <v>-0.1635791311661472</v>
      </c>
      <c r="BH98" s="17">
        <f t="shared" si="225"/>
        <v>-0.75878623360712272</v>
      </c>
      <c r="BI98" s="17">
        <f t="shared" si="226"/>
        <v>-0.92376177412326621</v>
      </c>
      <c r="BK98" s="17">
        <f t="shared" si="227"/>
        <v>-0.56077919445181035</v>
      </c>
      <c r="BL98" s="17">
        <f t="shared" si="228"/>
        <v>2.2640078927318674</v>
      </c>
      <c r="BM98" s="17">
        <f t="shared" si="229"/>
        <v>1.8587686062966347</v>
      </c>
      <c r="BO98" t="str">
        <f t="shared" si="250"/>
        <v>54 Textiles, printing and other skilled trades</v>
      </c>
      <c r="BP98" s="17">
        <f t="shared" si="230"/>
        <v>-4.2352669114075203</v>
      </c>
      <c r="BQ98" s="17">
        <f t="shared" si="230"/>
        <v>-3.7872862623785974</v>
      </c>
      <c r="BR98" s="17">
        <f t="shared" si="230"/>
        <v>-3.2244772718679982</v>
      </c>
      <c r="BS98" s="17">
        <f t="shared" si="230"/>
        <v>-2.4574650130868125</v>
      </c>
      <c r="BT98" s="17">
        <f t="shared" si="231"/>
        <v>-2.7812507052881852</v>
      </c>
      <c r="BV98" s="17">
        <f t="shared" si="232"/>
        <v>-2.7138088528871562</v>
      </c>
      <c r="BW98" s="17">
        <f t="shared" si="233"/>
        <v>1.8595082077323521</v>
      </c>
      <c r="BX98" s="17">
        <f t="shared" si="234"/>
        <v>-0.13329450100802998</v>
      </c>
      <c r="BZ98" t="str">
        <f t="shared" si="251"/>
        <v>54 Textiles, printing and other skilled trades</v>
      </c>
      <c r="CA98" s="17">
        <f t="shared" si="235"/>
        <v>-6.4326238351863463</v>
      </c>
      <c r="CB98" s="17">
        <f t="shared" si="235"/>
        <v>2.8944810463611415</v>
      </c>
      <c r="CC98" s="17">
        <f t="shared" si="235"/>
        <v>-2.2680313418636966</v>
      </c>
      <c r="CD98" s="17">
        <f t="shared" si="235"/>
        <v>-2.5771774944690629</v>
      </c>
      <c r="CE98" s="17">
        <f t="shared" si="236"/>
        <v>-2.1470552772874463</v>
      </c>
      <c r="CG98" s="17">
        <f t="shared" si="237"/>
        <v>-2.4742375846752318</v>
      </c>
      <c r="CH98" s="17">
        <f t="shared" si="238"/>
        <v>1.7968741414439604</v>
      </c>
      <c r="CI98" s="17">
        <f t="shared" si="239"/>
        <v>-4.710359838624445E-2</v>
      </c>
      <c r="CK98" t="str">
        <f t="shared" si="252"/>
        <v>54 Textiles, printing and other skilled trades</v>
      </c>
      <c r="CL98" s="17">
        <f t="shared" si="240"/>
        <v>-4.5544639781561429</v>
      </c>
      <c r="CM98" s="17">
        <f t="shared" si="240"/>
        <v>-10.336799284658715</v>
      </c>
      <c r="CN98" s="17">
        <f t="shared" si="240"/>
        <v>-4.4166697265713424</v>
      </c>
      <c r="CO98" s="17">
        <f t="shared" si="240"/>
        <v>-4.2368434774375352</v>
      </c>
      <c r="CP98" s="17">
        <f t="shared" si="241"/>
        <v>-4.6859667679287842</v>
      </c>
      <c r="CR98" s="17">
        <f t="shared" si="242"/>
        <v>-4.2968231198791678</v>
      </c>
      <c r="CS98" s="17">
        <f t="shared" si="243"/>
        <v>1.3698131002529923</v>
      </c>
      <c r="CT98" s="17">
        <f t="shared" si="244"/>
        <v>-1.953219703612652</v>
      </c>
    </row>
    <row r="99" spans="1:98" x14ac:dyDescent="0.2">
      <c r="A99" t="str">
        <f t="shared" si="199"/>
        <v>61 Caring personal service occupations</v>
      </c>
      <c r="B99" s="17">
        <f t="shared" si="200"/>
        <v>6.2853992073305109</v>
      </c>
      <c r="C99" s="17">
        <f t="shared" si="200"/>
        <v>-19.645748575158006</v>
      </c>
      <c r="D99" s="17">
        <f t="shared" si="200"/>
        <v>7.9654468512242671</v>
      </c>
      <c r="E99" s="17">
        <f t="shared" si="200"/>
        <v>3.9158908864986186</v>
      </c>
      <c r="F99" s="17">
        <f t="shared" si="201"/>
        <v>3.488186797710302</v>
      </c>
      <c r="H99" s="17">
        <f t="shared" si="202"/>
        <v>5.2485785240982352</v>
      </c>
      <c r="I99" s="17">
        <f t="shared" si="203"/>
        <v>4.1073002543561721</v>
      </c>
      <c r="J99" s="17">
        <f t="shared" si="204"/>
        <v>7.5582219872319945</v>
      </c>
      <c r="L99" t="str">
        <f t="shared" si="245"/>
        <v>61 Caring personal service occupations</v>
      </c>
      <c r="M99" s="17">
        <f t="shared" si="205"/>
        <v>10.327963823058273</v>
      </c>
      <c r="N99" s="17">
        <f t="shared" si="205"/>
        <v>-18.271094168574862</v>
      </c>
      <c r="O99" s="17">
        <f t="shared" si="205"/>
        <v>6.936874084764999</v>
      </c>
      <c r="P99" s="17">
        <f t="shared" si="205"/>
        <v>3.7836028479115935</v>
      </c>
      <c r="Q99" s="17">
        <f t="shared" si="206"/>
        <v>3.2063178601522191</v>
      </c>
      <c r="S99" s="17">
        <f t="shared" si="207"/>
        <v>4.8242242439857863</v>
      </c>
      <c r="T99" s="17">
        <f t="shared" si="208"/>
        <v>4.0770842168424748</v>
      </c>
      <c r="U99" s="17">
        <f t="shared" si="209"/>
        <v>7.2276420568812227</v>
      </c>
      <c r="W99" t="str">
        <f t="shared" si="246"/>
        <v>61 Caring personal service occupations</v>
      </c>
      <c r="X99" s="17">
        <f t="shared" si="210"/>
        <v>3.4987766100326168</v>
      </c>
      <c r="Y99" s="17">
        <f t="shared" si="210"/>
        <v>-1.7754773108592303</v>
      </c>
      <c r="Z99" s="17">
        <f t="shared" si="210"/>
        <v>4.7584087610159642</v>
      </c>
      <c r="AA99" s="17">
        <f t="shared" si="210"/>
        <v>2.8635313435332987</v>
      </c>
      <c r="AB99" s="17">
        <f t="shared" si="211"/>
        <v>3.1540225264099941</v>
      </c>
      <c r="AD99" s="17">
        <f t="shared" si="212"/>
        <v>3.491317909699454</v>
      </c>
      <c r="AE99" s="17">
        <f t="shared" si="213"/>
        <v>4.3750275210740597</v>
      </c>
      <c r="AF99" s="17">
        <f t="shared" si="214"/>
        <v>6.5062262283659855</v>
      </c>
      <c r="AH99" t="str">
        <f t="shared" si="247"/>
        <v>61 Caring personal service occupations</v>
      </c>
      <c r="AI99" s="17">
        <f t="shared" si="215"/>
        <v>-0.24358017703229873</v>
      </c>
      <c r="AJ99" s="17">
        <f t="shared" si="215"/>
        <v>-4.0741765108326833</v>
      </c>
      <c r="AK99" s="17">
        <f t="shared" si="215"/>
        <v>2.3922524685105806</v>
      </c>
      <c r="AL99" s="17">
        <f t="shared" si="215"/>
        <v>0.98761414822241544</v>
      </c>
      <c r="AM99" s="17">
        <f t="shared" si="216"/>
        <v>1.0990346697519415</v>
      </c>
      <c r="AO99" s="17">
        <f t="shared" si="217"/>
        <v>1.4536727489443457</v>
      </c>
      <c r="AP99" s="17">
        <f t="shared" si="218"/>
        <v>3.5090642459824295</v>
      </c>
      <c r="AQ99" s="17">
        <f t="shared" si="219"/>
        <v>4.4420646838036149</v>
      </c>
      <c r="AS99" t="str">
        <f t="shared" si="248"/>
        <v>61 Caring personal service occupations</v>
      </c>
      <c r="AT99" s="17">
        <f t="shared" si="220"/>
        <v>2.5298526743606997</v>
      </c>
      <c r="AU99" s="17">
        <f t="shared" si="220"/>
        <v>-4.5760033256299293</v>
      </c>
      <c r="AV99" s="17">
        <f t="shared" si="220"/>
        <v>2.6203351115843043</v>
      </c>
      <c r="AW99" s="17">
        <f t="shared" si="220"/>
        <v>1.5663769702908281</v>
      </c>
      <c r="AX99" s="17">
        <f t="shared" si="221"/>
        <v>1.4980671686805724</v>
      </c>
      <c r="AZ99" s="17">
        <f t="shared" si="222"/>
        <v>1.9164880902071024</v>
      </c>
      <c r="BA99" s="17">
        <f t="shared" si="223"/>
        <v>3.6098540651517963</v>
      </c>
      <c r="BB99" s="17">
        <f t="shared" si="224"/>
        <v>4.8391107559028868</v>
      </c>
      <c r="BD99" t="str">
        <f t="shared" si="249"/>
        <v>61 Caring personal service occupations</v>
      </c>
      <c r="BE99" s="17">
        <f t="shared" si="225"/>
        <v>3.3234590065864378</v>
      </c>
      <c r="BF99" s="17">
        <f t="shared" si="225"/>
        <v>0.34400123040669861</v>
      </c>
      <c r="BG99" s="17">
        <f t="shared" si="225"/>
        <v>1.9666351551085093</v>
      </c>
      <c r="BH99" s="17">
        <f t="shared" si="225"/>
        <v>1.2486294696092415</v>
      </c>
      <c r="BI99" s="17">
        <f t="shared" si="226"/>
        <v>1.4155584989543835</v>
      </c>
      <c r="BK99" s="17">
        <f t="shared" si="227"/>
        <v>1.4874011671224263</v>
      </c>
      <c r="BL99" s="17">
        <f t="shared" si="228"/>
        <v>3.2849674744716895</v>
      </c>
      <c r="BM99" s="17">
        <f t="shared" si="229"/>
        <v>4.2678889395536324</v>
      </c>
      <c r="BO99" t="str">
        <f t="shared" si="250"/>
        <v>61 Caring personal service occupations</v>
      </c>
      <c r="BP99" s="17">
        <f t="shared" si="230"/>
        <v>-0.77114374750560932</v>
      </c>
      <c r="BQ99" s="17">
        <f t="shared" si="230"/>
        <v>-5.5428774557069183</v>
      </c>
      <c r="BR99" s="17">
        <f t="shared" si="230"/>
        <v>-0.94980256910344174</v>
      </c>
      <c r="BS99" s="17">
        <f t="shared" si="230"/>
        <v>-2.4879211318341476</v>
      </c>
      <c r="BT99" s="17">
        <f t="shared" si="231"/>
        <v>-2.2045893852689846</v>
      </c>
      <c r="BV99" s="17">
        <f t="shared" si="232"/>
        <v>-1.9778873110359751</v>
      </c>
      <c r="BW99" s="17">
        <f t="shared" si="233"/>
        <v>2.5399307925908277</v>
      </c>
      <c r="BX99" s="17">
        <f t="shared" si="234"/>
        <v>1.2108343135183386</v>
      </c>
      <c r="BZ99" t="str">
        <f t="shared" si="251"/>
        <v>61 Caring personal service occupations</v>
      </c>
      <c r="CA99" s="17">
        <f t="shared" si="235"/>
        <v>-16.528986490961696</v>
      </c>
      <c r="CB99" s="17">
        <f t="shared" si="235"/>
        <v>-6.8046330847235321</v>
      </c>
      <c r="CC99" s="17">
        <f t="shared" si="235"/>
        <v>-7.865739708512498</v>
      </c>
      <c r="CD99" s="17">
        <f t="shared" si="235"/>
        <v>-3.1214506251712848</v>
      </c>
      <c r="CE99" s="17">
        <f t="shared" si="236"/>
        <v>-4.8604654034590027</v>
      </c>
      <c r="CG99" s="17">
        <f t="shared" si="237"/>
        <v>-4.729421439726444</v>
      </c>
      <c r="CH99" s="17">
        <f t="shared" si="238"/>
        <v>1.3120942050245166</v>
      </c>
      <c r="CI99" s="17">
        <f t="shared" si="239"/>
        <v>-2.3549560437426842</v>
      </c>
      <c r="CK99" t="str">
        <f t="shared" si="252"/>
        <v>61 Caring personal service occupations</v>
      </c>
      <c r="CL99" s="17">
        <f t="shared" si="240"/>
        <v>-1.934404139528989</v>
      </c>
      <c r="CM99" s="17">
        <f t="shared" si="240"/>
        <v>-11.964714315675151</v>
      </c>
      <c r="CN99" s="17">
        <f t="shared" si="240"/>
        <v>6.8599536094205771</v>
      </c>
      <c r="CO99" s="17">
        <f t="shared" si="240"/>
        <v>1.0577918251149176</v>
      </c>
      <c r="CP99" s="17">
        <f t="shared" si="241"/>
        <v>1.953433940074456</v>
      </c>
      <c r="CR99" s="17">
        <f t="shared" si="242"/>
        <v>2.9559689037573333</v>
      </c>
      <c r="CS99" s="17">
        <f t="shared" si="243"/>
        <v>2.326966624239013</v>
      </c>
      <c r="CT99" s="17">
        <f t="shared" si="244"/>
        <v>4.5886723737011303</v>
      </c>
    </row>
    <row r="100" spans="1:98" x14ac:dyDescent="0.2">
      <c r="A100" t="str">
        <f t="shared" si="199"/>
        <v>62 Leisure, travel and related personal service occupations</v>
      </c>
      <c r="B100" s="17">
        <f t="shared" si="200"/>
        <v>17.503257929930129</v>
      </c>
      <c r="C100" s="17">
        <f t="shared" si="200"/>
        <v>-36.120095003298836</v>
      </c>
      <c r="D100" s="17">
        <f t="shared" si="200"/>
        <v>6.9868758698651057</v>
      </c>
      <c r="E100" s="17">
        <f t="shared" si="200"/>
        <v>4.8101019293073088</v>
      </c>
      <c r="F100" s="17">
        <f t="shared" si="201"/>
        <v>2.2711204609010327</v>
      </c>
      <c r="H100" s="17">
        <f t="shared" si="202"/>
        <v>5.5307272048712219</v>
      </c>
      <c r="I100" s="17">
        <f t="shared" si="203"/>
        <v>3.9500097677813928</v>
      </c>
      <c r="J100" s="17">
        <f t="shared" si="204"/>
        <v>7.6709587726305539</v>
      </c>
      <c r="L100" t="str">
        <f t="shared" si="245"/>
        <v>62 Leisure, travel and related personal service occupations</v>
      </c>
      <c r="M100" s="17">
        <f t="shared" si="205"/>
        <v>15.367784445392907</v>
      </c>
      <c r="N100" s="17">
        <f t="shared" si="205"/>
        <v>-24.80429944942626</v>
      </c>
      <c r="O100" s="17">
        <f t="shared" si="205"/>
        <v>5.0888093746168428</v>
      </c>
      <c r="P100" s="17">
        <f t="shared" si="205"/>
        <v>3.2057911523902138</v>
      </c>
      <c r="Q100" s="17">
        <f t="shared" si="206"/>
        <v>1.7568144302017696</v>
      </c>
      <c r="S100" s="17">
        <f t="shared" si="207"/>
        <v>3.8296847681154045</v>
      </c>
      <c r="T100" s="17">
        <f t="shared" si="208"/>
        <v>3.5167776154660713</v>
      </c>
      <c r="U100" s="17">
        <f t="shared" si="209"/>
        <v>6.1172597482764379</v>
      </c>
      <c r="W100" t="str">
        <f t="shared" si="246"/>
        <v>62 Leisure, travel and related personal service occupations</v>
      </c>
      <c r="X100" s="17">
        <f t="shared" si="210"/>
        <v>8.0230450537114972</v>
      </c>
      <c r="Y100" s="17">
        <f t="shared" si="210"/>
        <v>-1.5941003949134003</v>
      </c>
      <c r="Z100" s="17">
        <f t="shared" si="210"/>
        <v>4.5230378026207552</v>
      </c>
      <c r="AA100" s="17">
        <f t="shared" si="210"/>
        <v>3.5204837548407308</v>
      </c>
      <c r="AB100" s="17">
        <f t="shared" si="211"/>
        <v>3.504447458470028</v>
      </c>
      <c r="AD100" s="17">
        <f t="shared" si="212"/>
        <v>3.8535953900716402</v>
      </c>
      <c r="AE100" s="17">
        <f t="shared" si="213"/>
        <v>4.2544554816959623</v>
      </c>
      <c r="AF100" s="17">
        <f t="shared" si="214"/>
        <v>6.6628607626733727</v>
      </c>
      <c r="AH100" t="str">
        <f t="shared" si="247"/>
        <v>62 Leisure, travel and related personal service occupations</v>
      </c>
      <c r="AI100" s="17">
        <f t="shared" si="215"/>
        <v>10.027602968040728</v>
      </c>
      <c r="AJ100" s="17">
        <f t="shared" si="215"/>
        <v>-4.0379100111585631</v>
      </c>
      <c r="AK100" s="17">
        <f t="shared" si="215"/>
        <v>2.9672848922871697</v>
      </c>
      <c r="AL100" s="17">
        <f t="shared" si="215"/>
        <v>3.5575227242674368</v>
      </c>
      <c r="AM100" s="17">
        <f t="shared" si="216"/>
        <v>2.8817358631705536</v>
      </c>
      <c r="AO100" s="17">
        <f t="shared" si="217"/>
        <v>3.3604018002317826</v>
      </c>
      <c r="AP100" s="17">
        <f t="shared" si="218"/>
        <v>3.9892120276988852</v>
      </c>
      <c r="AQ100" s="17">
        <f t="shared" si="219"/>
        <v>6.1267790143012535</v>
      </c>
      <c r="AS100" t="str">
        <f t="shared" si="248"/>
        <v>62 Leisure, travel and related personal service occupations</v>
      </c>
      <c r="AT100" s="17">
        <f t="shared" si="220"/>
        <v>10.338207648004349</v>
      </c>
      <c r="AU100" s="17">
        <f t="shared" si="220"/>
        <v>8.2651677218972921</v>
      </c>
      <c r="AV100" s="17">
        <f t="shared" si="220"/>
        <v>3.4680423140508454</v>
      </c>
      <c r="AW100" s="17">
        <f t="shared" si="220"/>
        <v>4.0573305484673527</v>
      </c>
      <c r="AX100" s="17">
        <f t="shared" si="221"/>
        <v>4.1304918773539923</v>
      </c>
      <c r="AZ100" s="17">
        <f t="shared" si="222"/>
        <v>3.8605291654362217</v>
      </c>
      <c r="BA100" s="17">
        <f t="shared" si="223"/>
        <v>4.1425502885664267</v>
      </c>
      <c r="BB100" s="17">
        <f t="shared" si="224"/>
        <v>6.5865809048138102</v>
      </c>
      <c r="BD100" t="str">
        <f t="shared" si="249"/>
        <v>62 Leisure, travel and related personal service occupations</v>
      </c>
      <c r="BE100" s="17">
        <f t="shared" si="225"/>
        <v>6.6847167756200809</v>
      </c>
      <c r="BF100" s="17">
        <f t="shared" si="225"/>
        <v>-3.0854005989760291</v>
      </c>
      <c r="BG100" s="17">
        <f t="shared" si="225"/>
        <v>-1.4922088438268033</v>
      </c>
      <c r="BH100" s="17">
        <f t="shared" si="225"/>
        <v>-0.53017324650687092</v>
      </c>
      <c r="BI100" s="17">
        <f t="shared" si="226"/>
        <v>-0.99298139318682033</v>
      </c>
      <c r="BK100" s="17">
        <f t="shared" si="227"/>
        <v>-0.85189119820497927</v>
      </c>
      <c r="BL100" s="17">
        <f t="shared" si="228"/>
        <v>2.3277415297104032</v>
      </c>
      <c r="BM100" s="17">
        <f t="shared" si="229"/>
        <v>1.7214417489501033</v>
      </c>
      <c r="BO100" t="str">
        <f t="shared" si="250"/>
        <v>62 Leisure, travel and related personal service occupations</v>
      </c>
      <c r="BP100" s="17">
        <f t="shared" si="230"/>
        <v>5.360516413199079</v>
      </c>
      <c r="BQ100" s="17">
        <f t="shared" si="230"/>
        <v>-6.3901387243375911</v>
      </c>
      <c r="BR100" s="17">
        <f t="shared" si="230"/>
        <v>-3.5341372528432502</v>
      </c>
      <c r="BS100" s="17">
        <f t="shared" si="230"/>
        <v>-2.4271038481111229</v>
      </c>
      <c r="BT100" s="17">
        <f t="shared" si="231"/>
        <v>-3.0260437220587133</v>
      </c>
      <c r="BV100" s="17">
        <f t="shared" si="232"/>
        <v>-2.7975194105557155</v>
      </c>
      <c r="BW100" s="17">
        <f t="shared" si="233"/>
        <v>2.2066777694462303</v>
      </c>
      <c r="BX100" s="17">
        <f t="shared" si="234"/>
        <v>0.26651184489878688</v>
      </c>
      <c r="BZ100" t="str">
        <f t="shared" si="251"/>
        <v>62 Leisure, travel and related personal service occupations</v>
      </c>
      <c r="CA100" s="17">
        <f t="shared" si="235"/>
        <v>1.9054399468761973</v>
      </c>
      <c r="CB100" s="17">
        <f t="shared" si="235"/>
        <v>-4.6493371151544167</v>
      </c>
      <c r="CC100" s="17">
        <f t="shared" si="235"/>
        <v>1.0317823551766026</v>
      </c>
      <c r="CD100" s="17">
        <f t="shared" si="235"/>
        <v>-2.4194816539277575</v>
      </c>
      <c r="CE100" s="17">
        <f t="shared" si="236"/>
        <v>-1.496239088808049</v>
      </c>
      <c r="CG100" s="17">
        <f t="shared" si="237"/>
        <v>-1.2823627880791721</v>
      </c>
      <c r="CH100" s="17">
        <f t="shared" si="238"/>
        <v>2.2826846836518477</v>
      </c>
      <c r="CI100" s="17">
        <f t="shared" si="239"/>
        <v>1.3726341512785512</v>
      </c>
      <c r="CK100" t="str">
        <f t="shared" si="252"/>
        <v>62 Leisure, travel and related personal service occupations</v>
      </c>
      <c r="CL100" s="17">
        <f t="shared" si="240"/>
        <v>0.12932329843313717</v>
      </c>
      <c r="CM100" s="17">
        <f t="shared" si="240"/>
        <v>-20.851528532905593</v>
      </c>
      <c r="CN100" s="17">
        <f t="shared" si="240"/>
        <v>-1.874288282396197</v>
      </c>
      <c r="CO100" s="17">
        <f t="shared" si="240"/>
        <v>-5.3717324693782427</v>
      </c>
      <c r="CP100" s="17">
        <f t="shared" si="241"/>
        <v>-5.3549630595013049</v>
      </c>
      <c r="CR100" s="17">
        <f t="shared" si="242"/>
        <v>-4.2199926708132889</v>
      </c>
      <c r="CS100" s="17">
        <f t="shared" si="243"/>
        <v>1.528138471608953</v>
      </c>
      <c r="CT100" s="17">
        <f t="shared" si="244"/>
        <v>-1.6495798339690393</v>
      </c>
    </row>
    <row r="101" spans="1:98" x14ac:dyDescent="0.2">
      <c r="A101" t="str">
        <f t="shared" si="199"/>
        <v>63 Community and civil enforcement occupations</v>
      </c>
      <c r="B101" s="17">
        <f t="shared" si="200"/>
        <v>7.6667468416820928</v>
      </c>
      <c r="C101" s="17">
        <f t="shared" si="200"/>
        <v>-12.552165337149235</v>
      </c>
      <c r="D101" s="17">
        <f t="shared" si="200"/>
        <v>6.986979977268426</v>
      </c>
      <c r="E101" s="17">
        <f t="shared" si="200"/>
        <v>4.0471378187723062</v>
      </c>
      <c r="F101" s="17">
        <f t="shared" si="201"/>
        <v>3.8231180472803938</v>
      </c>
      <c r="H101" s="17">
        <f t="shared" si="202"/>
        <v>5.0179979667804187</v>
      </c>
      <c r="I101" s="17">
        <f t="shared" si="203"/>
        <v>4.0553920595842063</v>
      </c>
      <c r="J101" s="17">
        <f t="shared" si="204"/>
        <v>7.355226101229273</v>
      </c>
      <c r="L101" t="str">
        <f t="shared" si="245"/>
        <v>63 Community and civil enforcement occupations</v>
      </c>
      <c r="M101" s="17">
        <f t="shared" si="205"/>
        <v>1.3162102082701077</v>
      </c>
      <c r="N101" s="17">
        <f t="shared" si="205"/>
        <v>14.011453912524185</v>
      </c>
      <c r="O101" s="17">
        <f t="shared" si="205"/>
        <v>2.1816440406060789</v>
      </c>
      <c r="P101" s="17">
        <f t="shared" si="205"/>
        <v>4.3354036098325555</v>
      </c>
      <c r="Q101" s="17">
        <f t="shared" si="206"/>
        <v>4.2336917433076771</v>
      </c>
      <c r="S101" s="17">
        <f t="shared" si="207"/>
        <v>3.6124863864848589</v>
      </c>
      <c r="T101" s="17">
        <f t="shared" si="208"/>
        <v>3.3343546436779725</v>
      </c>
      <c r="U101" s="17">
        <f t="shared" si="209"/>
        <v>5.8266783280990442</v>
      </c>
      <c r="W101" t="str">
        <f t="shared" si="246"/>
        <v>63 Community and civil enforcement occupations</v>
      </c>
      <c r="X101" s="17">
        <f t="shared" si="210"/>
        <v>-0.67692841983033603</v>
      </c>
      <c r="Y101" s="17">
        <f t="shared" si="210"/>
        <v>20.770016137501514</v>
      </c>
      <c r="Z101" s="17">
        <f t="shared" si="210"/>
        <v>1.9628383235837932</v>
      </c>
      <c r="AA101" s="17">
        <f t="shared" si="210"/>
        <v>3.0757814667862426</v>
      </c>
      <c r="AB101" s="17">
        <f t="shared" si="211"/>
        <v>3.748885879017938</v>
      </c>
      <c r="AD101" s="17">
        <f t="shared" si="212"/>
        <v>2.7034571502141391</v>
      </c>
      <c r="AE101" s="17">
        <f t="shared" si="213"/>
        <v>3.7211963385464619</v>
      </c>
      <c r="AF101" s="17">
        <f t="shared" si="214"/>
        <v>5.4665788217237221</v>
      </c>
      <c r="AH101" t="str">
        <f t="shared" si="247"/>
        <v>63 Community and civil enforcement occupations</v>
      </c>
      <c r="AI101" s="17">
        <f t="shared" si="215"/>
        <v>-4.0209253426221618</v>
      </c>
      <c r="AJ101" s="17">
        <f t="shared" si="215"/>
        <v>44.288562777146389</v>
      </c>
      <c r="AK101" s="17">
        <f t="shared" si="215"/>
        <v>-1.6368467663590236</v>
      </c>
      <c r="AL101" s="17">
        <f t="shared" si="215"/>
        <v>3.0334771222609413</v>
      </c>
      <c r="AM101" s="17">
        <f t="shared" si="216"/>
        <v>3.710709481618224</v>
      </c>
      <c r="AO101" s="17">
        <f t="shared" si="217"/>
        <v>1.4525696988370029</v>
      </c>
      <c r="AP101" s="17">
        <f t="shared" si="218"/>
        <v>3.0070809935262455</v>
      </c>
      <c r="AQ101" s="17">
        <f t="shared" si="219"/>
        <v>4.0004949665993772</v>
      </c>
      <c r="AS101" t="str">
        <f t="shared" si="248"/>
        <v>63 Community and civil enforcement occupations</v>
      </c>
      <c r="AT101" s="17">
        <f t="shared" si="220"/>
        <v>-5.5216410956697493</v>
      </c>
      <c r="AU101" s="17">
        <f t="shared" si="220"/>
        <v>33.312999220577311</v>
      </c>
      <c r="AV101" s="17">
        <f t="shared" si="220"/>
        <v>-3.461197191816312</v>
      </c>
      <c r="AW101" s="17">
        <f t="shared" si="220"/>
        <v>1.3609593356704197</v>
      </c>
      <c r="AX101" s="17">
        <f t="shared" si="221"/>
        <v>1.5530737391557192</v>
      </c>
      <c r="AZ101" s="17">
        <f t="shared" si="222"/>
        <v>-0.27261198980077506</v>
      </c>
      <c r="BA101" s="17">
        <f t="shared" si="223"/>
        <v>2.7170693704295035</v>
      </c>
      <c r="BB101" s="17">
        <f t="shared" si="224"/>
        <v>2.53095514200119</v>
      </c>
      <c r="BD101" t="str">
        <f t="shared" si="249"/>
        <v>63 Community and civil enforcement occupations</v>
      </c>
      <c r="BE101" s="17">
        <f t="shared" si="225"/>
        <v>-6.3290602860055394</v>
      </c>
      <c r="BF101" s="17">
        <f t="shared" si="225"/>
        <v>33.866124936891076</v>
      </c>
      <c r="BG101" s="17">
        <f t="shared" si="225"/>
        <v>-6.0913242204391977</v>
      </c>
      <c r="BH101" s="17">
        <f t="shared" si="225"/>
        <v>1.9416784694190614</v>
      </c>
      <c r="BI101" s="17">
        <f t="shared" si="226"/>
        <v>1.0665211976032873</v>
      </c>
      <c r="BK101" s="17">
        <f t="shared" si="227"/>
        <v>-0.80957323147257121</v>
      </c>
      <c r="BL101" s="17">
        <f t="shared" si="228"/>
        <v>1.6983355626317476</v>
      </c>
      <c r="BM101" s="17">
        <f t="shared" si="229"/>
        <v>1.0671028562444729</v>
      </c>
      <c r="BO101" t="str">
        <f t="shared" si="250"/>
        <v>63 Community and civil enforcement occupations</v>
      </c>
      <c r="BP101" s="17">
        <f t="shared" si="230"/>
        <v>-4.0615553783344138</v>
      </c>
      <c r="BQ101" s="17">
        <f t="shared" si="230"/>
        <v>26.355132814220394</v>
      </c>
      <c r="BR101" s="17">
        <f t="shared" si="230"/>
        <v>-5.441802685788721</v>
      </c>
      <c r="BS101" s="17">
        <f t="shared" si="230"/>
        <v>0.25339320254491593</v>
      </c>
      <c r="BT101" s="17">
        <f t="shared" si="231"/>
        <v>-0.12829226698769514</v>
      </c>
      <c r="BV101" s="17">
        <f t="shared" si="232"/>
        <v>-1.6821328716804751</v>
      </c>
      <c r="BW101" s="17">
        <f t="shared" si="233"/>
        <v>1.8698433110217572</v>
      </c>
      <c r="BX101" s="17">
        <f t="shared" si="234"/>
        <v>0.61094485980632829</v>
      </c>
      <c r="BZ101" t="str">
        <f t="shared" si="251"/>
        <v>63 Community and civil enforcement occupations</v>
      </c>
      <c r="CA101" s="17">
        <f t="shared" si="235"/>
        <v>-6.6337959840813259</v>
      </c>
      <c r="CB101" s="17">
        <f t="shared" si="235"/>
        <v>38.961988351187138</v>
      </c>
      <c r="CC101" s="17">
        <f t="shared" si="235"/>
        <v>-5.0870076264244108</v>
      </c>
      <c r="CD101" s="17">
        <f t="shared" si="235"/>
        <v>-2.1533208317483621</v>
      </c>
      <c r="CE101" s="17">
        <f t="shared" si="236"/>
        <v>-0.93127391676015581</v>
      </c>
      <c r="CG101" s="17">
        <f t="shared" si="237"/>
        <v>-3.1411557969260984</v>
      </c>
      <c r="CH101" s="17">
        <f t="shared" si="238"/>
        <v>1.734613801278484</v>
      </c>
      <c r="CI101" s="17">
        <f t="shared" si="239"/>
        <v>-0.5987420706205282</v>
      </c>
      <c r="CK101" t="str">
        <f t="shared" si="252"/>
        <v>63 Community and civil enforcement occupations</v>
      </c>
      <c r="CL101" s="17">
        <f t="shared" si="240"/>
        <v>-9.9301017753424698</v>
      </c>
      <c r="CM101" s="17">
        <f t="shared" si="240"/>
        <v>20.9268601556833</v>
      </c>
      <c r="CN101" s="17">
        <f t="shared" si="240"/>
        <v>-9.1728358467667466</v>
      </c>
      <c r="CO101" s="17">
        <f t="shared" si="240"/>
        <v>-2.9673159391332304</v>
      </c>
      <c r="CP101" s="17">
        <f t="shared" si="241"/>
        <v>-3.6339906017920476</v>
      </c>
      <c r="CR101" s="17">
        <f t="shared" si="242"/>
        <v>-5.0815550139506342</v>
      </c>
      <c r="CS101" s="17">
        <f t="shared" si="243"/>
        <v>0.93963746194751785</v>
      </c>
      <c r="CT101" s="17">
        <f t="shared" si="244"/>
        <v>-3.2631506270177302</v>
      </c>
    </row>
    <row r="102" spans="1:98" x14ac:dyDescent="0.2">
      <c r="A102" t="str">
        <f t="shared" si="199"/>
        <v>71 Sales occupations</v>
      </c>
      <c r="B102" s="17">
        <f t="shared" si="200"/>
        <v>7.8802326297398251</v>
      </c>
      <c r="C102" s="17">
        <f t="shared" si="200"/>
        <v>-29.354742950145287</v>
      </c>
      <c r="D102" s="17">
        <f t="shared" si="200"/>
        <v>3.3386213494136729</v>
      </c>
      <c r="E102" s="17">
        <f t="shared" si="200"/>
        <v>2.473525800804488</v>
      </c>
      <c r="F102" s="17">
        <f t="shared" si="201"/>
        <v>0.38228328776943599</v>
      </c>
      <c r="H102" s="17">
        <f t="shared" si="202"/>
        <v>2.7610832954575004</v>
      </c>
      <c r="I102" s="17">
        <f t="shared" si="203"/>
        <v>2.9283153122018124</v>
      </c>
      <c r="J102" s="17">
        <f t="shared" si="204"/>
        <v>4.889711431550281</v>
      </c>
      <c r="L102" t="str">
        <f t="shared" si="245"/>
        <v>71 Sales occupations</v>
      </c>
      <c r="M102" s="17">
        <f t="shared" si="205"/>
        <v>6.6167644588263519</v>
      </c>
      <c r="N102" s="17">
        <f t="shared" si="205"/>
        <v>-14.611626146527845</v>
      </c>
      <c r="O102" s="17">
        <f t="shared" si="205"/>
        <v>3.9204787876606417</v>
      </c>
      <c r="P102" s="17">
        <f t="shared" si="205"/>
        <v>3.8803950016478073</v>
      </c>
      <c r="Q102" s="17">
        <f t="shared" si="206"/>
        <v>2.6278008053822743</v>
      </c>
      <c r="S102" s="17">
        <f t="shared" si="207"/>
        <v>3.8937545454735822</v>
      </c>
      <c r="T102" s="17">
        <f t="shared" si="208"/>
        <v>3.2250715029383148</v>
      </c>
      <c r="U102" s="17">
        <f t="shared" si="209"/>
        <v>5.9609963302142743</v>
      </c>
      <c r="W102" t="str">
        <f t="shared" si="246"/>
        <v>71 Sales occupations</v>
      </c>
      <c r="X102" s="17">
        <f t="shared" si="210"/>
        <v>0.28600329009627057</v>
      </c>
      <c r="Y102" s="17">
        <f t="shared" si="210"/>
        <v>5.3149684858651458</v>
      </c>
      <c r="Z102" s="17">
        <f t="shared" si="210"/>
        <v>2.0028051452431361</v>
      </c>
      <c r="AA102" s="17">
        <f t="shared" si="210"/>
        <v>3.1121978151593677</v>
      </c>
      <c r="AB102" s="17">
        <f t="shared" si="211"/>
        <v>2.9000758348293409</v>
      </c>
      <c r="AD102" s="17">
        <f t="shared" si="212"/>
        <v>2.7410660464854741</v>
      </c>
      <c r="AE102" s="17">
        <f t="shared" si="213"/>
        <v>3.5120216796698633</v>
      </c>
      <c r="AF102" s="17">
        <f t="shared" si="214"/>
        <v>5.3280356416182117</v>
      </c>
      <c r="AH102" t="str">
        <f t="shared" si="247"/>
        <v>71 Sales occupations</v>
      </c>
      <c r="AI102" s="17">
        <f t="shared" si="215"/>
        <v>0.45218786962550883</v>
      </c>
      <c r="AJ102" s="17">
        <f t="shared" si="215"/>
        <v>1.7760562318946516</v>
      </c>
      <c r="AK102" s="17">
        <f t="shared" si="215"/>
        <v>1.3028601334601042</v>
      </c>
      <c r="AL102" s="17">
        <f t="shared" si="215"/>
        <v>3.0759111747132639</v>
      </c>
      <c r="AM102" s="17">
        <f t="shared" si="216"/>
        <v>2.4372412101494101</v>
      </c>
      <c r="AO102" s="17">
        <f t="shared" si="217"/>
        <v>2.4814726251725094</v>
      </c>
      <c r="AP102" s="17">
        <f t="shared" si="218"/>
        <v>3.532561471899176</v>
      </c>
      <c r="AQ102" s="17">
        <f t="shared" si="219"/>
        <v>5.162280197652791</v>
      </c>
      <c r="AS102" t="str">
        <f t="shared" si="248"/>
        <v>71 Sales occupations</v>
      </c>
      <c r="AT102" s="17">
        <f t="shared" si="220"/>
        <v>-1.1770436187343414</v>
      </c>
      <c r="AU102" s="17">
        <f t="shared" si="220"/>
        <v>8.858924689853076</v>
      </c>
      <c r="AV102" s="17">
        <f t="shared" si="220"/>
        <v>-0.12288673311580123</v>
      </c>
      <c r="AW102" s="17">
        <f t="shared" si="220"/>
        <v>2.0843648228669354</v>
      </c>
      <c r="AX102" s="17">
        <f t="shared" si="221"/>
        <v>1.7973894955776171</v>
      </c>
      <c r="AZ102" s="17">
        <f t="shared" si="222"/>
        <v>1.3432469143764392</v>
      </c>
      <c r="BA102" s="17">
        <f t="shared" si="223"/>
        <v>2.7636396152455722</v>
      </c>
      <c r="BB102" s="17">
        <f t="shared" si="224"/>
        <v>3.7088207245780325</v>
      </c>
      <c r="BD102" t="str">
        <f t="shared" si="249"/>
        <v>71 Sales occupations</v>
      </c>
      <c r="BE102" s="17">
        <f t="shared" si="225"/>
        <v>0.99388892258855943</v>
      </c>
      <c r="BF102" s="17">
        <f t="shared" si="225"/>
        <v>-1.4972118614719698</v>
      </c>
      <c r="BG102" s="17">
        <f t="shared" si="225"/>
        <v>-0.84688393122244188</v>
      </c>
      <c r="BH102" s="17">
        <f t="shared" si="225"/>
        <v>0.64267127644923594</v>
      </c>
      <c r="BI102" s="17">
        <f t="shared" si="226"/>
        <v>4.0330907742047728E-2</v>
      </c>
      <c r="BK102" s="17">
        <f t="shared" si="227"/>
        <v>0.14368296893105814</v>
      </c>
      <c r="BL102" s="17">
        <f t="shared" si="228"/>
        <v>2.5031906598210751</v>
      </c>
      <c r="BM102" s="17">
        <f t="shared" si="229"/>
        <v>2.605150404787282</v>
      </c>
      <c r="BO102" t="str">
        <f t="shared" si="250"/>
        <v>71 Sales occupations</v>
      </c>
      <c r="BP102" s="17">
        <f t="shared" si="230"/>
        <v>-1.9104673186431942</v>
      </c>
      <c r="BQ102" s="17">
        <f t="shared" si="230"/>
        <v>-4.860687586778301</v>
      </c>
      <c r="BR102" s="17">
        <f t="shared" si="230"/>
        <v>-3.2768478263240031</v>
      </c>
      <c r="BS102" s="17">
        <f t="shared" si="230"/>
        <v>-2.3462100923954621</v>
      </c>
      <c r="BT102" s="17">
        <f t="shared" si="231"/>
        <v>-2.7966007355361588</v>
      </c>
      <c r="BV102" s="17">
        <f t="shared" si="232"/>
        <v>-2.6574133599900795</v>
      </c>
      <c r="BW102" s="17">
        <f t="shared" si="233"/>
        <v>2.2889702693893677</v>
      </c>
      <c r="BX102" s="17">
        <f t="shared" si="234"/>
        <v>0.46365500016156691</v>
      </c>
      <c r="BZ102" t="str">
        <f t="shared" si="251"/>
        <v>71 Sales occupations</v>
      </c>
      <c r="CA102" s="17">
        <f t="shared" si="235"/>
        <v>-5.4724581763805453</v>
      </c>
      <c r="CB102" s="17">
        <f t="shared" si="235"/>
        <v>-4.8445624515402237</v>
      </c>
      <c r="CC102" s="17">
        <f t="shared" si="235"/>
        <v>-3.6461250998704786</v>
      </c>
      <c r="CD102" s="17">
        <f t="shared" si="235"/>
        <v>-10.015669958140972</v>
      </c>
      <c r="CE102" s="17">
        <f t="shared" si="236"/>
        <v>-7.750180391215844</v>
      </c>
      <c r="CG102" s="17">
        <f t="shared" si="237"/>
        <v>-7.9407031867700484</v>
      </c>
      <c r="CH102" s="17">
        <f t="shared" si="238"/>
        <v>1.4198438017046122</v>
      </c>
      <c r="CI102" s="17">
        <f t="shared" si="239"/>
        <v>-4.2098466794188605</v>
      </c>
      <c r="CK102" t="str">
        <f t="shared" si="252"/>
        <v>71 Sales occupations</v>
      </c>
      <c r="CL102" s="17">
        <f t="shared" si="240"/>
        <v>-3.6680986864392584</v>
      </c>
      <c r="CM102" s="17">
        <f t="shared" si="240"/>
        <v>-20.506301265135683</v>
      </c>
      <c r="CN102" s="17">
        <f t="shared" si="240"/>
        <v>-3.8349388236720294</v>
      </c>
      <c r="CO102" s="17">
        <f t="shared" si="240"/>
        <v>-4.3382270790755957</v>
      </c>
      <c r="CP102" s="17">
        <f t="shared" si="241"/>
        <v>-5.2835919099431976</v>
      </c>
      <c r="CR102" s="17">
        <f t="shared" si="242"/>
        <v>-4.1707576771245147</v>
      </c>
      <c r="CS102" s="17">
        <f t="shared" si="243"/>
        <v>1.2227348604769706</v>
      </c>
      <c r="CT102" s="17">
        <f t="shared" si="244"/>
        <v>-2.0961553210285144</v>
      </c>
    </row>
    <row r="103" spans="1:98" x14ac:dyDescent="0.2">
      <c r="A103" t="str">
        <f t="shared" si="199"/>
        <v>72 Customer service occupations</v>
      </c>
      <c r="B103" s="17">
        <f t="shared" si="200"/>
        <v>6.5992326979105842</v>
      </c>
      <c r="C103" s="17">
        <f t="shared" si="200"/>
        <v>-6.3427800753154688</v>
      </c>
      <c r="D103" s="17">
        <f t="shared" si="200"/>
        <v>10.676844371428151</v>
      </c>
      <c r="E103" s="17">
        <f t="shared" si="200"/>
        <v>4.1013201416694178</v>
      </c>
      <c r="F103" s="17">
        <f t="shared" si="201"/>
        <v>5.4142242239261007</v>
      </c>
      <c r="H103" s="17">
        <f t="shared" si="202"/>
        <v>6.2485668335605649</v>
      </c>
      <c r="I103" s="17">
        <f t="shared" si="203"/>
        <v>3.8930306494560751</v>
      </c>
      <c r="J103" s="17">
        <f t="shared" si="204"/>
        <v>8.1871055967553055</v>
      </c>
      <c r="L103" t="str">
        <f t="shared" si="245"/>
        <v>72 Customer service occupations</v>
      </c>
      <c r="M103" s="17">
        <f t="shared" si="205"/>
        <v>11.003752952732349</v>
      </c>
      <c r="N103" s="17">
        <f t="shared" si="205"/>
        <v>-13.185416360266755</v>
      </c>
      <c r="O103" s="17">
        <f t="shared" si="205"/>
        <v>10.635828230057619</v>
      </c>
      <c r="P103" s="17">
        <f t="shared" si="205"/>
        <v>4.3246433788504346</v>
      </c>
      <c r="Q103" s="17">
        <f t="shared" si="206"/>
        <v>5.0440108135592965</v>
      </c>
      <c r="S103" s="17">
        <f t="shared" si="207"/>
        <v>6.3873202281010011</v>
      </c>
      <c r="T103" s="17">
        <f t="shared" si="208"/>
        <v>4.1142971986146248</v>
      </c>
      <c r="U103" s="17">
        <f t="shared" si="209"/>
        <v>8.419682204729817</v>
      </c>
      <c r="W103" t="str">
        <f t="shared" si="246"/>
        <v>72 Customer service occupations</v>
      </c>
      <c r="X103" s="17">
        <f t="shared" si="210"/>
        <v>3.0884016666298253</v>
      </c>
      <c r="Y103" s="17">
        <f t="shared" si="210"/>
        <v>6.1352453592258271</v>
      </c>
      <c r="Z103" s="17">
        <f t="shared" si="210"/>
        <v>7.2933480736172562</v>
      </c>
      <c r="AA103" s="17">
        <f t="shared" si="210"/>
        <v>3.440380684191946</v>
      </c>
      <c r="AB103" s="17">
        <f t="shared" si="211"/>
        <v>4.7976501956134676</v>
      </c>
      <c r="AD103" s="17">
        <f t="shared" si="212"/>
        <v>4.7090789222434148</v>
      </c>
      <c r="AE103" s="17">
        <f t="shared" si="213"/>
        <v>4.1409961520722627</v>
      </c>
      <c r="AF103" s="17">
        <f t="shared" si="214"/>
        <v>7.1866201597735158</v>
      </c>
      <c r="AH103" t="str">
        <f t="shared" si="247"/>
        <v>72 Customer service occupations</v>
      </c>
      <c r="AI103" s="17">
        <f t="shared" si="215"/>
        <v>4.6375866428083112</v>
      </c>
      <c r="AJ103" s="17">
        <f t="shared" si="215"/>
        <v>8.992488429297584</v>
      </c>
      <c r="AK103" s="17">
        <f t="shared" si="215"/>
        <v>7.6545877058462386</v>
      </c>
      <c r="AL103" s="17">
        <f t="shared" si="215"/>
        <v>3.6119811468995566</v>
      </c>
      <c r="AM103" s="17">
        <f t="shared" si="216"/>
        <v>5.1910259884369925</v>
      </c>
      <c r="AO103" s="17">
        <f t="shared" si="217"/>
        <v>4.9423614404636274</v>
      </c>
      <c r="AP103" s="17">
        <f t="shared" si="218"/>
        <v>4.2865305012673049</v>
      </c>
      <c r="AQ103" s="17">
        <f t="shared" si="219"/>
        <v>7.4509690503954173</v>
      </c>
      <c r="AS103" t="str">
        <f t="shared" si="248"/>
        <v>72 Customer service occupations</v>
      </c>
      <c r="AT103" s="17">
        <f t="shared" si="220"/>
        <v>0.74669427813001121</v>
      </c>
      <c r="AU103" s="17">
        <f t="shared" si="220"/>
        <v>9.4958850991608621</v>
      </c>
      <c r="AV103" s="17">
        <f t="shared" si="220"/>
        <v>6.6753185580759045</v>
      </c>
      <c r="AW103" s="17">
        <f t="shared" si="220"/>
        <v>2.2930109587139702</v>
      </c>
      <c r="AX103" s="17">
        <f t="shared" si="221"/>
        <v>4.0845029518592257</v>
      </c>
      <c r="AZ103" s="17">
        <f t="shared" si="222"/>
        <v>3.733402748557646</v>
      </c>
      <c r="BA103" s="17">
        <f t="shared" si="223"/>
        <v>3.658095356163038</v>
      </c>
      <c r="BB103" s="17">
        <f t="shared" si="224"/>
        <v>6.1475020613604103</v>
      </c>
      <c r="BD103" t="str">
        <f t="shared" si="249"/>
        <v>72 Customer service occupations</v>
      </c>
      <c r="BE103" s="17">
        <f t="shared" si="225"/>
        <v>2.8240175543565726</v>
      </c>
      <c r="BF103" s="17">
        <f t="shared" si="225"/>
        <v>6.5524759268979826</v>
      </c>
      <c r="BG103" s="17">
        <f t="shared" si="225"/>
        <v>4.5809630279924907</v>
      </c>
      <c r="BH103" s="17">
        <f t="shared" si="225"/>
        <v>1.4109602000090371</v>
      </c>
      <c r="BI103" s="17">
        <f t="shared" si="226"/>
        <v>2.7081081738802526</v>
      </c>
      <c r="BK103" s="17">
        <f t="shared" si="227"/>
        <v>2.4568050007179876</v>
      </c>
      <c r="BL103" s="17">
        <f t="shared" si="228"/>
        <v>3.0533935466244833</v>
      </c>
      <c r="BM103" s="17">
        <f t="shared" si="229"/>
        <v>4.7617941420660115</v>
      </c>
      <c r="BO103" t="str">
        <f t="shared" si="250"/>
        <v>72 Customer service occupations</v>
      </c>
      <c r="BP103" s="17">
        <f t="shared" si="230"/>
        <v>1.2656149104015579</v>
      </c>
      <c r="BQ103" s="17">
        <f t="shared" si="230"/>
        <v>0.83806984313146149</v>
      </c>
      <c r="BR103" s="17">
        <f t="shared" si="230"/>
        <v>3.0651664301281967</v>
      </c>
      <c r="BS103" s="17">
        <f t="shared" si="230"/>
        <v>-0.99655406515646305</v>
      </c>
      <c r="BT103" s="17">
        <f t="shared" si="231"/>
        <v>0.37035233344657748</v>
      </c>
      <c r="BV103" s="17">
        <f t="shared" si="232"/>
        <v>0.33924841246439907</v>
      </c>
      <c r="BW103" s="17">
        <f t="shared" si="233"/>
        <v>3.0266120815542585</v>
      </c>
      <c r="BX103" s="17">
        <f t="shared" si="234"/>
        <v>3.2519872180279519</v>
      </c>
      <c r="BZ103" t="str">
        <f t="shared" si="251"/>
        <v>72 Customer service occupations</v>
      </c>
      <c r="CA103" s="17">
        <f t="shared" si="235"/>
        <v>-4.2411298819753807</v>
      </c>
      <c r="CB103" s="17">
        <f t="shared" si="235"/>
        <v>8.7956581179771121E-3</v>
      </c>
      <c r="CC103" s="17">
        <f t="shared" si="235"/>
        <v>0.82663606461150785</v>
      </c>
      <c r="CD103" s="17">
        <f t="shared" si="235"/>
        <v>-3.4277442098754052</v>
      </c>
      <c r="CE103" s="17">
        <f t="shared" si="236"/>
        <v>-1.9037520151974352</v>
      </c>
      <c r="CG103" s="17">
        <f t="shared" si="237"/>
        <v>-2.0299469334438602</v>
      </c>
      <c r="CH103" s="17">
        <f t="shared" si="238"/>
        <v>1.8333363237259759</v>
      </c>
      <c r="CI103" s="17">
        <f t="shared" si="239"/>
        <v>0.31590147341957753</v>
      </c>
      <c r="CK103" t="str">
        <f t="shared" si="252"/>
        <v>72 Customer service occupations</v>
      </c>
      <c r="CL103" s="17">
        <f t="shared" si="240"/>
        <v>5.9767385022079011</v>
      </c>
      <c r="CM103" s="17">
        <f t="shared" si="240"/>
        <v>-12.77304757057035</v>
      </c>
      <c r="CN103" s="17">
        <f t="shared" si="240"/>
        <v>10.007724237592065</v>
      </c>
      <c r="CO103" s="17">
        <f t="shared" si="240"/>
        <v>1.1906187725797324</v>
      </c>
      <c r="CP103" s="17">
        <f t="shared" si="241"/>
        <v>2.9077469274966905</v>
      </c>
      <c r="CR103" s="17">
        <f t="shared" si="242"/>
        <v>4.0481975405173953</v>
      </c>
      <c r="CS103" s="17">
        <f t="shared" si="243"/>
        <v>3.035346549159823</v>
      </c>
      <c r="CT103" s="17">
        <f t="shared" si="244"/>
        <v>5.9495628539097734</v>
      </c>
    </row>
    <row r="104" spans="1:98" x14ac:dyDescent="0.2">
      <c r="A104" t="str">
        <f t="shared" si="199"/>
        <v>81 Process, plant and machine operatives</v>
      </c>
      <c r="B104" s="17">
        <f t="shared" si="200"/>
        <v>13.274338853176948</v>
      </c>
      <c r="C104" s="17">
        <f t="shared" si="200"/>
        <v>-28.902701624518023</v>
      </c>
      <c r="D104" s="17">
        <f t="shared" si="200"/>
        <v>8.8445721341573922</v>
      </c>
      <c r="E104" s="17">
        <f t="shared" si="200"/>
        <v>7.4413888710390896</v>
      </c>
      <c r="F104" s="17">
        <f t="shared" si="201"/>
        <v>5.1296442690999866</v>
      </c>
      <c r="H104" s="17">
        <f t="shared" si="202"/>
        <v>7.9070950985827171</v>
      </c>
      <c r="I104" s="17">
        <f t="shared" si="203"/>
        <v>4.8016092915631248</v>
      </c>
      <c r="J104" s="17">
        <f t="shared" si="204"/>
        <v>9.9560160542362155</v>
      </c>
      <c r="L104" t="str">
        <f t="shared" si="245"/>
        <v>81 Process, plant and machine operatives</v>
      </c>
      <c r="M104" s="17">
        <f t="shared" si="205"/>
        <v>9.2172949645833224</v>
      </c>
      <c r="N104" s="17">
        <f t="shared" si="205"/>
        <v>-24.248911624635163</v>
      </c>
      <c r="O104" s="17">
        <f t="shared" si="205"/>
        <v>12.594145043727067</v>
      </c>
      <c r="P104" s="17">
        <f t="shared" si="205"/>
        <v>7.0793218838632654</v>
      </c>
      <c r="Q104" s="17">
        <f t="shared" si="206"/>
        <v>6.4453029426001507</v>
      </c>
      <c r="S104" s="17">
        <f t="shared" si="207"/>
        <v>8.8869109474036136</v>
      </c>
      <c r="T104" s="17">
        <f t="shared" si="208"/>
        <v>5.0770343025772435</v>
      </c>
      <c r="U104" s="17">
        <f t="shared" si="209"/>
        <v>10.849390309939167</v>
      </c>
      <c r="W104" t="str">
        <f t="shared" si="246"/>
        <v>81 Process, plant and machine operatives</v>
      </c>
      <c r="X104" s="17">
        <f t="shared" si="210"/>
        <v>2.3429942987877483</v>
      </c>
      <c r="Y104" s="17">
        <f t="shared" si="210"/>
        <v>-5.2529812614493849</v>
      </c>
      <c r="Z104" s="17">
        <f t="shared" si="210"/>
        <v>9.8773074626733894</v>
      </c>
      <c r="AA104" s="17">
        <f t="shared" si="210"/>
        <v>6.2221154110196908</v>
      </c>
      <c r="AB104" s="17">
        <f t="shared" si="211"/>
        <v>6.5868042422966955</v>
      </c>
      <c r="AD104" s="17">
        <f t="shared" si="212"/>
        <v>7.4267985938516023</v>
      </c>
      <c r="AE104" s="17">
        <f t="shared" si="213"/>
        <v>4.8557685505623116</v>
      </c>
      <c r="AF104" s="17">
        <f t="shared" si="214"/>
        <v>9.6188083907500896</v>
      </c>
      <c r="AH104" t="str">
        <f t="shared" si="247"/>
        <v>81 Process, plant and machine operatives</v>
      </c>
      <c r="AI104" s="17">
        <f t="shared" si="215"/>
        <v>0.50905927401401208</v>
      </c>
      <c r="AJ104" s="17">
        <f t="shared" si="215"/>
        <v>4.4954037162677984</v>
      </c>
      <c r="AK104" s="17">
        <f t="shared" si="215"/>
        <v>7.8895243704478979</v>
      </c>
      <c r="AL104" s="17">
        <f t="shared" si="215"/>
        <v>3.6081101635366375</v>
      </c>
      <c r="AM104" s="17">
        <f t="shared" si="216"/>
        <v>4.9834145368348848</v>
      </c>
      <c r="AO104" s="17">
        <f t="shared" si="217"/>
        <v>5.0160295084221262</v>
      </c>
      <c r="AP104" s="17">
        <f t="shared" si="218"/>
        <v>3.9406305031061351</v>
      </c>
      <c r="AQ104" s="17">
        <f t="shared" si="219"/>
        <v>7.2798531884139539</v>
      </c>
      <c r="AS104" t="str">
        <f t="shared" si="248"/>
        <v>81 Process, plant and machine operatives</v>
      </c>
      <c r="AT104" s="17">
        <f t="shared" si="220"/>
        <v>-0.89533813788562622</v>
      </c>
      <c r="AU104" s="17">
        <f t="shared" si="220"/>
        <v>8.4567375096698871</v>
      </c>
      <c r="AV104" s="17">
        <f t="shared" si="220"/>
        <v>7.3514538206742142</v>
      </c>
      <c r="AW104" s="17">
        <f t="shared" si="220"/>
        <v>3.5975912854526726</v>
      </c>
      <c r="AX104" s="17">
        <f t="shared" si="221"/>
        <v>5.0568918576036737</v>
      </c>
      <c r="AZ104" s="17">
        <f t="shared" si="222"/>
        <v>4.834062397729233</v>
      </c>
      <c r="BA104" s="17">
        <f t="shared" si="223"/>
        <v>3.8864676130275555</v>
      </c>
      <c r="BB104" s="17">
        <f t="shared" si="224"/>
        <v>7.1099504978804351</v>
      </c>
      <c r="BD104" t="str">
        <f t="shared" si="249"/>
        <v>81 Process, plant and machine operatives</v>
      </c>
      <c r="BE104" s="17">
        <f t="shared" si="225"/>
        <v>2.4055876634591078</v>
      </c>
      <c r="BF104" s="17">
        <f t="shared" si="225"/>
        <v>-13.353746778159614</v>
      </c>
      <c r="BG104" s="17">
        <f t="shared" si="225"/>
        <v>6.3761749299118708</v>
      </c>
      <c r="BH104" s="17">
        <f t="shared" si="225"/>
        <v>1.6518385316214079</v>
      </c>
      <c r="BI104" s="17">
        <f t="shared" si="226"/>
        <v>2.0810787951588194</v>
      </c>
      <c r="BK104" s="17">
        <f t="shared" si="227"/>
        <v>3.2028320686216638</v>
      </c>
      <c r="BL104" s="17">
        <f t="shared" si="228"/>
        <v>2.8708100650855384</v>
      </c>
      <c r="BM104" s="17">
        <f t="shared" si="229"/>
        <v>5.1816649981005769</v>
      </c>
      <c r="BO104" t="str">
        <f t="shared" si="250"/>
        <v>81 Process, plant and machine operatives</v>
      </c>
      <c r="BP104" s="17">
        <f t="shared" si="230"/>
        <v>1.0245607003583235</v>
      </c>
      <c r="BQ104" s="17">
        <f t="shared" si="230"/>
        <v>-15.223098627826515</v>
      </c>
      <c r="BR104" s="17">
        <f t="shared" si="230"/>
        <v>4.2279011012986922</v>
      </c>
      <c r="BS104" s="17">
        <f t="shared" si="230"/>
        <v>-0.45931629334796664</v>
      </c>
      <c r="BT104" s="17">
        <f t="shared" si="231"/>
        <v>-2.5847578199200694E-2</v>
      </c>
      <c r="BV104" s="17">
        <f t="shared" si="232"/>
        <v>1.0791878235337338</v>
      </c>
      <c r="BW104" s="17">
        <f t="shared" si="233"/>
        <v>2.6380238324004823</v>
      </c>
      <c r="BX104" s="17">
        <f t="shared" si="234"/>
        <v>3.4054041798373236</v>
      </c>
      <c r="BZ104" t="str">
        <f t="shared" si="251"/>
        <v>81 Process, plant and machine operatives</v>
      </c>
      <c r="CA104" s="17">
        <f t="shared" si="235"/>
        <v>-3.0590318490697599</v>
      </c>
      <c r="CB104" s="17">
        <f t="shared" si="235"/>
        <v>-9.7719727396475058</v>
      </c>
      <c r="CC104" s="17">
        <f t="shared" si="235"/>
        <v>1.4267874540158321</v>
      </c>
      <c r="CD104" s="17">
        <f t="shared" si="235"/>
        <v>-6.8397784522201572</v>
      </c>
      <c r="CE104" s="17">
        <f t="shared" si="236"/>
        <v>-4.5225918167970169</v>
      </c>
      <c r="CG104" s="17">
        <f t="shared" si="237"/>
        <v>-4.1619654807957929</v>
      </c>
      <c r="CH104" s="17">
        <f t="shared" si="238"/>
        <v>1.844822267616264</v>
      </c>
      <c r="CI104" s="17">
        <f t="shared" si="239"/>
        <v>-1.1242483474691367</v>
      </c>
      <c r="CK104" t="str">
        <f t="shared" si="252"/>
        <v>81 Process, plant and machine operatives</v>
      </c>
      <c r="CL104" s="17">
        <f t="shared" si="240"/>
        <v>-5.0532089816800241</v>
      </c>
      <c r="CM104" s="17">
        <f t="shared" si="240"/>
        <v>-23.534230565716609</v>
      </c>
      <c r="CN104" s="17">
        <f t="shared" si="240"/>
        <v>-9.8802680608467863</v>
      </c>
      <c r="CO104" s="17">
        <f t="shared" si="240"/>
        <v>-7.836900585284468</v>
      </c>
      <c r="CP104" s="17">
        <f t="shared" si="241"/>
        <v>-9.5421883438429838</v>
      </c>
      <c r="CR104" s="17">
        <f t="shared" si="242"/>
        <v>-8.5231197814458213</v>
      </c>
      <c r="CS104" s="17">
        <f t="shared" si="243"/>
        <v>0.8649869361480933</v>
      </c>
      <c r="CT104" s="17">
        <f t="shared" si="244"/>
        <v>-5.9142799603139506</v>
      </c>
    </row>
    <row r="105" spans="1:98" x14ac:dyDescent="0.2">
      <c r="A105" t="str">
        <f t="shared" si="199"/>
        <v>82 Transport and mobile machine drivers and operatives</v>
      </c>
      <c r="B105" s="17">
        <f t="shared" si="200"/>
        <v>7.9610374765786807</v>
      </c>
      <c r="C105" s="17">
        <f t="shared" si="200"/>
        <v>9.2229050641630561</v>
      </c>
      <c r="D105" s="17">
        <f t="shared" si="200"/>
        <v>8.74995275945607</v>
      </c>
      <c r="E105" s="17">
        <f t="shared" si="200"/>
        <v>4.6951301339586138</v>
      </c>
      <c r="F105" s="17">
        <f t="shared" si="201"/>
        <v>6.2264688280570413</v>
      </c>
      <c r="H105" s="17">
        <f t="shared" si="202"/>
        <v>6.0296545269011403</v>
      </c>
      <c r="I105" s="17">
        <f t="shared" si="203"/>
        <v>5.0106519829735463</v>
      </c>
      <c r="J105" s="17">
        <f t="shared" si="204"/>
        <v>8.687053148630719</v>
      </c>
      <c r="L105" t="str">
        <f t="shared" si="245"/>
        <v>82 Transport and mobile machine drivers and operatives</v>
      </c>
      <c r="M105" s="17">
        <f t="shared" si="205"/>
        <v>7.7915650088477673</v>
      </c>
      <c r="N105" s="17">
        <f t="shared" si="205"/>
        <v>3.4914513404441072</v>
      </c>
      <c r="O105" s="17">
        <f t="shared" si="205"/>
        <v>6.032430901671737</v>
      </c>
      <c r="P105" s="17">
        <f t="shared" si="205"/>
        <v>3.8565292728823142</v>
      </c>
      <c r="Q105" s="17">
        <f t="shared" si="206"/>
        <v>4.5086547358146323</v>
      </c>
      <c r="S105" s="17">
        <f t="shared" si="207"/>
        <v>4.5768226964218783</v>
      </c>
      <c r="T105" s="17">
        <f t="shared" si="208"/>
        <v>4.4307763072693795</v>
      </c>
      <c r="U105" s="17">
        <f t="shared" si="209"/>
        <v>7.2888148040685552</v>
      </c>
      <c r="W105" t="str">
        <f t="shared" si="246"/>
        <v>82 Transport and mobile machine drivers and operatives</v>
      </c>
      <c r="X105" s="17">
        <f t="shared" si="210"/>
        <v>2.1754353322169573</v>
      </c>
      <c r="Y105" s="17">
        <f t="shared" si="210"/>
        <v>27.88607212285492</v>
      </c>
      <c r="Z105" s="17">
        <f t="shared" si="210"/>
        <v>3.1450863203115853</v>
      </c>
      <c r="AA105" s="17">
        <f t="shared" si="210"/>
        <v>2.6643390095871355</v>
      </c>
      <c r="AB105" s="17">
        <f t="shared" si="211"/>
        <v>4.2356748610534289</v>
      </c>
      <c r="AD105" s="17">
        <f t="shared" si="212"/>
        <v>2.8243386285092376</v>
      </c>
      <c r="AE105" s="17">
        <f t="shared" si="213"/>
        <v>4.1125610281496749</v>
      </c>
      <c r="AF105" s="17">
        <f t="shared" si="214"/>
        <v>5.8584152720622118</v>
      </c>
      <c r="AH105" t="str">
        <f t="shared" si="247"/>
        <v>82 Transport and mobile machine drivers and operatives</v>
      </c>
      <c r="AI105" s="17">
        <f t="shared" si="215"/>
        <v>1.8769031656328927</v>
      </c>
      <c r="AJ105" s="17">
        <f t="shared" si="215"/>
        <v>36.53202927669259</v>
      </c>
      <c r="AK105" s="17">
        <f t="shared" si="215"/>
        <v>3.1705503281701963</v>
      </c>
      <c r="AL105" s="17">
        <f t="shared" si="215"/>
        <v>2.8470978045807671</v>
      </c>
      <c r="AM105" s="17">
        <f t="shared" si="216"/>
        <v>4.7872289304565996</v>
      </c>
      <c r="AO105" s="17">
        <f t="shared" si="217"/>
        <v>2.9548024813864426</v>
      </c>
      <c r="AP105" s="17">
        <f t="shared" si="218"/>
        <v>4.0512493450220566</v>
      </c>
      <c r="AQ105" s="17">
        <f t="shared" si="219"/>
        <v>5.8975435474561744</v>
      </c>
      <c r="AS105" t="str">
        <f t="shared" si="248"/>
        <v>82 Transport and mobile machine drivers and operatives</v>
      </c>
      <c r="AT105" s="17">
        <f t="shared" si="220"/>
        <v>1.0775415216692341</v>
      </c>
      <c r="AU105" s="17">
        <f t="shared" si="220"/>
        <v>31.758622046525886</v>
      </c>
      <c r="AV105" s="17">
        <f t="shared" si="220"/>
        <v>3.4210966423641631</v>
      </c>
      <c r="AW105" s="17">
        <f t="shared" si="220"/>
        <v>2.617065306970412</v>
      </c>
      <c r="AX105" s="17">
        <f t="shared" si="221"/>
        <v>4.4873681050034531</v>
      </c>
      <c r="AZ105" s="17">
        <f t="shared" si="222"/>
        <v>2.8843788060942011</v>
      </c>
      <c r="BA105" s="17">
        <f t="shared" si="223"/>
        <v>4.1347341588636954</v>
      </c>
      <c r="BB105" s="17">
        <f t="shared" si="224"/>
        <v>5.9159141847693997</v>
      </c>
      <c r="BD105" t="str">
        <f t="shared" si="249"/>
        <v>82 Transport and mobile machine drivers and operatives</v>
      </c>
      <c r="BE105" s="17">
        <f t="shared" si="225"/>
        <v>5.5690232923656824</v>
      </c>
      <c r="BF105" s="17">
        <f t="shared" si="225"/>
        <v>-2.6586469507084765</v>
      </c>
      <c r="BG105" s="17">
        <f t="shared" si="225"/>
        <v>3.1416298521974806</v>
      </c>
      <c r="BH105" s="17">
        <f t="shared" si="225"/>
        <v>1.7778073340578349</v>
      </c>
      <c r="BI105" s="17">
        <f t="shared" si="226"/>
        <v>1.917764580543091</v>
      </c>
      <c r="BK105" s="17">
        <f t="shared" si="227"/>
        <v>2.2303992428712727</v>
      </c>
      <c r="BL105" s="17">
        <f t="shared" si="228"/>
        <v>3.3545037097374886</v>
      </c>
      <c r="BM105" s="17">
        <f t="shared" si="229"/>
        <v>4.8422403506571898</v>
      </c>
      <c r="BO105" t="str">
        <f t="shared" si="250"/>
        <v>82 Transport and mobile machine drivers and operatives</v>
      </c>
      <c r="BP105" s="17">
        <f t="shared" si="230"/>
        <v>4.6654874413169622</v>
      </c>
      <c r="BQ105" s="17">
        <f t="shared" si="230"/>
        <v>-5.2082891157163358</v>
      </c>
      <c r="BR105" s="17">
        <f t="shared" si="230"/>
        <v>1.3009172612150399</v>
      </c>
      <c r="BS105" s="17">
        <f t="shared" si="230"/>
        <v>3.0969678732617467E-5</v>
      </c>
      <c r="BT105" s="17">
        <f t="shared" si="231"/>
        <v>6.9657243822573989E-2</v>
      </c>
      <c r="BV105" s="17">
        <f t="shared" si="232"/>
        <v>0.43179286779204684</v>
      </c>
      <c r="BW105" s="17">
        <f t="shared" si="233"/>
        <v>3.0428548343570672</v>
      </c>
      <c r="BX105" s="17">
        <f t="shared" si="234"/>
        <v>3.3297447053818541</v>
      </c>
      <c r="BZ105" t="str">
        <f t="shared" si="251"/>
        <v>82 Transport and mobile machine drivers and operatives</v>
      </c>
      <c r="CA105" s="17">
        <f t="shared" si="235"/>
        <v>-0.37431477708409489</v>
      </c>
      <c r="CB105" s="17">
        <f t="shared" si="235"/>
        <v>3.792386725443242</v>
      </c>
      <c r="CC105" s="17">
        <f t="shared" si="235"/>
        <v>-2.9932383256557338</v>
      </c>
      <c r="CD105" s="17">
        <f t="shared" si="235"/>
        <v>-3.3377737095782178</v>
      </c>
      <c r="CE105" s="17">
        <f t="shared" si="236"/>
        <v>-2.7988357644854855</v>
      </c>
      <c r="CG105" s="17">
        <f t="shared" si="237"/>
        <v>-3.2230647604242546</v>
      </c>
      <c r="CH105" s="17">
        <f t="shared" si="238"/>
        <v>2.2224517803749233</v>
      </c>
      <c r="CI105" s="17">
        <f t="shared" si="239"/>
        <v>1.5520194140883348E-2</v>
      </c>
      <c r="CK105" t="str">
        <f t="shared" si="252"/>
        <v>82 Transport and mobile machine drivers and operatives</v>
      </c>
      <c r="CL105" s="17">
        <f t="shared" si="240"/>
        <v>2.890173301940635</v>
      </c>
      <c r="CM105" s="17">
        <f t="shared" si="240"/>
        <v>-8.1041154727473526</v>
      </c>
      <c r="CN105" s="17">
        <f t="shared" si="240"/>
        <v>0.42513231736525103</v>
      </c>
      <c r="CO105" s="17">
        <f t="shared" si="240"/>
        <v>-6.2104864515804437</v>
      </c>
      <c r="CP105" s="17">
        <f t="shared" si="241"/>
        <v>-4.3074374009336447</v>
      </c>
      <c r="CR105" s="17">
        <f t="shared" si="242"/>
        <v>-4.0488185839071207</v>
      </c>
      <c r="CS105" s="17">
        <f t="shared" si="243"/>
        <v>1.9231690741933427</v>
      </c>
      <c r="CT105" s="17">
        <f t="shared" si="244"/>
        <v>-0.93393435843268646</v>
      </c>
    </row>
    <row r="106" spans="1:98" x14ac:dyDescent="0.2">
      <c r="A106" t="str">
        <f t="shared" si="199"/>
        <v>91 Elementary trades and related occupations</v>
      </c>
      <c r="B106" s="17">
        <f t="shared" si="200"/>
        <v>2.8597534545319325</v>
      </c>
      <c r="C106" s="17">
        <f t="shared" si="200"/>
        <v>-12.483409252452782</v>
      </c>
      <c r="D106" s="17">
        <f t="shared" si="200"/>
        <v>-0.52967941311230504</v>
      </c>
      <c r="E106" s="17">
        <f t="shared" si="200"/>
        <v>3.045368016553085</v>
      </c>
      <c r="F106" s="17">
        <f t="shared" si="201"/>
        <v>0.87944177137901924</v>
      </c>
      <c r="H106" s="17">
        <f t="shared" si="202"/>
        <v>1.8396322302244084</v>
      </c>
      <c r="I106" s="17">
        <f t="shared" si="203"/>
        <v>3.2011448035178081</v>
      </c>
      <c r="J106" s="17">
        <f t="shared" si="204"/>
        <v>4.4400989837551252</v>
      </c>
      <c r="L106" t="str">
        <f t="shared" si="245"/>
        <v>91 Elementary trades and related occupations</v>
      </c>
      <c r="M106" s="17">
        <f t="shared" si="205"/>
        <v>5.9212488217817993</v>
      </c>
      <c r="N106" s="17">
        <f t="shared" si="205"/>
        <v>-14.190682698782876</v>
      </c>
      <c r="O106" s="17">
        <f t="shared" si="205"/>
        <v>2.8688919674720426</v>
      </c>
      <c r="P106" s="17">
        <f t="shared" si="205"/>
        <v>3.5792254877178742</v>
      </c>
      <c r="Q106" s="17">
        <f t="shared" si="206"/>
        <v>2.1480509229734768</v>
      </c>
      <c r="S106" s="17">
        <f t="shared" si="207"/>
        <v>3.3419043115972213</v>
      </c>
      <c r="T106" s="17">
        <f t="shared" si="208"/>
        <v>3.3289590817064285</v>
      </c>
      <c r="U106" s="17">
        <f t="shared" si="209"/>
        <v>5.6224669475490874</v>
      </c>
      <c r="W106" t="str">
        <f t="shared" si="246"/>
        <v>91 Elementary trades and related occupations</v>
      </c>
      <c r="X106" s="17">
        <f t="shared" si="210"/>
        <v>1.3555079167755668</v>
      </c>
      <c r="Y106" s="17">
        <f t="shared" si="210"/>
        <v>4.0553582463136451</v>
      </c>
      <c r="Z106" s="17">
        <f t="shared" si="210"/>
        <v>-0.4183965280953772</v>
      </c>
      <c r="AA106" s="17">
        <f t="shared" si="210"/>
        <v>2.1206816108995996</v>
      </c>
      <c r="AB106" s="17">
        <f t="shared" si="211"/>
        <v>1.43925875578792</v>
      </c>
      <c r="AD106" s="17">
        <f t="shared" si="212"/>
        <v>1.2672092167518301</v>
      </c>
      <c r="AE106" s="17">
        <f t="shared" si="213"/>
        <v>3.3713627159863258</v>
      </c>
      <c r="AF106" s="17">
        <f t="shared" si="214"/>
        <v>4.1950927507877767</v>
      </c>
      <c r="AH106" t="str">
        <f t="shared" si="247"/>
        <v>91 Elementary trades and related occupations</v>
      </c>
      <c r="AI106" s="17">
        <f t="shared" si="215"/>
        <v>1.9874975029627207</v>
      </c>
      <c r="AJ106" s="17">
        <f t="shared" si="215"/>
        <v>1.2285165241375795</v>
      </c>
      <c r="AK106" s="17">
        <f t="shared" si="215"/>
        <v>-1.0955505134798149</v>
      </c>
      <c r="AL106" s="17">
        <f t="shared" si="215"/>
        <v>2.500814845920929</v>
      </c>
      <c r="AM106" s="17">
        <f t="shared" si="216"/>
        <v>1.2840246062189253</v>
      </c>
      <c r="AO106" s="17">
        <f t="shared" si="217"/>
        <v>1.2877262270634571</v>
      </c>
      <c r="AP106" s="17">
        <f t="shared" si="218"/>
        <v>3.3427484826346499</v>
      </c>
      <c r="AQ106" s="17">
        <f t="shared" si="219"/>
        <v>4.1833138542274773</v>
      </c>
      <c r="AS106" t="str">
        <f t="shared" si="248"/>
        <v>91 Elementary trades and related occupations</v>
      </c>
      <c r="AT106" s="17">
        <f t="shared" si="220"/>
        <v>-0.34053462435306159</v>
      </c>
      <c r="AU106" s="17">
        <f t="shared" si="220"/>
        <v>18.007221302886698</v>
      </c>
      <c r="AV106" s="17">
        <f t="shared" si="220"/>
        <v>-0.64977436346063122</v>
      </c>
      <c r="AW106" s="17">
        <f t="shared" si="220"/>
        <v>1.8460781505327706</v>
      </c>
      <c r="AX106" s="17">
        <f t="shared" si="221"/>
        <v>1.9940291339338279</v>
      </c>
      <c r="AZ106" s="17">
        <f t="shared" si="222"/>
        <v>1.0072372863384915</v>
      </c>
      <c r="BA106" s="17">
        <f t="shared" si="223"/>
        <v>3.0138668699082327</v>
      </c>
      <c r="BB106" s="17">
        <f t="shared" si="224"/>
        <v>3.6950355300630289</v>
      </c>
      <c r="BD106" t="str">
        <f t="shared" si="249"/>
        <v>91 Elementary trades and related occupations</v>
      </c>
      <c r="BE106" s="17">
        <f t="shared" si="225"/>
        <v>-0.45232686101843722</v>
      </c>
      <c r="BF106" s="17">
        <f t="shared" si="225"/>
        <v>-9.4515373258631907</v>
      </c>
      <c r="BG106" s="17">
        <f t="shared" si="225"/>
        <v>-1.6681323847137164</v>
      </c>
      <c r="BH106" s="17">
        <f t="shared" si="225"/>
        <v>1.3818026780424653</v>
      </c>
      <c r="BI106" s="17">
        <f t="shared" si="226"/>
        <v>-0.28808932815882482</v>
      </c>
      <c r="BK106" s="17">
        <f t="shared" si="227"/>
        <v>0.35478897658842712</v>
      </c>
      <c r="BL106" s="17">
        <f t="shared" si="228"/>
        <v>2.0209298987782232</v>
      </c>
      <c r="BM106" s="17">
        <f t="shared" si="229"/>
        <v>2.2907534220911741</v>
      </c>
      <c r="BO106" t="str">
        <f t="shared" si="250"/>
        <v>91 Elementary trades and related occupations</v>
      </c>
      <c r="BP106" s="17">
        <f t="shared" si="230"/>
        <v>-2.6021080854363832</v>
      </c>
      <c r="BQ106" s="17">
        <f t="shared" si="230"/>
        <v>-9.8460488414135909</v>
      </c>
      <c r="BR106" s="17">
        <f t="shared" si="230"/>
        <v>-4.6020080678264801</v>
      </c>
      <c r="BS106" s="17">
        <f t="shared" si="230"/>
        <v>-1.2658848305810766</v>
      </c>
      <c r="BT106" s="17">
        <f t="shared" si="231"/>
        <v>-2.874205982285527</v>
      </c>
      <c r="BV106" s="17">
        <f t="shared" si="232"/>
        <v>-2.3906913581377864</v>
      </c>
      <c r="BW106" s="17">
        <f t="shared" si="233"/>
        <v>1.7320585343997497</v>
      </c>
      <c r="BX106" s="17">
        <f t="shared" si="234"/>
        <v>-7.0914993158954776E-2</v>
      </c>
      <c r="BZ106" t="str">
        <f t="shared" si="251"/>
        <v>91 Elementary trades and related occupations</v>
      </c>
      <c r="CA106" s="17">
        <f t="shared" si="235"/>
        <v>-3.62347141225563</v>
      </c>
      <c r="CB106" s="17">
        <f t="shared" si="235"/>
        <v>-5.7272554902366046</v>
      </c>
      <c r="CC106" s="17">
        <f t="shared" si="235"/>
        <v>-5.4327299221421761</v>
      </c>
      <c r="CD106" s="17">
        <f t="shared" si="235"/>
        <v>-2.4844406846677991</v>
      </c>
      <c r="CE106" s="17">
        <f t="shared" si="236"/>
        <v>-3.619461544803404</v>
      </c>
      <c r="CG106" s="17">
        <f t="shared" si="237"/>
        <v>-3.4772778516690028</v>
      </c>
      <c r="CH106" s="17">
        <f t="shared" si="238"/>
        <v>1.7342674546573678</v>
      </c>
      <c r="CI106" s="17">
        <f t="shared" si="239"/>
        <v>-0.83125639479794122</v>
      </c>
      <c r="CK106" t="str">
        <f t="shared" si="252"/>
        <v>91 Elementary trades and related occupations</v>
      </c>
      <c r="CL106" s="17">
        <f t="shared" si="240"/>
        <v>-1.8494128411703947</v>
      </c>
      <c r="CM106" s="17">
        <f t="shared" si="240"/>
        <v>-15.210298942126565</v>
      </c>
      <c r="CN106" s="17">
        <f t="shared" si="240"/>
        <v>-1.5987433702079112</v>
      </c>
      <c r="CO106" s="17">
        <f t="shared" si="240"/>
        <v>-2.8449882457494025</v>
      </c>
      <c r="CP106" s="17">
        <f t="shared" si="241"/>
        <v>-3.2836494147613471</v>
      </c>
      <c r="CR106" s="17">
        <f t="shared" si="242"/>
        <v>-2.431336965879094</v>
      </c>
      <c r="CS106" s="17">
        <f t="shared" si="243"/>
        <v>1.5479378467132099</v>
      </c>
      <c r="CT106" s="17">
        <f t="shared" si="244"/>
        <v>-0.33856977001771593</v>
      </c>
    </row>
    <row r="107" spans="1:98" x14ac:dyDescent="0.2">
      <c r="A107" t="str">
        <f t="shared" si="199"/>
        <v>92 Elementary administration and service occupations</v>
      </c>
      <c r="B107" s="17">
        <f t="shared" si="200"/>
        <v>5.7119945887252443</v>
      </c>
      <c r="C107" s="17">
        <f t="shared" si="200"/>
        <v>-13.71199887254939</v>
      </c>
      <c r="D107" s="17">
        <f t="shared" si="200"/>
        <v>6.7738718176536761</v>
      </c>
      <c r="E107" s="17">
        <f t="shared" si="200"/>
        <v>4.080782706749142</v>
      </c>
      <c r="F107" s="17">
        <f t="shared" si="201"/>
        <v>3.6928482231299409</v>
      </c>
      <c r="H107" s="17">
        <f t="shared" si="202"/>
        <v>4.9708458651523957</v>
      </c>
      <c r="I107" s="17">
        <f t="shared" si="203"/>
        <v>3.9979431679177946</v>
      </c>
      <c r="J107" s="17">
        <f t="shared" si="204"/>
        <v>7.2833876178583168</v>
      </c>
      <c r="L107" t="str">
        <f t="shared" ref="L107" si="253">A107</f>
        <v>92 Elementary administration and service occupations</v>
      </c>
      <c r="M107" s="17">
        <f t="shared" si="205"/>
        <v>6.9815423982227065</v>
      </c>
      <c r="N107" s="17">
        <f t="shared" si="205"/>
        <v>-13.605403164535346</v>
      </c>
      <c r="O107" s="17">
        <f t="shared" si="205"/>
        <v>6.7030542608018884</v>
      </c>
      <c r="P107" s="17">
        <f t="shared" si="205"/>
        <v>4.376663084719068</v>
      </c>
      <c r="Q107" s="17">
        <f t="shared" si="206"/>
        <v>3.8634651111164153</v>
      </c>
      <c r="S107" s="17">
        <f t="shared" si="207"/>
        <v>5.1464358182477632</v>
      </c>
      <c r="T107" s="17">
        <f t="shared" si="208"/>
        <v>4.0243194562838758</v>
      </c>
      <c r="U107" s="17">
        <f t="shared" si="209"/>
        <v>7.4300197382728639</v>
      </c>
      <c r="W107" t="str">
        <f t="shared" ref="W107" si="254">A107</f>
        <v>92 Elementary administration and service occupations</v>
      </c>
      <c r="X107" s="17">
        <f t="shared" si="210"/>
        <v>2.6766910822640266</v>
      </c>
      <c r="Y107" s="17">
        <f t="shared" si="210"/>
        <v>3.2314148364619433</v>
      </c>
      <c r="Z107" s="17">
        <f t="shared" si="210"/>
        <v>3.8797944697146258</v>
      </c>
      <c r="AA107" s="17">
        <f t="shared" si="210"/>
        <v>3.0811082199010853</v>
      </c>
      <c r="AB107" s="17">
        <f t="shared" si="211"/>
        <v>3.3394462122440238</v>
      </c>
      <c r="AD107" s="17">
        <f t="shared" si="212"/>
        <v>3.3466523223710576</v>
      </c>
      <c r="AE107" s="17">
        <f t="shared" si="213"/>
        <v>4.0640502864925709</v>
      </c>
      <c r="AF107" s="17">
        <f t="shared" si="214"/>
        <v>6.1737145779916514</v>
      </c>
      <c r="AH107" t="str">
        <f t="shared" ref="AH107" si="255">L107</f>
        <v>92 Elementary administration and service occupations</v>
      </c>
      <c r="AI107" s="17">
        <f t="shared" si="215"/>
        <v>2.2830597118509877</v>
      </c>
      <c r="AJ107" s="17">
        <f t="shared" si="215"/>
        <v>4.2949707262628145</v>
      </c>
      <c r="AK107" s="17">
        <f t="shared" si="215"/>
        <v>3.6860067563151855</v>
      </c>
      <c r="AL107" s="17">
        <f t="shared" si="215"/>
        <v>3.2645908288400083</v>
      </c>
      <c r="AM107" s="17">
        <f t="shared" si="216"/>
        <v>3.4602800830438207</v>
      </c>
      <c r="AO107" s="17">
        <f t="shared" si="217"/>
        <v>3.4048721511193536</v>
      </c>
      <c r="AP107" s="17">
        <f t="shared" si="218"/>
        <v>3.9073440551914418</v>
      </c>
      <c r="AQ107" s="17">
        <f t="shared" si="219"/>
        <v>6.0962983961047046</v>
      </c>
      <c r="AS107" t="str">
        <f t="shared" ref="AS107" si="256">W107</f>
        <v>92 Elementary administration and service occupations</v>
      </c>
      <c r="AT107" s="17">
        <f t="shared" si="220"/>
        <v>1.8011402291124856</v>
      </c>
      <c r="AU107" s="17">
        <f t="shared" si="220"/>
        <v>6.4186365841737203</v>
      </c>
      <c r="AV107" s="17">
        <f t="shared" si="220"/>
        <v>2.8961031351303346</v>
      </c>
      <c r="AW107" s="17">
        <f t="shared" si="220"/>
        <v>2.9158121074208676</v>
      </c>
      <c r="AX107" s="17">
        <f t="shared" si="221"/>
        <v>3.1251483701539184</v>
      </c>
      <c r="AZ107" s="17">
        <f t="shared" si="222"/>
        <v>2.9092420305702804</v>
      </c>
      <c r="BA107" s="17">
        <f t="shared" si="223"/>
        <v>3.7613982541857771</v>
      </c>
      <c r="BB107" s="17">
        <f t="shared" si="224"/>
        <v>5.6403843430590683</v>
      </c>
      <c r="BD107" t="str">
        <f t="shared" ref="BD107" si="257">AH107</f>
        <v>92 Elementary administration and service occupations</v>
      </c>
      <c r="BE107" s="17">
        <f t="shared" si="225"/>
        <v>0.98269861860644792</v>
      </c>
      <c r="BF107" s="17">
        <f t="shared" si="225"/>
        <v>-5.6983250059095658</v>
      </c>
      <c r="BG107" s="17">
        <f t="shared" si="225"/>
        <v>-3.8406268289348233E-2</v>
      </c>
      <c r="BH107" s="17">
        <f t="shared" si="225"/>
        <v>0.37591866305983768</v>
      </c>
      <c r="BI107" s="17">
        <f t="shared" si="226"/>
        <v>-0.14408691320018097</v>
      </c>
      <c r="BK107" s="17">
        <f t="shared" si="227"/>
        <v>0.23761989092978553</v>
      </c>
      <c r="BL107" s="17">
        <f t="shared" si="228"/>
        <v>2.5964411389141517</v>
      </c>
      <c r="BM107" s="17">
        <f t="shared" si="229"/>
        <v>2.7632880338590793</v>
      </c>
      <c r="BO107" t="str">
        <f t="shared" ref="BO107" si="258">AS107</f>
        <v>92 Elementary administration and service occupations</v>
      </c>
      <c r="BP107" s="17">
        <f t="shared" si="230"/>
        <v>0.75251948413892489</v>
      </c>
      <c r="BQ107" s="17">
        <f t="shared" si="230"/>
        <v>-9.0617565724586449</v>
      </c>
      <c r="BR107" s="17">
        <f t="shared" si="230"/>
        <v>-0.36551397518406192</v>
      </c>
      <c r="BS107" s="17">
        <f t="shared" si="230"/>
        <v>-1.0971488653485295</v>
      </c>
      <c r="BT107" s="17">
        <f t="shared" si="231"/>
        <v>-1.3879031152349008</v>
      </c>
      <c r="BV107" s="17">
        <f t="shared" si="232"/>
        <v>-0.85386947340218011</v>
      </c>
      <c r="BW107" s="17">
        <f t="shared" si="233"/>
        <v>2.5283303504318511</v>
      </c>
      <c r="BX107" s="17">
        <f t="shared" si="234"/>
        <v>1.9378163522002945</v>
      </c>
      <c r="BZ107" t="str">
        <f t="shared" ref="BZ107" si="259">BD107</f>
        <v>92 Elementary administration and service occupations</v>
      </c>
      <c r="CA107" s="17">
        <f t="shared" si="235"/>
        <v>-3.8698378831469316</v>
      </c>
      <c r="CB107" s="17">
        <f t="shared" si="235"/>
        <v>-3.6404404744430852</v>
      </c>
      <c r="CC107" s="17">
        <f t="shared" si="235"/>
        <v>-0.75349059247659111</v>
      </c>
      <c r="CD107" s="17">
        <f t="shared" si="235"/>
        <v>-4.0726084118222978</v>
      </c>
      <c r="CE107" s="17">
        <f t="shared" si="236"/>
        <v>-3.0202443723524319</v>
      </c>
      <c r="CG107" s="17">
        <f t="shared" si="237"/>
        <v>-2.9787563199989764</v>
      </c>
      <c r="CH107" s="17">
        <f t="shared" si="238"/>
        <v>1.9655953468050269</v>
      </c>
      <c r="CI107" s="17">
        <f t="shared" si="239"/>
        <v>-0.17267400980405245</v>
      </c>
      <c r="CK107" t="str">
        <f t="shared" ref="CK107" si="260">BO107</f>
        <v>92 Elementary administration and service occupations</v>
      </c>
      <c r="CL107" s="17">
        <f t="shared" si="240"/>
        <v>-6.0479620762818875</v>
      </c>
      <c r="CM107" s="17">
        <f t="shared" si="240"/>
        <v>-25.324660181752112</v>
      </c>
      <c r="CN107" s="17">
        <f t="shared" si="240"/>
        <v>-5.3613652136537677</v>
      </c>
      <c r="CO107" s="17">
        <f t="shared" si="240"/>
        <v>-5.0836514115305427</v>
      </c>
      <c r="CP107" s="17">
        <f t="shared" si="241"/>
        <v>-6.5814524950117415</v>
      </c>
      <c r="CR107" s="17">
        <f t="shared" si="242"/>
        <v>-5.1763131100733162</v>
      </c>
      <c r="CS107" s="17">
        <f t="shared" si="243"/>
        <v>1.1773045217320588</v>
      </c>
      <c r="CT107" s="17">
        <f t="shared" si="244"/>
        <v>-2.9064071812390901</v>
      </c>
    </row>
    <row r="108" spans="1:98" x14ac:dyDescent="0.2">
      <c r="B108" s="17"/>
      <c r="C108" s="17"/>
      <c r="D108" s="17"/>
      <c r="E108" s="17"/>
      <c r="F108" s="17"/>
      <c r="H108" s="17"/>
      <c r="I108" s="17"/>
      <c r="J108" s="17"/>
      <c r="M108" s="17"/>
      <c r="N108" s="17"/>
      <c r="O108" s="17"/>
      <c r="P108" s="17"/>
      <c r="Q108" s="17"/>
      <c r="S108" s="17"/>
      <c r="T108" s="17"/>
      <c r="U108" s="17"/>
      <c r="X108" s="17"/>
      <c r="Y108" s="17"/>
      <c r="Z108" s="17"/>
      <c r="AA108" s="17"/>
      <c r="AB108" s="17"/>
      <c r="AD108" s="17"/>
      <c r="AE108" s="17"/>
      <c r="AF108" s="17"/>
      <c r="AI108" s="17"/>
      <c r="AJ108" s="17"/>
      <c r="AK108" s="17"/>
      <c r="AL108" s="17"/>
      <c r="AM108" s="17"/>
      <c r="AO108" s="17"/>
      <c r="AP108" s="17"/>
      <c r="AQ108" s="17"/>
      <c r="AT108" s="17"/>
      <c r="AU108" s="17"/>
      <c r="AV108" s="17"/>
      <c r="AW108" s="17"/>
      <c r="AX108" s="17"/>
      <c r="AZ108" s="17"/>
      <c r="BA108" s="17"/>
      <c r="BB108" s="17"/>
      <c r="BE108" s="17"/>
      <c r="BF108" s="17"/>
      <c r="BG108" s="17"/>
      <c r="BH108" s="17"/>
      <c r="BI108" s="17"/>
      <c r="BK108" s="17"/>
      <c r="BL108" s="17"/>
      <c r="BM108" s="17"/>
      <c r="BP108" s="17"/>
      <c r="BQ108" s="17"/>
      <c r="BR108" s="17"/>
      <c r="BS108" s="17"/>
      <c r="BT108" s="17"/>
      <c r="BV108" s="17"/>
      <c r="BW108" s="17"/>
      <c r="BX108" s="17"/>
      <c r="CA108" s="17"/>
      <c r="CB108" s="17"/>
      <c r="CC108" s="17"/>
      <c r="CD108" s="17"/>
      <c r="CE108" s="17"/>
      <c r="CG108" s="17"/>
      <c r="CH108" s="17"/>
      <c r="CI108" s="17"/>
      <c r="CL108" s="17"/>
      <c r="CM108" s="17"/>
      <c r="CN108" s="17"/>
      <c r="CO108" s="17"/>
      <c r="CP108" s="17"/>
      <c r="CR108" s="17"/>
      <c r="CS108" s="17"/>
      <c r="CT108" s="17"/>
    </row>
    <row r="109" spans="1:98" x14ac:dyDescent="0.2">
      <c r="A109" s="23" t="str">
        <f>A35</f>
        <v>All occupations</v>
      </c>
      <c r="B109" s="25">
        <f>IF(AND(C$6-B$6 &lt;&gt; 0,B35&lt;&gt;0,C35&lt;&gt;0),(EXP(LN(C35/B35)/(C$6-B$6))-1)*100,0)</f>
        <v>8.0657204148888884</v>
      </c>
      <c r="C109" s="25">
        <f>IF(AND(D$6-C$6 &lt;&gt; 0,C35&lt;&gt;0,D35&lt;&gt;0),(EXP(LN(D35/C35)/(D$6-C$6))-1)*100,0)</f>
        <v>-5.0895152666080463</v>
      </c>
      <c r="D109" s="25">
        <f>IF(AND(E$6-D$6 &lt;&gt; 0,D35&lt;&gt;0,E35&lt;&gt;0),(EXP(LN(E35/D35)/(E$6-D$6))-1)*100,0)</f>
        <v>3.9645169349192599</v>
      </c>
      <c r="E109" s="25">
        <f>IF(AND(F$6-E$6 &lt;&gt; 0,E35&lt;&gt;0,F35&lt;&gt;0),(EXP(LN(F35/E35)/(F$6-E$6))-1)*100,0)</f>
        <v>2.6552865120258451</v>
      </c>
      <c r="F109" s="25">
        <f>IF(AND(F$6-C$6 &lt;&gt; 0,C35&lt;&gt;0,F35&lt;&gt;0),(EXP(LN(F35/C35)/(F$6-C$6))-1)*100,0)</f>
        <v>2.5585962433070542</v>
      </c>
      <c r="H109" s="25">
        <f>IF($F$6-$D$6 &lt;&gt; 0,(EXP(LN(1+(H72/100))/($F$6-$D$6))-1)*100,0)</f>
        <v>3.0898544123233673</v>
      </c>
      <c r="I109" s="25">
        <f>IF(D35&gt;0,((1+(I35/D35))^(1/($F$6-$D$6))-1)*100,0)</f>
        <v>3.1488640834371973</v>
      </c>
      <c r="J109" s="25">
        <f>IF($F$6-$D$6 &lt;&gt; 0,(EXP(LN(1+(J72/100))/($F$6-$D$6))-1)*100,0)</f>
        <v>5.3023834886946508</v>
      </c>
      <c r="L109" s="23" t="str">
        <f>L35</f>
        <v>All occupations</v>
      </c>
      <c r="M109" s="25">
        <f>IF(AND(N$6-M$6 &lt;&gt; 0,M35&lt;&gt;0,N35&lt;&gt;0),(EXP(LN(N35/M35)/(N$6-M$6))-1)*100,0)</f>
        <v>9.1695516792664744</v>
      </c>
      <c r="N109" s="25">
        <f>IF(AND(O$6-N$6 &lt;&gt; 0,N35&lt;&gt;0,O35&lt;&gt;0),(EXP(LN(O35/N35)/(O$6-N$6))-1)*100,0)</f>
        <v>-6.5286715299841314</v>
      </c>
      <c r="O109" s="25">
        <f>IF(AND(P$6-O$6 &lt;&gt; 0,O35&lt;&gt;0,P35&lt;&gt;0),(EXP(LN(P35/O35)/(P$6-O$6))-1)*100,0)</f>
        <v>3.9594422969452037</v>
      </c>
      <c r="P109" s="25">
        <f>IF(AND(Q$6-P$6 &lt;&gt; 0,P35&lt;&gt;0,Q35&lt;&gt;0),(EXP(LN(Q35/P35)/(Q$6-P$6))-1)*100,0)</f>
        <v>2.7735327192098813</v>
      </c>
      <c r="Q109" s="25">
        <f>IF(AND(Q$6-N$6 &lt;&gt; 0,N35&lt;&gt;0,Q35&lt;&gt;0),(EXP(LN(Q35/N35)/(Q$6-N$6))-1)*100,0)</f>
        <v>2.5328869606466853</v>
      </c>
      <c r="S109" s="25">
        <f t="shared" ref="S109" si="261">IF($F$6-$D$6 &lt;&gt; 0,(EXP(LN(1+(S72/100))/($F$6-$D$6))-1)*100,0)</f>
        <v>3.1673251093122357</v>
      </c>
      <c r="T109" s="25">
        <f t="shared" ref="T109" si="262">IF(O35&gt;0,((1+(T35/O35))^(1/($F$6-$D$6))-1)*100,0)</f>
        <v>3.2521895253632138</v>
      </c>
      <c r="U109" s="25">
        <f t="shared" ref="U109" si="263">IF($F$6-$D$6 &lt;&gt; 0,(EXP(LN(1+(U72/100))/($F$6-$D$6))-1)*100,0)</f>
        <v>5.4369396048133956</v>
      </c>
      <c r="W109" s="23" t="str">
        <f>W35</f>
        <v>All occupations</v>
      </c>
      <c r="X109" s="25">
        <f>IF(AND(Y$6-X$6 &lt;&gt; 0,X35&lt;&gt;0,Y35&lt;&gt;0),(EXP(LN(Y35/X35)/(Y$6-X$6))-1)*100,0)</f>
        <v>1.9913225948385627</v>
      </c>
      <c r="Y109" s="25">
        <f>IF(AND(Z$6-Y$6 &lt;&gt; 0,Y35&lt;&gt;0,Z35&lt;&gt;0),(EXP(LN(Z35/Y35)/(Z$6-Y$6))-1)*100,0)</f>
        <v>10.963081778203087</v>
      </c>
      <c r="Z109" s="25">
        <f>IF(AND(AA$6-Z$6 &lt;&gt; 0,Z35&lt;&gt;0,AA35&lt;&gt;0),(EXP(LN(AA35/Z35)/(AA$6-Z$6))-1)*100,0)</f>
        <v>1.8499496411988003</v>
      </c>
      <c r="AA109" s="25">
        <f>IF(AND(AB$6-AA$6 &lt;&gt; 0,AA35&lt;&gt;0,AB35&lt;&gt;0),(EXP(LN(AB35/AA35)/(AB$6-AA$6))-1)*100,0)</f>
        <v>1.9384785680613303</v>
      </c>
      <c r="AB109" s="25">
        <f>IF(AND(AB$6-Y$6 &lt;&gt; 0,Y35&lt;&gt;0,AB35&lt;&gt;0),(EXP(LN(AB35/Y35)/(AB$6-Y$6))-1)*100,0)</f>
        <v>2.4525458873421169</v>
      </c>
      <c r="AD109" s="25">
        <f t="shared" ref="AD109" si="264">IF($F$6-$D$6 &lt;&gt; 0,(EXP(LN(1+(AD72/100))/($F$6-$D$6))-1)*100,0)</f>
        <v>1.9089603790563237</v>
      </c>
      <c r="AE109" s="25">
        <f t="shared" ref="AE109" si="265">IF(Z35&gt;0,((1+(AE35/Z35))^(1/($F$6-$D$6))-1)*100,0)</f>
        <v>3.3571006311388762</v>
      </c>
      <c r="AF109" s="25">
        <f t="shared" ref="AF109" si="266">IF($F$6-$D$6 &lt;&gt; 0,(EXP(LN(1+(AF72/100))/($F$6-$D$6))-1)*100,0)</f>
        <v>4.6202147030228069</v>
      </c>
      <c r="AH109" s="23" t="str">
        <f>AH35</f>
        <v>All occupations</v>
      </c>
      <c r="AI109" s="25">
        <f>IF(AND(AJ$6-AI$6 &lt;&gt; 0,AI35&lt;&gt;0,AJ35&lt;&gt;0),(EXP(LN(AJ35/AI35)/(AJ$6-AI$6))-1)*100,0)</f>
        <v>-0.32916062988540551</v>
      </c>
      <c r="AJ109" s="25">
        <f>IF(AND(AK$6-AJ$6 &lt;&gt; 0,AJ35&lt;&gt;0,AK35&lt;&gt;0),(EXP(LN(AK35/AJ35)/(AK$6-AJ$6))-1)*100,0)</f>
        <v>5.4883374045315403</v>
      </c>
      <c r="AK109" s="25">
        <f>IF(AND(AL$6-AK$6 &lt;&gt; 0,AK35&lt;&gt;0,AL35&lt;&gt;0),(EXP(LN(AL35/AK35)/(AL$6-AK$6))-1)*100,0)</f>
        <v>0.56713000574333261</v>
      </c>
      <c r="AL109" s="25">
        <f>IF(AND(AM$6-AL$6 &lt;&gt; 0,AL35&lt;&gt;0,AM35&lt;&gt;0),(EXP(LN(AM35/AL35)/(AM$6-AL$6))-1)*100,0)</f>
        <v>1.4713408923427318</v>
      </c>
      <c r="AM109" s="25">
        <f>IF(AND(AM$6-AJ$6 &lt;&gt; 0,AJ35&lt;&gt;0,AM35&lt;&gt;0),(EXP(LN(AM35/AJ35)/(AM$6-AJ$6))-1)*100,0)</f>
        <v>1.4337356547420299</v>
      </c>
      <c r="AO109" s="25">
        <f t="shared" ref="AO109" si="267">IF($F$6-$D$6 &lt;&gt; 0,(EXP(LN(1+(AO72/100))/($F$6-$D$6))-1)*100,0)</f>
        <v>1.1690375358798466</v>
      </c>
      <c r="AP109" s="25">
        <f t="shared" ref="AP109" si="268">IF(AK35&gt;0,((1+(AP35/AK35))^(1/($F$6-$D$6))-1)*100,0)</f>
        <v>3.10263608430974</v>
      </c>
      <c r="AQ109" s="25">
        <f t="shared" ref="AQ109" si="269">IF($F$6-$D$6 &lt;&gt; 0,(EXP(LN(1+(AQ72/100))/($F$6-$D$6))-1)*100,0)</f>
        <v>3.8872433325563671</v>
      </c>
      <c r="AS109" s="23" t="str">
        <f>AS35</f>
        <v>All occupations</v>
      </c>
      <c r="AT109" s="25">
        <f>IF(AND(AU$6-AT$6 &lt;&gt; 0,AT35&lt;&gt;0,AU35&lt;&gt;0),(EXP(LN(AU35/AT35)/(AU$6-AT$6))-1)*100,0)</f>
        <v>0.5781443994805624</v>
      </c>
      <c r="AU109" s="25">
        <f>IF(AND(AV$6-AU$6 &lt;&gt; 0,AU35&lt;&gt;0,AV35&lt;&gt;0),(EXP(LN(AV35/AU35)/(AV$6-AU$6))-1)*100,0)</f>
        <v>12.645864724573631</v>
      </c>
      <c r="AV109" s="25">
        <f>IF(AND(AW$6-AV$6 &lt;&gt; 0,AV35&lt;&gt;0,AW35&lt;&gt;0),(EXP(LN(AW35/AV35)/(AW$6-AV$6))-1)*100,0)</f>
        <v>1.0763874320155686</v>
      </c>
      <c r="AW109" s="25">
        <f>IF(AND(AX$6-AW$6 &lt;&gt; 0,AW35&lt;&gt;0,AX35&lt;&gt;0),(EXP(LN(AX35/AW35)/(AX$6-AW$6))-1)*100,0)</f>
        <v>1.7609690373858733</v>
      </c>
      <c r="AX109" s="25">
        <f>IF(AND(AX$6-AU$6 &lt;&gt; 0,AU35&lt;&gt;0,AX35&lt;&gt;0),(EXP(LN(AX35/AU35)/(AX$6-AU$6))-1)*100,0)</f>
        <v>2.1935555157694075</v>
      </c>
      <c r="AZ109" s="25">
        <f t="shared" ref="AZ109" si="270">IF($F$6-$D$6 &lt;&gt; 0,(EXP(LN(1+(AZ72/100))/($F$6-$D$6))-1)*100,0)</f>
        <v>1.5322615345203738</v>
      </c>
      <c r="BA109" s="25">
        <f t="shared" ref="BA109" si="271">IF(AV35&gt;0,((1+(BA35/AV35))^(1/($F$6-$D$6))-1)*100,0)</f>
        <v>3.0922746038258397</v>
      </c>
      <c r="BB109" s="25">
        <f t="shared" ref="BB109" si="272">IF($F$6-$D$6 &lt;&gt; 0,(EXP(LN(1+(BB72/100))/($F$6-$D$6))-1)*100,0)</f>
        <v>4.1308817435365297</v>
      </c>
      <c r="BD109" s="23" t="str">
        <f>BD35</f>
        <v>All occupations</v>
      </c>
      <c r="BE109" s="25">
        <f>IF(AND(BF$6-BE$6 &lt;&gt; 0,BE35&lt;&gt;0,BF35&lt;&gt;0),(EXP(LN(BF35/BE35)/(BF$6-BE$6))-1)*100,0)</f>
        <v>2.9488366463084947</v>
      </c>
      <c r="BF109" s="25">
        <f>IF(AND(BG$6-BF$6 &lt;&gt; 0,BF35&lt;&gt;0,BG35&lt;&gt;0),(EXP(LN(BG35/BF35)/(BG$6-BF$6))-1)*100,0)</f>
        <v>-1.7370607589434095</v>
      </c>
      <c r="BG109" s="25">
        <f>IF(AND(BH$6-BG$6 &lt;&gt; 0,BG35&lt;&gt;0,BH35&lt;&gt;0),(EXP(LN(BH35/BG35)/(BH$6-BG$6))-1)*100,0)</f>
        <v>0.35405550121907492</v>
      </c>
      <c r="BH109" s="25">
        <f>IF(AND(BI$6-BH$6 &lt;&gt; 0,BH35&lt;&gt;0,BI35&lt;&gt;0),(EXP(LN(BI35/BH35)/(BI$6-BH$6))-1)*100,0)</f>
        <v>0.471319446693097</v>
      </c>
      <c r="BI109" s="25">
        <f>IF(AND(BI$6-BF$6 &lt;&gt; 0,BF35&lt;&gt;0,BI35&lt;&gt;0),(EXP(LN(BI35/BF35)/(BI$6-BF$6))-1)*100,0)</f>
        <v>0.29524426892064692</v>
      </c>
      <c r="BK109" s="25">
        <f t="shared" ref="BK109" si="273">IF($F$6-$D$6 &lt;&gt; 0,(EXP(LN(1+(BK72/100))/($F$6-$D$6))-1)*100,0)</f>
        <v>0.43221624797080693</v>
      </c>
      <c r="BL109" s="25">
        <f t="shared" ref="BL109" si="274">IF(BG35&gt;0,((1+(BL35/BG35))^(1/($F$6-$D$6))-1)*100,0)</f>
        <v>2.5716320910281976</v>
      </c>
      <c r="BM109" s="25">
        <f t="shared" ref="BM109" si="275">IF($F$6-$D$6 &lt;&gt; 0,(EXP(LN(1+(BM72/100))/($F$6-$D$6))-1)*100,0)</f>
        <v>2.8774201854842474</v>
      </c>
      <c r="BO109" s="23" t="str">
        <f>BO35</f>
        <v>All occupations</v>
      </c>
      <c r="BP109" s="25">
        <f>IF(AND(BQ$6-BP$6 &lt;&gt; 0,BP35&lt;&gt;0,BQ35&lt;&gt;0),(EXP(LN(BQ35/BP35)/(BQ$6-BP$6))-1)*100,0)</f>
        <v>0.87134300438489465</v>
      </c>
      <c r="BQ109" s="25">
        <f>IF(AND(BR$6-BQ$6 &lt;&gt; 0,BQ35&lt;&gt;0,BR35&lt;&gt;0),(EXP(LN(BR35/BQ35)/(BR$6-BQ$6))-1)*100,0)</f>
        <v>-4.4015227849098064</v>
      </c>
      <c r="BR109" s="25">
        <f>IF(AND(BS$6-BR$6 &lt;&gt; 0,BR35&lt;&gt;0,BS35&lt;&gt;0),(EXP(LN(BS35/BR35)/(BS$6-BR$6))-1)*100,0)</f>
        <v>-1.4857834215415422</v>
      </c>
      <c r="BS109" s="25">
        <f>IF(AND(BT$6-BS$6 &lt;&gt; 0,BS35&lt;&gt;0,BT35&lt;&gt;0),(EXP(LN(BT35/BS35)/(BT$6-BS$6))-1)*100,0)</f>
        <v>-1.7989510771899475</v>
      </c>
      <c r="BT109" s="25">
        <f>IF(AND(BT$6-BQ$6 &lt;&gt; 0,BQ35&lt;&gt;0,BT35&lt;&gt;0),(EXP(LN(BT35/BQ35)/(BT$6-BQ$6))-1)*100,0)</f>
        <v>-1.8660739962047423</v>
      </c>
      <c r="BV109" s="25">
        <f t="shared" ref="BV109" si="276">IF($F$6-$D$6 &lt;&gt; 0,(EXP(LN(1+(BV72/100))/($F$6-$D$6))-1)*100,0)</f>
        <v>-1.6946726297951242</v>
      </c>
      <c r="BW109" s="25">
        <f t="shared" ref="BW109" si="277">IF(BR35&gt;0,((1+(BW35/BR35))^(1/($F$6-$D$6))-1)*100,0)</f>
        <v>2.3122108627777083</v>
      </c>
      <c r="BX109" s="25">
        <f t="shared" ref="BX109" si="278">IF($F$6-$D$6 &lt;&gt; 0,(EXP(LN(1+(BX72/100))/($F$6-$D$6))-1)*100,0)</f>
        <v>1.1258112875118131</v>
      </c>
      <c r="BZ109" s="23" t="str">
        <f>BZ35</f>
        <v>All occupations</v>
      </c>
      <c r="CA109" s="25">
        <f>IF(AND(CB$6-CA$6 &lt;&gt; 0,CA35&lt;&gt;0,CB35&lt;&gt;0),(EXP(LN(CB35/CA35)/(CB$6-CA$6))-1)*100,0)</f>
        <v>-3.4381712518434471</v>
      </c>
      <c r="CB109" s="25">
        <f>IF(AND(CC$6-CB$6 &lt;&gt; 0,CB35&lt;&gt;0,CC35&lt;&gt;0),(EXP(LN(CC35/CB35)/(CC$6-CB$6))-1)*100,0)</f>
        <v>-0.86522976180851696</v>
      </c>
      <c r="CC109" s="25">
        <f>IF(AND(CD$6-CC$6 &lt;&gt; 0,CC35&lt;&gt;0,CD35&lt;&gt;0),(EXP(LN(CD35/CC35)/(CD$6-CC$6))-1)*100,0)</f>
        <v>-2.4566584482341169</v>
      </c>
      <c r="CD109" s="25">
        <f>IF(AND(CE$6-CD$6 &lt;&gt; 0,CD35&lt;&gt;0,CE35&lt;&gt;0),(EXP(LN(CE35/CD35)/(CE$6-CD$6))-1)*100,0)</f>
        <v>-4.5073853695638206</v>
      </c>
      <c r="CE109" s="25">
        <f>IF(AND(CE$6-CB$6 &lt;&gt; 0,CB35&lt;&gt;0,CE35&lt;&gt;0),(EXP(LN(CE35/CB35)/(CE$6-CB$6))-1)*100,0)</f>
        <v>-3.646055170657081</v>
      </c>
      <c r="CG109" s="25">
        <f t="shared" ref="CG109" si="279">IF($F$6-$D$6 &lt;&gt; 0,(EXP(LN(1+(CG72/100))/($F$6-$D$6))-1)*100,0)</f>
        <v>-3.8286454885777643</v>
      </c>
      <c r="CH109" s="25">
        <f t="shared" ref="CH109" si="280">IF(CC35&gt;0,((1+(CH35/CC35))^(1/($F$6-$D$6))-1)*100,0)</f>
        <v>1.8331098258693723</v>
      </c>
      <c r="CI109" s="25">
        <f t="shared" ref="CI109" si="281">IF($F$6-$D$6 &lt;&gt; 0,(EXP(LN(1+(CI72/100))/($F$6-$D$6))-1)*100,0)</f>
        <v>-0.92414913120333342</v>
      </c>
      <c r="CK109" s="23" t="str">
        <f>CK35</f>
        <v>All occupations</v>
      </c>
      <c r="CL109" s="25">
        <f>IF(AND(CM$6-CL$6 &lt;&gt; 0,CL35&lt;&gt;0,CM35&lt;&gt;0),(EXP(LN(CM35/CL35)/(CM$6-CL$6))-1)*100,0)</f>
        <v>-1.4869614113851126</v>
      </c>
      <c r="CM109" s="25">
        <f>IF(AND(CN$6-CM$6 &lt;&gt; 0,CM35&lt;&gt;0,CN35&lt;&gt;0),(EXP(LN(CN35/CM35)/(CN$6-CM$6))-1)*100,0)</f>
        <v>-15.842381009370666</v>
      </c>
      <c r="CN109" s="25">
        <f>IF(AND(CO$6-CN$6 &lt;&gt; 0,CN35&lt;&gt;0,CO35&lt;&gt;0),(EXP(LN(CO35/CN35)/(CO$6-CN$6))-1)*100,0)</f>
        <v>-1.1239557943347522</v>
      </c>
      <c r="CO109" s="25">
        <f>IF(AND(CP$6-CO$6 &lt;&gt; 0,CO35&lt;&gt;0,CP35&lt;&gt;0),(EXP(LN(CP35/CO35)/(CP$6-CO$6))-1)*100,0)</f>
        <v>-3.2906669310666992</v>
      </c>
      <c r="CP109" s="25">
        <f>IF(AND(CP$6-CM$6 &lt;&gt; 0,CM35&lt;&gt;0,CP35&lt;&gt;0),(EXP(LN(CP35/CM35)/(CP$6-CM$6))-1)*100,0)</f>
        <v>-3.46116666075722</v>
      </c>
      <c r="CR109" s="25">
        <f t="shared" ref="CR109" si="282">IF($F$6-$D$6 &lt;&gt; 0,(EXP(LN(1+(CR72/100))/($F$6-$D$6))-1)*100,0)</f>
        <v>-2.5737574906750438</v>
      </c>
      <c r="CS109" s="25">
        <f t="shared" ref="CS109" si="283">IF(CN35&gt;0,((1+(CS35/CN35))^(1/($F$6-$D$6))-1)*100,0)</f>
        <v>1.6896188146786173</v>
      </c>
      <c r="CT109" s="25">
        <f t="shared" ref="CT109" si="284">IF($F$6-$D$6 &lt;&gt; 0,(EXP(LN(1+(CT72/100))/($F$6-$D$6))-1)*100,0)</f>
        <v>-0.25774251530568115</v>
      </c>
    </row>
    <row r="112" spans="1:98" ht="47.25" customHeight="1" x14ac:dyDescent="0.2">
      <c r="A112" s="378" t="str">
        <f>CONCATENATE(A$1," (Continued)")</f>
        <v>Basic Table 2  Employment Change by Occupation and Replacement Demand, RQF8 Doctorate, 2015-2035, East Midlands (Continued)</v>
      </c>
      <c r="B112" s="378"/>
      <c r="C112" s="378"/>
      <c r="D112" s="378"/>
      <c r="E112" s="378"/>
      <c r="F112" s="378"/>
      <c r="G112" s="378"/>
      <c r="H112" s="378"/>
      <c r="I112" s="378"/>
      <c r="J112" s="378"/>
      <c r="L112" s="378" t="str">
        <f>CONCATENATE(L$1," (Continued)")</f>
        <v>Basic Table 2.1  Employment Change by Occupation and Replacement Demand, RQF7 Other higher degree, 2015-2035, East Midlands (Continued)</v>
      </c>
      <c r="M112" s="378"/>
      <c r="N112" s="378"/>
      <c r="O112" s="378"/>
      <c r="P112" s="378"/>
      <c r="Q112" s="378"/>
      <c r="R112" s="378"/>
      <c r="S112" s="378"/>
      <c r="T112" s="378"/>
      <c r="U112" s="378"/>
      <c r="W112" s="378" t="str">
        <f>CONCATENATE(W$1," (Continued)")</f>
        <v>Basic Table 2.2  Employment Change by Occupation and Replacement Demand, RQF6 First degree, 2015-2035, East Midlands (Continued)</v>
      </c>
      <c r="X112" s="378"/>
      <c r="Y112" s="378"/>
      <c r="Z112" s="378"/>
      <c r="AA112" s="378"/>
      <c r="AB112" s="378"/>
      <c r="AC112" s="378"/>
      <c r="AD112" s="378"/>
      <c r="AE112" s="378"/>
      <c r="AF112" s="378"/>
      <c r="AH112" s="378" t="str">
        <f>CONCATENATE(AH$1," (Continued)")</f>
        <v>Basic Table 2.3  Employment Change by Occupation and Replacement Demand, RQF5 Foundation degree;Nursing;Teaching, 2015-2035, East Midlands (Continued)</v>
      </c>
      <c r="AI112" s="378"/>
      <c r="AJ112" s="378"/>
      <c r="AK112" s="378"/>
      <c r="AL112" s="378"/>
      <c r="AM112" s="378"/>
      <c r="AN112" s="378"/>
      <c r="AO112" s="378"/>
      <c r="AP112" s="378"/>
      <c r="AQ112" s="378"/>
      <c r="AS112" s="378" t="str">
        <f>CONCATENATE(AS$1," (Continued)")</f>
        <v>Basic Table 2.4  Employment Change by Occupation and Replacement Demand, RQF4 HE below degree level, 2015-2035, East Midlands (Continued)</v>
      </c>
      <c r="AT112" s="378"/>
      <c r="AU112" s="378"/>
      <c r="AV112" s="378"/>
      <c r="AW112" s="378"/>
      <c r="AX112" s="378"/>
      <c r="AY112" s="378"/>
      <c r="AZ112" s="378"/>
      <c r="BA112" s="378"/>
      <c r="BB112" s="378"/>
      <c r="BD112" s="378" t="str">
        <f>CONCATENATE(BD$1," (Continued)")</f>
        <v>Basic Table 2.5  Employment Change by Occupation and Replacement Demand, RQF3 A level &amp; equivalent, 2015-2035, East Midlands (Continued)</v>
      </c>
      <c r="BE112" s="378"/>
      <c r="BF112" s="378"/>
      <c r="BG112" s="378"/>
      <c r="BH112" s="378"/>
      <c r="BI112" s="378"/>
      <c r="BJ112" s="378"/>
      <c r="BK112" s="378"/>
      <c r="BL112" s="378"/>
      <c r="BM112" s="378"/>
      <c r="BO112" s="378" t="str">
        <f>CONCATENATE(BO$1," (Continued)")</f>
        <v>Basic Table 2.6  Employment Change by Occupation and Replacement Demand, RQF2 GCSE(A-C) &amp; equivalent, 2015-2035, East Midlands (Continued)</v>
      </c>
      <c r="BP112" s="378"/>
      <c r="BQ112" s="378"/>
      <c r="BR112" s="378"/>
      <c r="BS112" s="378"/>
      <c r="BT112" s="378"/>
      <c r="BU112" s="378"/>
      <c r="BV112" s="378"/>
      <c r="BW112" s="378"/>
      <c r="BX112" s="378"/>
      <c r="BZ112" s="378" t="str">
        <f>CONCATENATE(BZ$1," (Continued)")</f>
        <v>Basic Table 2.7  Employment Change by Occupation and Replacement Demand, RQF1 GCSE(below grade C) &amp; equivalent, 2015-2035, East Midlands (Continued)</v>
      </c>
      <c r="CA112" s="378"/>
      <c r="CB112" s="378"/>
      <c r="CC112" s="378"/>
      <c r="CD112" s="378"/>
      <c r="CE112" s="378"/>
      <c r="CF112" s="378"/>
      <c r="CG112" s="378"/>
      <c r="CH112" s="378"/>
      <c r="CI112" s="378"/>
      <c r="CK112" s="378" t="str">
        <f>CONCATENATE(CK$1," (Continued)")</f>
        <v>Basic Table 2.8  Employment Change by Occupation and Replacement Demand, No Qualification, 2015-2035, East Midlands (Continued)</v>
      </c>
      <c r="CL112" s="378"/>
      <c r="CM112" s="378"/>
      <c r="CN112" s="378"/>
      <c r="CO112" s="378"/>
      <c r="CP112" s="378"/>
      <c r="CQ112" s="378"/>
      <c r="CR112" s="378"/>
      <c r="CS112" s="378"/>
      <c r="CT112" s="378"/>
    </row>
    <row r="114" spans="1:94" x14ac:dyDescent="0.2">
      <c r="F114" s="15" t="s">
        <v>35</v>
      </c>
      <c r="Q114" s="15" t="s">
        <v>35</v>
      </c>
      <c r="AB114" s="15" t="s">
        <v>35</v>
      </c>
      <c r="AM114" s="15" t="s">
        <v>35</v>
      </c>
      <c r="AX114" s="15" t="s">
        <v>35</v>
      </c>
      <c r="BI114" s="15" t="s">
        <v>35</v>
      </c>
      <c r="BT114" s="15" t="s">
        <v>35</v>
      </c>
      <c r="CE114" s="15" t="s">
        <v>35</v>
      </c>
      <c r="CP114" s="15" t="s">
        <v>35</v>
      </c>
    </row>
    <row r="115" spans="1:94" x14ac:dyDescent="0.2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  <c r="AH115" s="35"/>
      <c r="AI115" s="35"/>
      <c r="AJ115" s="35"/>
      <c r="AK115" s="35"/>
      <c r="AL115" s="35"/>
      <c r="AM115" s="35"/>
      <c r="AS115" s="35"/>
      <c r="AT115" s="35"/>
      <c r="AU115" s="35"/>
      <c r="AV115" s="35"/>
      <c r="AW115" s="35"/>
      <c r="AX115" s="35"/>
      <c r="BD115" s="35"/>
      <c r="BE115" s="35"/>
      <c r="BF115" s="35"/>
      <c r="BG115" s="35"/>
      <c r="BH115" s="35"/>
      <c r="BI115" s="35"/>
      <c r="BO115" s="35"/>
      <c r="BP115" s="35"/>
      <c r="BQ115" s="35"/>
      <c r="BR115" s="35"/>
      <c r="BS115" s="35"/>
      <c r="BT115" s="35"/>
      <c r="BZ115" s="35"/>
      <c r="CA115" s="35"/>
      <c r="CB115" s="35"/>
      <c r="CC115" s="35"/>
      <c r="CD115" s="35"/>
      <c r="CE115" s="35"/>
      <c r="CK115" s="35"/>
      <c r="CL115" s="35"/>
      <c r="CM115" s="35"/>
      <c r="CN115" s="35"/>
      <c r="CO115" s="35"/>
      <c r="CP115" s="35"/>
    </row>
    <row r="117" spans="1:94" x14ac:dyDescent="0.2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  <c r="AH117" s="40" t="s">
        <v>15</v>
      </c>
      <c r="AI117" s="63" t="str">
        <f>CONCATENATE(AI$6,"-",AJ$6)</f>
        <v>2015-2019</v>
      </c>
      <c r="AJ117" s="63" t="str">
        <f>CONCATENATE(AJ$6,"-",AK$6)</f>
        <v>2019-2020</v>
      </c>
      <c r="AK117" s="63" t="str">
        <f>CONCATENATE(AK$6,"-",AL$6)</f>
        <v>2020-2025</v>
      </c>
      <c r="AL117" s="63" t="str">
        <f>CONCATENATE(AL$6,"-",AM$6)</f>
        <v>2025-2035</v>
      </c>
      <c r="AM117" s="63" t="str">
        <f>CONCATENATE(AK$6,"-",AM$6)</f>
        <v>2020-2035</v>
      </c>
      <c r="AS117" s="40" t="s">
        <v>15</v>
      </c>
      <c r="AT117" s="63" t="str">
        <f>CONCATENATE(AT$6,"-",AU$6)</f>
        <v>2015-2019</v>
      </c>
      <c r="AU117" s="63" t="str">
        <f>CONCATENATE(AU$6,"-",AV$6)</f>
        <v>2019-2020</v>
      </c>
      <c r="AV117" s="63" t="str">
        <f>CONCATENATE(AV$6,"-",AW$6)</f>
        <v>2020-2025</v>
      </c>
      <c r="AW117" s="63" t="str">
        <f>CONCATENATE(AW$6,"-",AX$6)</f>
        <v>2025-2035</v>
      </c>
      <c r="AX117" s="63" t="str">
        <f>CONCATENATE(AV$6,"-",AX$6)</f>
        <v>2020-2035</v>
      </c>
      <c r="BD117" s="40" t="s">
        <v>15</v>
      </c>
      <c r="BE117" s="63" t="str">
        <f>CONCATENATE(BE$6,"-",BF$6)</f>
        <v>2015-2019</v>
      </c>
      <c r="BF117" s="63" t="str">
        <f>CONCATENATE(BF$6,"-",BG$6)</f>
        <v>2019-2020</v>
      </c>
      <c r="BG117" s="63" t="str">
        <f>CONCATENATE(BG$6,"-",BH$6)</f>
        <v>2020-2025</v>
      </c>
      <c r="BH117" s="63" t="str">
        <f>CONCATENATE(BH$6,"-",BI$6)</f>
        <v>2025-2035</v>
      </c>
      <c r="BI117" s="63" t="str">
        <f>CONCATENATE(BG$6,"-",BI$6)</f>
        <v>2020-2035</v>
      </c>
      <c r="BO117" s="40" t="s">
        <v>15</v>
      </c>
      <c r="BP117" s="63" t="str">
        <f>CONCATENATE(BP$6,"-",BQ$6)</f>
        <v>2015-2019</v>
      </c>
      <c r="BQ117" s="63" t="str">
        <f>CONCATENATE(BQ$6,"-",BR$6)</f>
        <v>2019-2020</v>
      </c>
      <c r="BR117" s="63" t="str">
        <f>CONCATENATE(BR$6,"-",BS$6)</f>
        <v>2020-2025</v>
      </c>
      <c r="BS117" s="63" t="str">
        <f>CONCATENATE(BS$6,"-",BT$6)</f>
        <v>2025-2035</v>
      </c>
      <c r="BT117" s="63" t="str">
        <f>CONCATENATE(BR$6,"-",BT$6)</f>
        <v>2020-2035</v>
      </c>
      <c r="BZ117" s="40" t="s">
        <v>15</v>
      </c>
      <c r="CA117" s="63" t="str">
        <f>CONCATENATE(CA$6,"-",CB$6)</f>
        <v>2015-2019</v>
      </c>
      <c r="CB117" s="63" t="str">
        <f>CONCATENATE(CB$6,"-",CC$6)</f>
        <v>2019-2020</v>
      </c>
      <c r="CC117" s="63" t="str">
        <f>CONCATENATE(CC$6,"-",CD$6)</f>
        <v>2020-2025</v>
      </c>
      <c r="CD117" s="63" t="str">
        <f>CONCATENATE(CD$6,"-",CE$6)</f>
        <v>2025-2035</v>
      </c>
      <c r="CE117" s="63" t="str">
        <f>CONCATENATE(CC$6,"-",CE$6)</f>
        <v>2020-2035</v>
      </c>
      <c r="CK117" s="40" t="s">
        <v>15</v>
      </c>
      <c r="CL117" s="63" t="str">
        <f>CONCATENATE(CL$6,"-",CM$6)</f>
        <v>2015-2019</v>
      </c>
      <c r="CM117" s="63" t="str">
        <f>CONCATENATE(CM$6,"-",CN$6)</f>
        <v>2019-2020</v>
      </c>
      <c r="CN117" s="63" t="str">
        <f>CONCATENATE(CN$6,"-",CO$6)</f>
        <v>2020-2025</v>
      </c>
      <c r="CO117" s="63" t="str">
        <f>CONCATENATE(CO$6,"-",CP$6)</f>
        <v>2025-2035</v>
      </c>
      <c r="CP117" s="63" t="str">
        <f>CONCATENATE(CN$6,"-",CP$6)</f>
        <v>2020-2035</v>
      </c>
    </row>
    <row r="118" spans="1:94" x14ac:dyDescent="0.2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  <c r="AI118" s="19"/>
      <c r="AJ118" s="19"/>
      <c r="AK118" s="19"/>
      <c r="AL118" s="19"/>
      <c r="AM118" s="19"/>
      <c r="AT118" s="19"/>
      <c r="AU118" s="19"/>
      <c r="AV118" s="19"/>
      <c r="AW118" s="19"/>
      <c r="AX118" s="19"/>
      <c r="BE118" s="19"/>
      <c r="BF118" s="19"/>
      <c r="BG118" s="19"/>
      <c r="BH118" s="19"/>
      <c r="BI118" s="19"/>
      <c r="BP118" s="19"/>
      <c r="BQ118" s="19"/>
      <c r="BR118" s="19"/>
      <c r="BS118" s="19"/>
      <c r="BT118" s="19"/>
      <c r="CA118" s="19"/>
      <c r="CB118" s="19"/>
      <c r="CC118" s="19"/>
      <c r="CD118" s="19"/>
      <c r="CE118" s="19"/>
      <c r="CL118" s="19"/>
      <c r="CM118" s="19"/>
      <c r="CN118" s="19"/>
      <c r="CO118" s="19"/>
      <c r="CP118" s="19"/>
    </row>
    <row r="119" spans="1:94" x14ac:dyDescent="0.2">
      <c r="A119" t="str">
        <f t="shared" ref="A119:A144" si="285">A8</f>
        <v>11 Corporate managers and directors</v>
      </c>
      <c r="B119" s="26">
        <f t="shared" ref="B119:E144" si="286">C8-B8</f>
        <v>0.62594357538218892</v>
      </c>
      <c r="C119" s="26">
        <f t="shared" si="286"/>
        <v>1.5752498804076698E-2</v>
      </c>
      <c r="D119" s="26">
        <f t="shared" si="286"/>
        <v>0.27394075692045039</v>
      </c>
      <c r="E119" s="26">
        <f t="shared" si="286"/>
        <v>0.82395440278241194</v>
      </c>
      <c r="F119" s="26">
        <f t="shared" ref="F119:F144" si="287">F8-D8</f>
        <v>1.0978951597028623</v>
      </c>
      <c r="L119" t="str">
        <f>A119</f>
        <v>11 Corporate managers and directors</v>
      </c>
      <c r="M119" s="26">
        <f t="shared" ref="M119:P144" si="288">N8-M8</f>
        <v>6.6699555285541514</v>
      </c>
      <c r="N119" s="26">
        <f t="shared" si="288"/>
        <v>-1.4426332433718194</v>
      </c>
      <c r="O119" s="26">
        <f t="shared" si="288"/>
        <v>1.8933520980885312</v>
      </c>
      <c r="P119" s="26">
        <f t="shared" si="288"/>
        <v>6.626282580522183</v>
      </c>
      <c r="Q119" s="26">
        <f t="shared" ref="Q119:Q144" si="289">Q8-O8</f>
        <v>8.5196346786107142</v>
      </c>
      <c r="W119" t="str">
        <f>A119</f>
        <v>11 Corporate managers and directors</v>
      </c>
      <c r="X119" s="26">
        <f t="shared" ref="X119:AA144" si="290">Y8-X8</f>
        <v>6.2384008807676494</v>
      </c>
      <c r="Y119" s="26">
        <f t="shared" si="290"/>
        <v>5.8225761919509154</v>
      </c>
      <c r="Z119" s="26">
        <f t="shared" si="290"/>
        <v>-0.87197078785256821</v>
      </c>
      <c r="AA119" s="26">
        <f t="shared" si="290"/>
        <v>10.669853904998924</v>
      </c>
      <c r="AB119" s="26">
        <f t="shared" ref="AB119:AB144" si="291">AB8-Z8</f>
        <v>9.7978831171463554</v>
      </c>
      <c r="AH119" t="str">
        <f>L119</f>
        <v>11 Corporate managers and directors</v>
      </c>
      <c r="AI119" s="26">
        <f t="shared" ref="AI119:AL144" si="292">AJ8-AI8</f>
        <v>0.72943711069713846</v>
      </c>
      <c r="AJ119" s="26">
        <f t="shared" si="292"/>
        <v>0.81441558730507069</v>
      </c>
      <c r="AK119" s="26">
        <f t="shared" si="292"/>
        <v>-0.58757833744833832</v>
      </c>
      <c r="AL119" s="26">
        <f t="shared" si="292"/>
        <v>1.145262041067129</v>
      </c>
      <c r="AM119" s="26">
        <f t="shared" ref="AM119:AM144" si="293">AM8-AK8</f>
        <v>0.55768370361879072</v>
      </c>
      <c r="AS119" t="str">
        <f>W119</f>
        <v>11 Corporate managers and directors</v>
      </c>
      <c r="AT119" s="26">
        <f t="shared" ref="AT119:AW144" si="294">AU8-AT8</f>
        <v>0.7249898078594228</v>
      </c>
      <c r="AU119" s="26">
        <f t="shared" si="294"/>
        <v>2.2020332150860344</v>
      </c>
      <c r="AV119" s="26">
        <f t="shared" si="294"/>
        <v>-1.2786627516128437</v>
      </c>
      <c r="AW119" s="26">
        <f t="shared" si="294"/>
        <v>1.9982032612567799</v>
      </c>
      <c r="AX119" s="26">
        <f t="shared" ref="AX119:AX144" si="295">AX8-AV8</f>
        <v>0.71954050964393623</v>
      </c>
      <c r="BD119" t="str">
        <f>AH119</f>
        <v>11 Corporate managers and directors</v>
      </c>
      <c r="BE119" s="26">
        <f t="shared" ref="BE119:BH144" si="296">BF8-BE8</f>
        <v>8.7349026767205835</v>
      </c>
      <c r="BF119" s="26">
        <f t="shared" si="296"/>
        <v>-0.13908627654967631</v>
      </c>
      <c r="BG119" s="26">
        <f t="shared" si="296"/>
        <v>-4.21400881088001</v>
      </c>
      <c r="BH119" s="26">
        <f t="shared" si="296"/>
        <v>3.0893250967601631</v>
      </c>
      <c r="BI119" s="26">
        <f t="shared" ref="BI119:BI144" si="297">BI8-BG8</f>
        <v>-1.1246837141198469</v>
      </c>
      <c r="BO119" t="str">
        <f>AS119</f>
        <v>11 Corporate managers and directors</v>
      </c>
      <c r="BP119" s="26">
        <f t="shared" ref="BP119:BS144" si="298">BQ8-BP8</f>
        <v>4.3625339534670218</v>
      </c>
      <c r="BQ119" s="26">
        <f t="shared" si="298"/>
        <v>-0.65398465439246678</v>
      </c>
      <c r="BR119" s="26">
        <f t="shared" si="298"/>
        <v>-5.7402802534465032</v>
      </c>
      <c r="BS119" s="26">
        <f t="shared" si="298"/>
        <v>-4.6770217539822152</v>
      </c>
      <c r="BT119" s="26">
        <f t="shared" ref="BT119:BT144" si="299">BT8-BR8</f>
        <v>-10.417302007428718</v>
      </c>
      <c r="BZ119" t="str">
        <f>BD119</f>
        <v>11 Corporate managers and directors</v>
      </c>
      <c r="CA119" s="67">
        <f t="shared" ref="CA119:CD144" si="300">CB8-CA8</f>
        <v>1.5782509508446552</v>
      </c>
      <c r="CB119" s="67">
        <f t="shared" si="300"/>
        <v>0.99441687528469203</v>
      </c>
      <c r="CC119" s="67">
        <f t="shared" si="300"/>
        <v>-2.735002679413828</v>
      </c>
      <c r="CD119" s="67">
        <f t="shared" si="300"/>
        <v>-4.2264224732322777</v>
      </c>
      <c r="CE119" s="67">
        <f t="shared" ref="CE119:CE144" si="301">CE8-CC8</f>
        <v>-6.9614251526461057</v>
      </c>
      <c r="CK119" t="str">
        <f>BO119</f>
        <v>11 Corporate managers and directors</v>
      </c>
      <c r="CL119" s="67">
        <f t="shared" ref="CL119:CO144" si="302">CM8-CL8</f>
        <v>0.89681171862654452</v>
      </c>
      <c r="CM119" s="67">
        <f t="shared" si="302"/>
        <v>-0.56447499210377972</v>
      </c>
      <c r="CN119" s="67">
        <f t="shared" si="302"/>
        <v>-0.25802678768564569</v>
      </c>
      <c r="CO119" s="67">
        <f t="shared" si="302"/>
        <v>-0.2811758994901199</v>
      </c>
      <c r="CP119" s="67">
        <f t="shared" ref="CP119:CP144" si="303">CP8-CN8</f>
        <v>-0.53920268717576558</v>
      </c>
    </row>
    <row r="120" spans="1:94" x14ac:dyDescent="0.2">
      <c r="A120" t="str">
        <f t="shared" si="285"/>
        <v>12 Other managers and proprietors</v>
      </c>
      <c r="B120" s="26">
        <f t="shared" si="286"/>
        <v>0.25394355031392624</v>
      </c>
      <c r="C120" s="26">
        <f t="shared" si="286"/>
        <v>-0.10749876708818173</v>
      </c>
      <c r="D120" s="26">
        <f t="shared" si="286"/>
        <v>0.41657486685422362</v>
      </c>
      <c r="E120" s="26">
        <f t="shared" si="286"/>
        <v>0.55123493631982678</v>
      </c>
      <c r="F120" s="26">
        <f t="shared" si="287"/>
        <v>0.96780980317405041</v>
      </c>
      <c r="L120" t="str">
        <f t="shared" ref="L120:L143" si="304">A120</f>
        <v>12 Other managers and proprietors</v>
      </c>
      <c r="M120" s="26">
        <f t="shared" si="288"/>
        <v>2.2511235589576808</v>
      </c>
      <c r="N120" s="26">
        <f t="shared" si="288"/>
        <v>-0.61520454533076752</v>
      </c>
      <c r="O120" s="26">
        <f t="shared" si="288"/>
        <v>3.2924568502178078</v>
      </c>
      <c r="P120" s="26">
        <f t="shared" si="288"/>
        <v>4.852301346221136</v>
      </c>
      <c r="Q120" s="26">
        <f t="shared" si="289"/>
        <v>8.1447581964389428</v>
      </c>
      <c r="W120" t="str">
        <f t="shared" ref="W120:W143" si="305">A120</f>
        <v>12 Other managers and proprietors</v>
      </c>
      <c r="X120" s="26">
        <f t="shared" si="290"/>
        <v>1.09050404973501</v>
      </c>
      <c r="Y120" s="26">
        <f t="shared" si="290"/>
        <v>1.8888550896665262</v>
      </c>
      <c r="Z120" s="26">
        <f t="shared" si="290"/>
        <v>5.6279177569721064</v>
      </c>
      <c r="AA120" s="26">
        <f t="shared" si="290"/>
        <v>7.1511668208905839</v>
      </c>
      <c r="AB120" s="26">
        <f t="shared" si="291"/>
        <v>12.77908457786269</v>
      </c>
      <c r="AH120" t="str">
        <f t="shared" ref="AH120:AH143" si="306">L120</f>
        <v>12 Other managers and proprietors</v>
      </c>
      <c r="AI120" s="26">
        <f t="shared" si="292"/>
        <v>0.28507801853442238</v>
      </c>
      <c r="AJ120" s="26">
        <f t="shared" si="292"/>
        <v>0.54502966914494877</v>
      </c>
      <c r="AK120" s="26">
        <f t="shared" si="292"/>
        <v>1.0000535129473249</v>
      </c>
      <c r="AL120" s="26">
        <f t="shared" si="292"/>
        <v>1.5133802929998312</v>
      </c>
      <c r="AM120" s="26">
        <f t="shared" si="293"/>
        <v>2.5134338059471562</v>
      </c>
      <c r="AS120" t="str">
        <f t="shared" ref="AS120:AS143" si="307">W120</f>
        <v>12 Other managers and proprietors</v>
      </c>
      <c r="AT120" s="26">
        <f t="shared" si="294"/>
        <v>0.14696304691606699</v>
      </c>
      <c r="AU120" s="26">
        <f t="shared" si="294"/>
        <v>0.78954232016771186</v>
      </c>
      <c r="AV120" s="26">
        <f t="shared" si="294"/>
        <v>1.5464828945063918</v>
      </c>
      <c r="AW120" s="26">
        <f t="shared" si="294"/>
        <v>1.7811089396908839</v>
      </c>
      <c r="AX120" s="26">
        <f t="shared" si="295"/>
        <v>3.3275918341972757</v>
      </c>
      <c r="BD120" t="str">
        <f t="shared" ref="BD120:BD143" si="308">AH120</f>
        <v>12 Other managers and proprietors</v>
      </c>
      <c r="BE120" s="26">
        <f t="shared" si="296"/>
        <v>1.7459033089620064</v>
      </c>
      <c r="BF120" s="26">
        <f t="shared" si="296"/>
        <v>0.93249122023954101</v>
      </c>
      <c r="BG120" s="26">
        <f t="shared" si="296"/>
        <v>3.0062526668297096</v>
      </c>
      <c r="BH120" s="26">
        <f t="shared" si="296"/>
        <v>2.6714671072351059</v>
      </c>
      <c r="BI120" s="26">
        <f t="shared" si="297"/>
        <v>5.6777197740648155</v>
      </c>
      <c r="BO120" t="str">
        <f t="shared" ref="BO120:BO143" si="309">AS120</f>
        <v>12 Other managers and proprietors</v>
      </c>
      <c r="BP120" s="26">
        <f t="shared" si="298"/>
        <v>2.0078815986159544</v>
      </c>
      <c r="BQ120" s="26">
        <f t="shared" si="298"/>
        <v>-0.42360490888131253</v>
      </c>
      <c r="BR120" s="26">
        <f t="shared" si="298"/>
        <v>1.7140848526266019</v>
      </c>
      <c r="BS120" s="26">
        <f t="shared" si="298"/>
        <v>-1.5285677719266211</v>
      </c>
      <c r="BT120" s="26">
        <f t="shared" si="299"/>
        <v>0.18551708069998085</v>
      </c>
      <c r="BZ120" t="str">
        <f t="shared" ref="BZ120:BZ143" si="310">BD120</f>
        <v>12 Other managers and proprietors</v>
      </c>
      <c r="CA120" s="67">
        <f t="shared" si="300"/>
        <v>-0.3818801700776504</v>
      </c>
      <c r="CB120" s="67">
        <f t="shared" si="300"/>
        <v>0.48684234645629409</v>
      </c>
      <c r="CC120" s="67">
        <f t="shared" si="300"/>
        <v>0.45621717743509471</v>
      </c>
      <c r="CD120" s="67">
        <f t="shared" si="300"/>
        <v>-2.9183539912221574</v>
      </c>
      <c r="CE120" s="67">
        <f t="shared" si="301"/>
        <v>-2.4621368137870627</v>
      </c>
      <c r="CK120" t="str">
        <f t="shared" ref="CK120:CK143" si="311">BO120</f>
        <v>12 Other managers and proprietors</v>
      </c>
      <c r="CL120" s="67">
        <f t="shared" si="302"/>
        <v>0.47618658531797431</v>
      </c>
      <c r="CM120" s="67">
        <f t="shared" si="302"/>
        <v>-0.35040598651437627</v>
      </c>
      <c r="CN120" s="67">
        <f t="shared" si="302"/>
        <v>1.4923428861003964</v>
      </c>
      <c r="CO120" s="67">
        <f t="shared" si="302"/>
        <v>0.47150770827466282</v>
      </c>
      <c r="CP120" s="67">
        <f t="shared" si="303"/>
        <v>1.9638505943750593</v>
      </c>
    </row>
    <row r="121" spans="1:94" x14ac:dyDescent="0.2">
      <c r="A121" t="str">
        <f t="shared" si="285"/>
        <v>21 Science, research, engineering and technology professionals</v>
      </c>
      <c r="B121" s="26">
        <f t="shared" si="286"/>
        <v>2.0446022879725501</v>
      </c>
      <c r="C121" s="26">
        <f t="shared" si="286"/>
        <v>-0.22514871004212456</v>
      </c>
      <c r="D121" s="26">
        <f t="shared" si="286"/>
        <v>1.4989694544622392</v>
      </c>
      <c r="E121" s="26">
        <f t="shared" si="286"/>
        <v>2.459243272137372</v>
      </c>
      <c r="F121" s="26">
        <f t="shared" si="287"/>
        <v>3.9582127265996112</v>
      </c>
      <c r="L121" t="str">
        <f t="shared" si="304"/>
        <v>21 Science, research, engineering and technology professionals</v>
      </c>
      <c r="M121" s="26">
        <f t="shared" si="288"/>
        <v>7.9201316532613788</v>
      </c>
      <c r="N121" s="26">
        <f t="shared" si="288"/>
        <v>-0.7326030135221373</v>
      </c>
      <c r="O121" s="26">
        <f t="shared" si="288"/>
        <v>6.8082197720788642</v>
      </c>
      <c r="P121" s="26">
        <f t="shared" si="288"/>
        <v>10.978665021089885</v>
      </c>
      <c r="Q121" s="26">
        <f t="shared" si="289"/>
        <v>17.786884793168749</v>
      </c>
      <c r="W121" t="str">
        <f t="shared" si="305"/>
        <v>21 Science, research, engineering and technology professionals</v>
      </c>
      <c r="X121" s="26">
        <f t="shared" si="290"/>
        <v>2.5316095029216896</v>
      </c>
      <c r="Y121" s="26">
        <f t="shared" si="290"/>
        <v>5.296809765160333</v>
      </c>
      <c r="Z121" s="26">
        <f t="shared" si="290"/>
        <v>2.0798261063008994</v>
      </c>
      <c r="AA121" s="26">
        <f t="shared" si="290"/>
        <v>5.2898750136583601</v>
      </c>
      <c r="AB121" s="26">
        <f t="shared" si="291"/>
        <v>7.3697011199592595</v>
      </c>
      <c r="AH121" t="str">
        <f t="shared" si="306"/>
        <v>21 Science, research, engineering and technology professionals</v>
      </c>
      <c r="AI121" s="26">
        <f t="shared" si="292"/>
        <v>0.13657638932601568</v>
      </c>
      <c r="AJ121" s="26">
        <f t="shared" si="292"/>
        <v>0.76399843108732401</v>
      </c>
      <c r="AK121" s="26">
        <f t="shared" si="292"/>
        <v>0.21025770175382608</v>
      </c>
      <c r="AL121" s="26">
        <f t="shared" si="292"/>
        <v>0.91573881627566234</v>
      </c>
      <c r="AM121" s="26">
        <f t="shared" si="293"/>
        <v>1.1259965180294884</v>
      </c>
      <c r="AS121" t="str">
        <f t="shared" si="307"/>
        <v>21 Science, research, engineering and technology professionals</v>
      </c>
      <c r="AT121" s="26">
        <f t="shared" si="294"/>
        <v>-0.49138041018374956</v>
      </c>
      <c r="AU121" s="26">
        <f t="shared" si="294"/>
        <v>2.1366776838200607</v>
      </c>
      <c r="AV121" s="26">
        <f t="shared" si="294"/>
        <v>-0.5827655602824251</v>
      </c>
      <c r="AW121" s="26">
        <f t="shared" si="294"/>
        <v>0.88462096403436696</v>
      </c>
      <c r="AX121" s="26">
        <f t="shared" si="295"/>
        <v>0.30185540375194186</v>
      </c>
      <c r="BD121" t="str">
        <f t="shared" si="308"/>
        <v>21 Science, research, engineering and technology professionals</v>
      </c>
      <c r="BE121" s="26">
        <f t="shared" si="296"/>
        <v>5.1707779983613271</v>
      </c>
      <c r="BF121" s="26">
        <f t="shared" si="296"/>
        <v>-0.56446200873099173</v>
      </c>
      <c r="BG121" s="26">
        <f t="shared" si="296"/>
        <v>-0.28914794252011689</v>
      </c>
      <c r="BH121" s="26">
        <f t="shared" si="296"/>
        <v>1.4661990454822451</v>
      </c>
      <c r="BI121" s="26">
        <f t="shared" si="297"/>
        <v>1.1770511029621282</v>
      </c>
      <c r="BO121" t="str">
        <f t="shared" si="309"/>
        <v>21 Science, research, engineering and technology professionals</v>
      </c>
      <c r="BP121" s="26">
        <f t="shared" si="298"/>
        <v>2.3103036132443044</v>
      </c>
      <c r="BQ121" s="26">
        <f t="shared" si="298"/>
        <v>-3.3639388705195117E-2</v>
      </c>
      <c r="BR121" s="26">
        <f t="shared" si="298"/>
        <v>-1.3438985790294726</v>
      </c>
      <c r="BS121" s="26">
        <f t="shared" si="298"/>
        <v>-1.632534443370842</v>
      </c>
      <c r="BT121" s="26">
        <f t="shared" si="299"/>
        <v>-2.9764330224003146</v>
      </c>
      <c r="BZ121" t="str">
        <f t="shared" si="310"/>
        <v>21 Science, research, engineering and technology professionals</v>
      </c>
      <c r="CA121" s="67">
        <f t="shared" si="300"/>
        <v>1.0749725485666302</v>
      </c>
      <c r="CB121" s="67">
        <f t="shared" si="300"/>
        <v>0.31090449475650672</v>
      </c>
      <c r="CC121" s="67">
        <f t="shared" si="300"/>
        <v>-0.99369909457927719</v>
      </c>
      <c r="CD121" s="67">
        <f t="shared" si="300"/>
        <v>-2.4756835511157149</v>
      </c>
      <c r="CE121" s="67">
        <f t="shared" si="301"/>
        <v>-3.4693826456949921</v>
      </c>
      <c r="CK121" t="str">
        <f t="shared" si="311"/>
        <v>21 Science, research, engineering and technology professionals</v>
      </c>
      <c r="CL121" s="67">
        <f t="shared" si="302"/>
        <v>0.45838754960816397</v>
      </c>
      <c r="CM121" s="67">
        <f t="shared" si="302"/>
        <v>-0.12908920087622122</v>
      </c>
      <c r="CN121" s="67">
        <f t="shared" si="302"/>
        <v>0.57874049287276019</v>
      </c>
      <c r="CO121" s="67">
        <f t="shared" si="302"/>
        <v>-0.17573850452605289</v>
      </c>
      <c r="CP121" s="67">
        <f t="shared" si="303"/>
        <v>0.40300198834670731</v>
      </c>
    </row>
    <row r="122" spans="1:94" x14ac:dyDescent="0.2">
      <c r="A122" t="str">
        <f t="shared" si="285"/>
        <v>22 Health professionals</v>
      </c>
      <c r="B122" s="26">
        <f t="shared" si="286"/>
        <v>1.9012068689954988</v>
      </c>
      <c r="C122" s="26">
        <f t="shared" si="286"/>
        <v>-0.64114911730748059</v>
      </c>
      <c r="D122" s="26">
        <f t="shared" si="286"/>
        <v>1.5297544707659165</v>
      </c>
      <c r="E122" s="26">
        <f t="shared" si="286"/>
        <v>2.1213341783798052</v>
      </c>
      <c r="F122" s="26">
        <f t="shared" si="287"/>
        <v>3.6510886491457217</v>
      </c>
      <c r="L122" t="str">
        <f t="shared" si="304"/>
        <v>22 Health professionals</v>
      </c>
      <c r="M122" s="26">
        <f t="shared" si="288"/>
        <v>6.2907747738400737</v>
      </c>
      <c r="N122" s="26">
        <f t="shared" si="288"/>
        <v>-2.6189788089187402</v>
      </c>
      <c r="O122" s="26">
        <f t="shared" si="288"/>
        <v>3.7318667888516117</v>
      </c>
      <c r="P122" s="26">
        <f t="shared" si="288"/>
        <v>5.1811124736185334</v>
      </c>
      <c r="Q122" s="26">
        <f t="shared" si="289"/>
        <v>8.9129792624701452</v>
      </c>
      <c r="W122" t="str">
        <f t="shared" si="305"/>
        <v>22 Health professionals</v>
      </c>
      <c r="X122" s="26">
        <f t="shared" si="290"/>
        <v>4.6482598647069437</v>
      </c>
      <c r="Y122" s="26">
        <f t="shared" si="290"/>
        <v>2.0953453766693642</v>
      </c>
      <c r="Z122" s="26">
        <f t="shared" si="290"/>
        <v>5.5375027627825233</v>
      </c>
      <c r="AA122" s="26">
        <f t="shared" si="290"/>
        <v>8.1837063624457755</v>
      </c>
      <c r="AB122" s="26">
        <f t="shared" si="291"/>
        <v>13.721209125228299</v>
      </c>
      <c r="AH122" t="str">
        <f t="shared" si="306"/>
        <v>22 Health professionals</v>
      </c>
      <c r="AI122" s="26">
        <f t="shared" si="292"/>
        <v>-3.6026534031071282</v>
      </c>
      <c r="AJ122" s="26">
        <f t="shared" si="292"/>
        <v>-0.45912716577864465</v>
      </c>
      <c r="AK122" s="26">
        <f t="shared" si="292"/>
        <v>-4.4582247469760841</v>
      </c>
      <c r="AL122" s="26">
        <f t="shared" si="292"/>
        <v>-4.2385958896916023</v>
      </c>
      <c r="AM122" s="26">
        <f t="shared" si="293"/>
        <v>-8.6968206366676863</v>
      </c>
      <c r="AS122" t="str">
        <f t="shared" si="307"/>
        <v>22 Health professionals</v>
      </c>
      <c r="AT122" s="26">
        <f t="shared" si="294"/>
        <v>0.38999216254626479</v>
      </c>
      <c r="AU122" s="26">
        <f t="shared" si="294"/>
        <v>0.37438326652001086</v>
      </c>
      <c r="AV122" s="26">
        <f t="shared" si="294"/>
        <v>0.20313240692342793</v>
      </c>
      <c r="AW122" s="26">
        <f t="shared" si="294"/>
        <v>0.49647568031658018</v>
      </c>
      <c r="AX122" s="26">
        <f t="shared" si="295"/>
        <v>0.69960808724000811</v>
      </c>
      <c r="BD122" t="str">
        <f t="shared" si="308"/>
        <v>22 Health professionals</v>
      </c>
      <c r="BE122" s="26">
        <f t="shared" si="296"/>
        <v>2.0200629929496543</v>
      </c>
      <c r="BF122" s="26">
        <f t="shared" si="296"/>
        <v>0.7778903363762133</v>
      </c>
      <c r="BG122" s="26">
        <f t="shared" si="296"/>
        <v>0.64631171459801706</v>
      </c>
      <c r="BH122" s="26">
        <f t="shared" si="296"/>
        <v>0.74500707746873474</v>
      </c>
      <c r="BI122" s="26">
        <f t="shared" si="297"/>
        <v>1.3913187920667518</v>
      </c>
      <c r="BO122" t="str">
        <f t="shared" si="309"/>
        <v>22 Health professionals</v>
      </c>
      <c r="BP122" s="26">
        <f t="shared" si="298"/>
        <v>1.1370286531323002</v>
      </c>
      <c r="BQ122" s="26">
        <f t="shared" si="298"/>
        <v>0.40409947642731048</v>
      </c>
      <c r="BR122" s="26">
        <f t="shared" si="298"/>
        <v>-0.49896483963942373</v>
      </c>
      <c r="BS122" s="26">
        <f t="shared" si="298"/>
        <v>-1.4474430379202339</v>
      </c>
      <c r="BT122" s="26">
        <f t="shared" si="299"/>
        <v>-1.9464078775596576</v>
      </c>
      <c r="BZ122" t="str">
        <f t="shared" si="310"/>
        <v>22 Health professionals</v>
      </c>
      <c r="CA122" s="67">
        <f t="shared" si="300"/>
        <v>-0.10962591476663519</v>
      </c>
      <c r="CB122" s="67">
        <f t="shared" si="300"/>
        <v>1.3430195208859352E-2</v>
      </c>
      <c r="CC122" s="67">
        <f t="shared" si="300"/>
        <v>0.59224795202360436</v>
      </c>
      <c r="CD122" s="67">
        <f t="shared" si="300"/>
        <v>-1.5713605555790076</v>
      </c>
      <c r="CE122" s="67">
        <f t="shared" si="301"/>
        <v>-0.97911260355540319</v>
      </c>
      <c r="CK122" t="str">
        <f t="shared" si="311"/>
        <v>22 Health professionals</v>
      </c>
      <c r="CL122" s="67">
        <f t="shared" si="302"/>
        <v>0.15040693039954639</v>
      </c>
      <c r="CM122" s="67">
        <f t="shared" si="302"/>
        <v>-3.5428584291252951E-2</v>
      </c>
      <c r="CN122" s="67">
        <f t="shared" si="302"/>
        <v>0.1859448765552435</v>
      </c>
      <c r="CO122" s="67">
        <f t="shared" si="302"/>
        <v>3.582474461159102E-2</v>
      </c>
      <c r="CP122" s="67">
        <f t="shared" si="303"/>
        <v>0.22176962116683452</v>
      </c>
    </row>
    <row r="123" spans="1:94" x14ac:dyDescent="0.2">
      <c r="A123" t="str">
        <f t="shared" si="285"/>
        <v>23 Teaching and other educational professionals</v>
      </c>
      <c r="B123" s="26">
        <f t="shared" si="286"/>
        <v>1.4531139510580839</v>
      </c>
      <c r="C123" s="26">
        <f t="shared" si="286"/>
        <v>-0.16313449244931988</v>
      </c>
      <c r="D123" s="26">
        <f t="shared" si="286"/>
        <v>0.81289251880654234</v>
      </c>
      <c r="E123" s="26">
        <f t="shared" si="286"/>
        <v>1.2336366544634441</v>
      </c>
      <c r="F123" s="26">
        <f t="shared" si="287"/>
        <v>2.0465291732699864</v>
      </c>
      <c r="L123" t="str">
        <f t="shared" si="304"/>
        <v>23 Teaching and other educational professionals</v>
      </c>
      <c r="M123" s="26">
        <f t="shared" si="288"/>
        <v>10.12048652644895</v>
      </c>
      <c r="N123" s="26">
        <f t="shared" si="288"/>
        <v>-1.6288628475036191</v>
      </c>
      <c r="O123" s="26">
        <f t="shared" si="288"/>
        <v>4.0753503828905622</v>
      </c>
      <c r="P123" s="26">
        <f t="shared" si="288"/>
        <v>6.7379081091138673</v>
      </c>
      <c r="Q123" s="26">
        <f t="shared" si="289"/>
        <v>10.813258492004429</v>
      </c>
      <c r="W123" t="str">
        <f t="shared" si="305"/>
        <v>23 Teaching and other educational professionals</v>
      </c>
      <c r="X123" s="26">
        <f t="shared" si="290"/>
        <v>-3.1823931719687693</v>
      </c>
      <c r="Y123" s="26">
        <f t="shared" si="290"/>
        <v>3.7423800577052972</v>
      </c>
      <c r="Z123" s="26">
        <f t="shared" si="290"/>
        <v>-4.0262996330767891</v>
      </c>
      <c r="AA123" s="26">
        <f t="shared" si="290"/>
        <v>-3.5908585463030924</v>
      </c>
      <c r="AB123" s="26">
        <f t="shared" si="291"/>
        <v>-7.6171581793798815</v>
      </c>
      <c r="AH123" t="str">
        <f t="shared" si="306"/>
        <v>23 Teaching and other educational professionals</v>
      </c>
      <c r="AI123" s="26">
        <f t="shared" si="292"/>
        <v>-1.6408934784150673</v>
      </c>
      <c r="AJ123" s="26">
        <f t="shared" si="292"/>
        <v>5.0573976648039309E-2</v>
      </c>
      <c r="AK123" s="26">
        <f t="shared" si="292"/>
        <v>-0.84755305376037593</v>
      </c>
      <c r="AL123" s="26">
        <f t="shared" si="292"/>
        <v>1.3874134672762217E-2</v>
      </c>
      <c r="AM123" s="26">
        <f t="shared" si="293"/>
        <v>-0.83367891908761371</v>
      </c>
      <c r="AS123" t="str">
        <f t="shared" si="307"/>
        <v>23 Teaching and other educational professionals</v>
      </c>
      <c r="AT123" s="26">
        <f t="shared" si="294"/>
        <v>-0.1052298777218571</v>
      </c>
      <c r="AU123" s="26">
        <f t="shared" si="294"/>
        <v>0.21543957182392226</v>
      </c>
      <c r="AV123" s="26">
        <f t="shared" si="294"/>
        <v>-0.1887889269380274</v>
      </c>
      <c r="AW123" s="26">
        <f t="shared" si="294"/>
        <v>-8.1706274661918932E-2</v>
      </c>
      <c r="AX123" s="26">
        <f t="shared" si="295"/>
        <v>-0.27049520159994633</v>
      </c>
      <c r="BD123" t="str">
        <f t="shared" si="308"/>
        <v>23 Teaching and other educational professionals</v>
      </c>
      <c r="BE123" s="26">
        <f t="shared" si="296"/>
        <v>0.51857741915119515</v>
      </c>
      <c r="BF123" s="26">
        <f t="shared" si="296"/>
        <v>0.6118448437774795</v>
      </c>
      <c r="BG123" s="26">
        <f t="shared" si="296"/>
        <v>-5.9185811996576021E-3</v>
      </c>
      <c r="BH123" s="26">
        <f t="shared" si="296"/>
        <v>0.83067366801833842</v>
      </c>
      <c r="BI123" s="26">
        <f t="shared" si="297"/>
        <v>0.82475508681868082</v>
      </c>
      <c r="BO123" t="str">
        <f t="shared" si="309"/>
        <v>23 Teaching and other educational professionals</v>
      </c>
      <c r="BP123" s="26">
        <f t="shared" si="298"/>
        <v>5.4945747341260009E-2</v>
      </c>
      <c r="BQ123" s="26">
        <f t="shared" si="298"/>
        <v>0.44378435194935273</v>
      </c>
      <c r="BR123" s="26">
        <f t="shared" si="298"/>
        <v>-0.51379239552077038</v>
      </c>
      <c r="BS123" s="26">
        <f t="shared" si="298"/>
        <v>-0.58909182274904248</v>
      </c>
      <c r="BT123" s="26">
        <f t="shared" si="299"/>
        <v>-1.1028842182698129</v>
      </c>
      <c r="BZ123" t="str">
        <f t="shared" si="310"/>
        <v>23 Teaching and other educational professionals</v>
      </c>
      <c r="CA123" s="67">
        <f t="shared" si="300"/>
        <v>-0.2161580085147996</v>
      </c>
      <c r="CB123" s="67">
        <f t="shared" si="300"/>
        <v>0.445568678049443</v>
      </c>
      <c r="CC123" s="67">
        <f t="shared" si="300"/>
        <v>-9.4786290812155283E-2</v>
      </c>
      <c r="CD123" s="67">
        <f t="shared" si="300"/>
        <v>-0.62019457137898715</v>
      </c>
      <c r="CE123" s="67">
        <f t="shared" si="301"/>
        <v>-0.71498086219114243</v>
      </c>
      <c r="CK123" t="str">
        <f t="shared" si="311"/>
        <v>23 Teaching and other educational professionals</v>
      </c>
      <c r="CL123" s="67">
        <f t="shared" si="302"/>
        <v>0.139753394722753</v>
      </c>
      <c r="CM123" s="67">
        <f t="shared" si="302"/>
        <v>8.8339066478177131E-2</v>
      </c>
      <c r="CN123" s="67">
        <f t="shared" si="302"/>
        <v>0.20403335428734171</v>
      </c>
      <c r="CO123" s="67">
        <f t="shared" si="302"/>
        <v>-6.1848922479988189E-2</v>
      </c>
      <c r="CP123" s="67">
        <f t="shared" si="303"/>
        <v>0.14218443180735352</v>
      </c>
    </row>
    <row r="124" spans="1:94" x14ac:dyDescent="0.2">
      <c r="A124" t="str">
        <f t="shared" si="285"/>
        <v>24 Business, media and public service professionals</v>
      </c>
      <c r="B124" s="26">
        <f t="shared" si="286"/>
        <v>0.72792763637886138</v>
      </c>
      <c r="C124" s="26">
        <f t="shared" si="286"/>
        <v>2.8996020957264168E-2</v>
      </c>
      <c r="D124" s="26">
        <f t="shared" si="286"/>
        <v>0.77503568906540865</v>
      </c>
      <c r="E124" s="26">
        <f t="shared" si="286"/>
        <v>1.1612952693994125</v>
      </c>
      <c r="F124" s="26">
        <f t="shared" si="287"/>
        <v>1.9363309584648212</v>
      </c>
      <c r="L124" t="str">
        <f t="shared" si="304"/>
        <v>24 Business, media and public service professionals</v>
      </c>
      <c r="M124" s="26">
        <f t="shared" si="288"/>
        <v>10.670356046855556</v>
      </c>
      <c r="N124" s="26">
        <f t="shared" si="288"/>
        <v>0.40961020162140116</v>
      </c>
      <c r="O124" s="26">
        <f t="shared" si="288"/>
        <v>8.0191088258889813</v>
      </c>
      <c r="P124" s="26">
        <f t="shared" si="288"/>
        <v>12.047702757192951</v>
      </c>
      <c r="Q124" s="26">
        <f t="shared" si="289"/>
        <v>20.066811583081932</v>
      </c>
      <c r="W124" t="str">
        <f t="shared" si="305"/>
        <v>24 Business, media and public service professionals</v>
      </c>
      <c r="X124" s="26">
        <f t="shared" si="290"/>
        <v>4.7755069676404531</v>
      </c>
      <c r="Y124" s="26">
        <f t="shared" si="290"/>
        <v>11.028098475253053</v>
      </c>
      <c r="Z124" s="26">
        <f t="shared" si="290"/>
        <v>6.664597498653599</v>
      </c>
      <c r="AA124" s="26">
        <f t="shared" si="290"/>
        <v>10.046287538418255</v>
      </c>
      <c r="AB124" s="26">
        <f t="shared" si="291"/>
        <v>16.710885037071854</v>
      </c>
      <c r="AH124" t="str">
        <f t="shared" si="306"/>
        <v>24 Business, media and public service professionals</v>
      </c>
      <c r="AI124" s="26">
        <f t="shared" si="292"/>
        <v>-0.38212822572409788</v>
      </c>
      <c r="AJ124" s="26">
        <f t="shared" si="292"/>
        <v>0.80783414632520323</v>
      </c>
      <c r="AK124" s="26">
        <f t="shared" si="292"/>
        <v>-1.7370641915494645E-2</v>
      </c>
      <c r="AL124" s="26">
        <f t="shared" si="292"/>
        <v>0.73195815829155286</v>
      </c>
      <c r="AM124" s="26">
        <f t="shared" si="293"/>
        <v>0.71458751637605822</v>
      </c>
      <c r="AS124" t="str">
        <f t="shared" si="307"/>
        <v>24 Business, media and public service professionals</v>
      </c>
      <c r="AT124" s="26">
        <f t="shared" si="294"/>
        <v>0.18405414560697864</v>
      </c>
      <c r="AU124" s="26">
        <f t="shared" si="294"/>
        <v>2.1531668804090209</v>
      </c>
      <c r="AV124" s="26">
        <f t="shared" si="294"/>
        <v>0.90294678166508646</v>
      </c>
      <c r="AW124" s="26">
        <f t="shared" si="294"/>
        <v>1.915283275320478</v>
      </c>
      <c r="AX124" s="26">
        <f t="shared" si="295"/>
        <v>2.8182300569855645</v>
      </c>
      <c r="BD124" t="str">
        <f t="shared" si="308"/>
        <v>24 Business, media and public service professionals</v>
      </c>
      <c r="BE124" s="26">
        <f t="shared" si="296"/>
        <v>4.816745090623435</v>
      </c>
      <c r="BF124" s="26">
        <f t="shared" si="296"/>
        <v>1.691215007131472</v>
      </c>
      <c r="BG124" s="26">
        <f t="shared" si="296"/>
        <v>2.0312853439638054</v>
      </c>
      <c r="BH124" s="26">
        <f t="shared" si="296"/>
        <v>2.7474397887146687</v>
      </c>
      <c r="BI124" s="26">
        <f t="shared" si="297"/>
        <v>4.7787251326784741</v>
      </c>
      <c r="BO124" t="str">
        <f t="shared" si="309"/>
        <v>24 Business, media and public service professionals</v>
      </c>
      <c r="BP124" s="26">
        <f t="shared" si="298"/>
        <v>1.8476445180780683</v>
      </c>
      <c r="BQ124" s="26">
        <f t="shared" si="298"/>
        <v>1.2524695187269028</v>
      </c>
      <c r="BR124" s="26">
        <f t="shared" si="298"/>
        <v>-1.0223409758092465</v>
      </c>
      <c r="BS124" s="26">
        <f t="shared" si="298"/>
        <v>-2.4764116638089693</v>
      </c>
      <c r="BT124" s="26">
        <f t="shared" si="299"/>
        <v>-3.4987526396182158</v>
      </c>
      <c r="BZ124" t="str">
        <f t="shared" si="310"/>
        <v>24 Business, media and public service professionals</v>
      </c>
      <c r="CA124" s="67">
        <f t="shared" si="300"/>
        <v>0.43793241238325997</v>
      </c>
      <c r="CB124" s="67">
        <f t="shared" si="300"/>
        <v>1.3692468507953244</v>
      </c>
      <c r="CC124" s="67">
        <f t="shared" si="300"/>
        <v>-0.16113470991366086</v>
      </c>
      <c r="CD124" s="67">
        <f t="shared" si="300"/>
        <v>-3.0591628168775706</v>
      </c>
      <c r="CE124" s="67">
        <f t="shared" si="301"/>
        <v>-3.2202975267912315</v>
      </c>
      <c r="CK124" t="str">
        <f t="shared" si="311"/>
        <v>24 Business, media and public service professionals</v>
      </c>
      <c r="CL124" s="67">
        <f t="shared" si="302"/>
        <v>0.52364359118212112</v>
      </c>
      <c r="CM124" s="67">
        <f t="shared" si="302"/>
        <v>-3.1156776245448325E-2</v>
      </c>
      <c r="CN124" s="67">
        <f t="shared" si="302"/>
        <v>0.4200582390837726</v>
      </c>
      <c r="CO124" s="67">
        <f t="shared" si="302"/>
        <v>-0.28052271468459056</v>
      </c>
      <c r="CP124" s="67">
        <f t="shared" si="303"/>
        <v>0.13953552439918204</v>
      </c>
    </row>
    <row r="125" spans="1:94" x14ac:dyDescent="0.2">
      <c r="A125" t="str">
        <f t="shared" si="285"/>
        <v>31 Science, engineering and technology associate professionals</v>
      </c>
      <c r="B125" s="26">
        <f t="shared" si="286"/>
        <v>0.29632274111162671</v>
      </c>
      <c r="C125" s="26">
        <f t="shared" si="286"/>
        <v>1.9468960928049728E-2</v>
      </c>
      <c r="D125" s="26">
        <f t="shared" si="286"/>
        <v>0.10527705444149904</v>
      </c>
      <c r="E125" s="26">
        <f t="shared" si="286"/>
        <v>0.42074768282510822</v>
      </c>
      <c r="F125" s="26">
        <f t="shared" si="287"/>
        <v>0.52602473726660726</v>
      </c>
      <c r="L125" t="str">
        <f t="shared" si="304"/>
        <v>31 Science, engineering and technology associate professionals</v>
      </c>
      <c r="M125" s="26">
        <f t="shared" si="288"/>
        <v>1.4236459938974968</v>
      </c>
      <c r="N125" s="26">
        <f t="shared" si="288"/>
        <v>4.6368348582514152E-2</v>
      </c>
      <c r="O125" s="26">
        <f t="shared" si="288"/>
        <v>0.31249745024720621</v>
      </c>
      <c r="P125" s="26">
        <f t="shared" si="288"/>
        <v>1.7902739985443787</v>
      </c>
      <c r="Q125" s="26">
        <f t="shared" si="289"/>
        <v>2.102771448791585</v>
      </c>
      <c r="W125" t="str">
        <f t="shared" si="305"/>
        <v>31 Science, engineering and technology associate professionals</v>
      </c>
      <c r="X125" s="26">
        <f t="shared" si="290"/>
        <v>1.4243028114787641</v>
      </c>
      <c r="Y125" s="26">
        <f t="shared" si="290"/>
        <v>1.6149275971325512</v>
      </c>
      <c r="Z125" s="26">
        <f t="shared" si="290"/>
        <v>-0.85318145380824006</v>
      </c>
      <c r="AA125" s="26">
        <f t="shared" si="290"/>
        <v>1.5464486331724245</v>
      </c>
      <c r="AB125" s="26">
        <f t="shared" si="291"/>
        <v>0.69326717936418447</v>
      </c>
      <c r="AH125" t="str">
        <f t="shared" si="306"/>
        <v>31 Science, engineering and technology associate professionals</v>
      </c>
      <c r="AI125" s="26">
        <f t="shared" si="292"/>
        <v>0.14929894844138403</v>
      </c>
      <c r="AJ125" s="26">
        <f t="shared" si="292"/>
        <v>0.39590718263656988</v>
      </c>
      <c r="AK125" s="26">
        <f t="shared" si="292"/>
        <v>3.4868627063091573E-2</v>
      </c>
      <c r="AL125" s="26">
        <f t="shared" si="292"/>
        <v>0.71636850284722531</v>
      </c>
      <c r="AM125" s="26">
        <f t="shared" si="293"/>
        <v>0.75123712991031688</v>
      </c>
      <c r="AS125" t="str">
        <f t="shared" si="307"/>
        <v>31 Science, engineering and technology associate professionals</v>
      </c>
      <c r="AT125" s="26">
        <f t="shared" si="294"/>
        <v>-1.3474719956002801E-2</v>
      </c>
      <c r="AU125" s="26">
        <f t="shared" si="294"/>
        <v>0.95273251830122785</v>
      </c>
      <c r="AV125" s="26">
        <f t="shared" si="294"/>
        <v>-0.97878387387175447</v>
      </c>
      <c r="AW125" s="26">
        <f t="shared" si="294"/>
        <v>0.1815112436199886</v>
      </c>
      <c r="AX125" s="26">
        <f t="shared" si="295"/>
        <v>-0.79727263025176587</v>
      </c>
      <c r="BD125" t="str">
        <f t="shared" si="308"/>
        <v>31 Science, engineering and technology associate professionals</v>
      </c>
      <c r="BE125" s="26">
        <f t="shared" si="296"/>
        <v>1.8506457446701692</v>
      </c>
      <c r="BF125" s="26">
        <f t="shared" si="296"/>
        <v>0.46547572622453082</v>
      </c>
      <c r="BG125" s="26">
        <f t="shared" si="296"/>
        <v>-2.1879804205812068</v>
      </c>
      <c r="BH125" s="26">
        <f t="shared" si="296"/>
        <v>-0.54312342605767761</v>
      </c>
      <c r="BI125" s="26">
        <f t="shared" si="297"/>
        <v>-2.7311038466388844</v>
      </c>
      <c r="BO125" t="str">
        <f t="shared" si="309"/>
        <v>31 Science, engineering and technology associate professionals</v>
      </c>
      <c r="BP125" s="26">
        <f t="shared" si="298"/>
        <v>1.1350159195085761</v>
      </c>
      <c r="BQ125" s="26">
        <f t="shared" si="298"/>
        <v>0.34109892095544314</v>
      </c>
      <c r="BR125" s="26">
        <f t="shared" si="298"/>
        <v>-1.5922951395336105</v>
      </c>
      <c r="BS125" s="26">
        <f t="shared" si="298"/>
        <v>-0.42420456641436743</v>
      </c>
      <c r="BT125" s="26">
        <f t="shared" si="299"/>
        <v>-2.0164997059479779</v>
      </c>
      <c r="BZ125" t="str">
        <f t="shared" si="310"/>
        <v>31 Science, engineering and technology associate professionals</v>
      </c>
      <c r="CA125" s="67">
        <f t="shared" si="300"/>
        <v>0.70872745769355294</v>
      </c>
      <c r="CB125" s="67">
        <f t="shared" si="300"/>
        <v>0.83062944241020009</v>
      </c>
      <c r="CC125" s="67">
        <f t="shared" si="300"/>
        <v>-1.4694726691719708</v>
      </c>
      <c r="CD125" s="67">
        <f t="shared" si="300"/>
        <v>-0.98123333043632677</v>
      </c>
      <c r="CE125" s="67">
        <f t="shared" si="301"/>
        <v>-2.4507059996082976</v>
      </c>
      <c r="CK125" t="str">
        <f t="shared" si="311"/>
        <v>31 Science, engineering and technology associate professionals</v>
      </c>
      <c r="CL125" s="67">
        <f t="shared" si="302"/>
        <v>0.26966560780332927</v>
      </c>
      <c r="CM125" s="67">
        <f t="shared" si="302"/>
        <v>9.6784526219552358E-2</v>
      </c>
      <c r="CN125" s="67">
        <f t="shared" si="302"/>
        <v>0.14922361520531058</v>
      </c>
      <c r="CO125" s="67">
        <f t="shared" si="302"/>
        <v>1.3580681045829435E-2</v>
      </c>
      <c r="CP125" s="67">
        <f t="shared" si="303"/>
        <v>0.16280429625114001</v>
      </c>
    </row>
    <row r="126" spans="1:94" x14ac:dyDescent="0.2">
      <c r="A126" t="str">
        <f t="shared" si="285"/>
        <v>32 Health and social care associate professionals</v>
      </c>
      <c r="B126" s="26">
        <f t="shared" si="286"/>
        <v>9.5925896970523228E-2</v>
      </c>
      <c r="C126" s="26">
        <f t="shared" si="286"/>
        <v>-6.5912490184013017E-2</v>
      </c>
      <c r="D126" s="26">
        <f t="shared" si="286"/>
        <v>5.504835582225695E-2</v>
      </c>
      <c r="E126" s="26">
        <f t="shared" si="286"/>
        <v>0.10860491698611049</v>
      </c>
      <c r="F126" s="26">
        <f t="shared" si="287"/>
        <v>0.16365327280836744</v>
      </c>
      <c r="L126" t="str">
        <f t="shared" si="304"/>
        <v>32 Health and social care associate professionals</v>
      </c>
      <c r="M126" s="26">
        <f t="shared" si="288"/>
        <v>1.8574031293336093</v>
      </c>
      <c r="N126" s="26">
        <f t="shared" si="288"/>
        <v>-0.64157912055772481</v>
      </c>
      <c r="O126" s="26">
        <f t="shared" si="288"/>
        <v>1.0047485521018338</v>
      </c>
      <c r="P126" s="26">
        <f t="shared" si="288"/>
        <v>2.0371245973205934</v>
      </c>
      <c r="Q126" s="26">
        <f t="shared" si="289"/>
        <v>3.0418731494224271</v>
      </c>
      <c r="W126" t="str">
        <f t="shared" si="305"/>
        <v>32 Health and social care associate professionals</v>
      </c>
      <c r="X126" s="26">
        <f t="shared" si="290"/>
        <v>2.0506952342860298</v>
      </c>
      <c r="Y126" s="26">
        <f t="shared" si="290"/>
        <v>0.41139897710520401</v>
      </c>
      <c r="Z126" s="26">
        <f t="shared" si="290"/>
        <v>2.0157542311409316</v>
      </c>
      <c r="AA126" s="26">
        <f t="shared" si="290"/>
        <v>4.4483496002998173</v>
      </c>
      <c r="AB126" s="26">
        <f t="shared" si="291"/>
        <v>6.4641038314407488</v>
      </c>
      <c r="AH126" t="str">
        <f t="shared" si="306"/>
        <v>32 Health and social care associate professionals</v>
      </c>
      <c r="AI126" s="26">
        <f t="shared" si="292"/>
        <v>-0.94630374930659666</v>
      </c>
      <c r="AJ126" s="26">
        <f t="shared" si="292"/>
        <v>-6.6965427052391391E-2</v>
      </c>
      <c r="AK126" s="26">
        <f t="shared" si="292"/>
        <v>-1.4403326402526533</v>
      </c>
      <c r="AL126" s="26">
        <f t="shared" si="292"/>
        <v>-1.852704722923689</v>
      </c>
      <c r="AM126" s="26">
        <f t="shared" si="293"/>
        <v>-3.2930373631763423</v>
      </c>
      <c r="AS126" t="str">
        <f t="shared" si="307"/>
        <v>32 Health and social care associate professionals</v>
      </c>
      <c r="AT126" s="26">
        <f t="shared" si="294"/>
        <v>0.29884212668849086</v>
      </c>
      <c r="AU126" s="26">
        <f t="shared" si="294"/>
        <v>0.21497220075476875</v>
      </c>
      <c r="AV126" s="26">
        <f t="shared" si="294"/>
        <v>-2.735860147539082E-2</v>
      </c>
      <c r="AW126" s="26">
        <f t="shared" si="294"/>
        <v>0.32900728190097217</v>
      </c>
      <c r="AX126" s="26">
        <f t="shared" si="295"/>
        <v>0.30164868042558135</v>
      </c>
      <c r="BD126" t="str">
        <f t="shared" si="308"/>
        <v>32 Health and social care associate professionals</v>
      </c>
      <c r="BE126" s="26">
        <f t="shared" si="296"/>
        <v>1.7395844761902604</v>
      </c>
      <c r="BF126" s="26">
        <f t="shared" si="296"/>
        <v>0.7536890168135848</v>
      </c>
      <c r="BG126" s="26">
        <f t="shared" si="296"/>
        <v>-6.1356763868912978E-2</v>
      </c>
      <c r="BH126" s="26">
        <f t="shared" si="296"/>
        <v>1.0809115859266605</v>
      </c>
      <c r="BI126" s="26">
        <f t="shared" si="297"/>
        <v>1.0195548220577475</v>
      </c>
      <c r="BO126" t="str">
        <f t="shared" si="309"/>
        <v>32 Health and social care associate professionals</v>
      </c>
      <c r="BP126" s="26">
        <f t="shared" si="298"/>
        <v>0.77737005737946863</v>
      </c>
      <c r="BQ126" s="26">
        <f t="shared" si="298"/>
        <v>0.15621156025498717</v>
      </c>
      <c r="BR126" s="26">
        <f t="shared" si="298"/>
        <v>-0.92357359466357014</v>
      </c>
      <c r="BS126" s="26">
        <f t="shared" si="298"/>
        <v>-1.3160103617078098</v>
      </c>
      <c r="BT126" s="26">
        <f t="shared" si="299"/>
        <v>-2.23958395637138</v>
      </c>
      <c r="BZ126" t="str">
        <f t="shared" si="310"/>
        <v>32 Health and social care associate professionals</v>
      </c>
      <c r="CA126" s="67">
        <f t="shared" si="300"/>
        <v>-0.6054066402997873</v>
      </c>
      <c r="CB126" s="67">
        <f t="shared" si="300"/>
        <v>2.7880924264112039E-4</v>
      </c>
      <c r="CC126" s="67">
        <f t="shared" si="300"/>
        <v>-0.10616351433179405</v>
      </c>
      <c r="CD126" s="67">
        <f t="shared" si="300"/>
        <v>-0.66634422246436609</v>
      </c>
      <c r="CE126" s="67">
        <f t="shared" si="301"/>
        <v>-0.77250773679616014</v>
      </c>
      <c r="CK126" t="str">
        <f t="shared" si="311"/>
        <v>32 Health and social care associate professionals</v>
      </c>
      <c r="CL126" s="67">
        <f t="shared" si="302"/>
        <v>3.4565834460394185E-2</v>
      </c>
      <c r="CM126" s="67">
        <f t="shared" si="302"/>
        <v>-1.2432645689927357E-2</v>
      </c>
      <c r="CN126" s="67">
        <f t="shared" si="302"/>
        <v>7.2393017233863766E-2</v>
      </c>
      <c r="CO126" s="67">
        <f t="shared" si="302"/>
        <v>4.8194573039699262E-2</v>
      </c>
      <c r="CP126" s="67">
        <f t="shared" si="303"/>
        <v>0.12058759027356303</v>
      </c>
    </row>
    <row r="127" spans="1:94" x14ac:dyDescent="0.2">
      <c r="A127" t="str">
        <f t="shared" si="285"/>
        <v>33 Protective service occupations</v>
      </c>
      <c r="B127" s="26">
        <f t="shared" si="286"/>
        <v>2.3518676290698579E-2</v>
      </c>
      <c r="C127" s="26">
        <f t="shared" si="286"/>
        <v>-4.7168451304631792E-3</v>
      </c>
      <c r="D127" s="26">
        <f t="shared" si="286"/>
        <v>4.6767215563518164E-2</v>
      </c>
      <c r="E127" s="26">
        <f t="shared" si="286"/>
        <v>8.2975097610029608E-2</v>
      </c>
      <c r="F127" s="26">
        <f t="shared" si="287"/>
        <v>0.12974231317354779</v>
      </c>
      <c r="L127" t="str">
        <f t="shared" si="304"/>
        <v>33 Protective service occupations</v>
      </c>
      <c r="M127" s="26">
        <f t="shared" si="288"/>
        <v>0.28808730209400113</v>
      </c>
      <c r="N127" s="26">
        <f t="shared" si="288"/>
        <v>4.4025407683070394E-3</v>
      </c>
      <c r="O127" s="26">
        <f t="shared" si="288"/>
        <v>0.69411829559562421</v>
      </c>
      <c r="P127" s="26">
        <f t="shared" si="288"/>
        <v>1.2140534585312415</v>
      </c>
      <c r="Q127" s="26">
        <f t="shared" si="289"/>
        <v>1.9081717541268657</v>
      </c>
      <c r="W127" t="str">
        <f t="shared" si="305"/>
        <v>33 Protective service occupations</v>
      </c>
      <c r="X127" s="26">
        <f t="shared" si="290"/>
        <v>0.30219318642303694</v>
      </c>
      <c r="Y127" s="26">
        <f t="shared" si="290"/>
        <v>0.99896098872561545</v>
      </c>
      <c r="Z127" s="26">
        <f t="shared" si="290"/>
        <v>2.0925858168546192</v>
      </c>
      <c r="AA127" s="26">
        <f t="shared" si="290"/>
        <v>3.8680561093898387</v>
      </c>
      <c r="AB127" s="26">
        <f t="shared" si="291"/>
        <v>5.9606419262444579</v>
      </c>
      <c r="AH127" t="str">
        <f t="shared" si="306"/>
        <v>33 Protective service occupations</v>
      </c>
      <c r="AI127" s="26">
        <f t="shared" si="292"/>
        <v>4.5565320184293157E-4</v>
      </c>
      <c r="AJ127" s="26">
        <f t="shared" si="292"/>
        <v>0.33870441109820137</v>
      </c>
      <c r="AK127" s="26">
        <f t="shared" si="292"/>
        <v>0.49260396844337784</v>
      </c>
      <c r="AL127" s="26">
        <f t="shared" si="292"/>
        <v>0.85910762230568016</v>
      </c>
      <c r="AM127" s="26">
        <f t="shared" si="293"/>
        <v>1.351711590749058</v>
      </c>
      <c r="AS127" t="str">
        <f t="shared" si="307"/>
        <v>33 Protective service occupations</v>
      </c>
      <c r="AT127" s="26">
        <f t="shared" si="294"/>
        <v>-0.18214635826388603</v>
      </c>
      <c r="AU127" s="26">
        <f t="shared" si="294"/>
        <v>0.17708907338287894</v>
      </c>
      <c r="AV127" s="26">
        <f t="shared" si="294"/>
        <v>0.12447482871769933</v>
      </c>
      <c r="AW127" s="26">
        <f t="shared" si="294"/>
        <v>0.22736451802221169</v>
      </c>
      <c r="AX127" s="26">
        <f t="shared" si="295"/>
        <v>0.35183934673991102</v>
      </c>
      <c r="BD127" t="str">
        <f t="shared" si="308"/>
        <v>33 Protective service occupations</v>
      </c>
      <c r="BE127" s="26">
        <f t="shared" si="296"/>
        <v>0.32095688326474736</v>
      </c>
      <c r="BF127" s="26">
        <f t="shared" si="296"/>
        <v>-0.23247961581742693</v>
      </c>
      <c r="BG127" s="26">
        <f t="shared" si="296"/>
        <v>1.3728371010924381</v>
      </c>
      <c r="BH127" s="26">
        <f t="shared" si="296"/>
        <v>0.66546253854170434</v>
      </c>
      <c r="BI127" s="26">
        <f t="shared" si="297"/>
        <v>2.0382996396341424</v>
      </c>
      <c r="BO127" t="str">
        <f t="shared" si="309"/>
        <v>33 Protective service occupations</v>
      </c>
      <c r="BP127" s="26">
        <f t="shared" si="298"/>
        <v>0.33635103467312266</v>
      </c>
      <c r="BQ127" s="26">
        <f t="shared" si="298"/>
        <v>-0.25256463266686957</v>
      </c>
      <c r="BR127" s="26">
        <f t="shared" si="298"/>
        <v>0.4786763728937462</v>
      </c>
      <c r="BS127" s="26">
        <f t="shared" si="298"/>
        <v>-0.89428500756730944</v>
      </c>
      <c r="BT127" s="26">
        <f t="shared" si="299"/>
        <v>-0.41560863467356324</v>
      </c>
      <c r="BZ127" t="str">
        <f t="shared" si="310"/>
        <v>33 Protective service occupations</v>
      </c>
      <c r="CA127" s="67">
        <f t="shared" si="300"/>
        <v>-0.41508328252487603</v>
      </c>
      <c r="CB127" s="67">
        <f t="shared" si="300"/>
        <v>0.1680122961510353</v>
      </c>
      <c r="CC127" s="67">
        <f t="shared" si="300"/>
        <v>0.23520000396174234</v>
      </c>
      <c r="CD127" s="67">
        <f t="shared" si="300"/>
        <v>-1.0905629313365566</v>
      </c>
      <c r="CE127" s="67">
        <f t="shared" si="301"/>
        <v>-0.85536292737481423</v>
      </c>
      <c r="CK127" t="str">
        <f t="shared" si="311"/>
        <v>33 Protective service occupations</v>
      </c>
      <c r="CL127" s="67">
        <f t="shared" si="302"/>
        <v>-6.3709160677603516E-2</v>
      </c>
      <c r="CM127" s="67">
        <f t="shared" si="302"/>
        <v>-5.9627526606554737E-2</v>
      </c>
      <c r="CN127" s="67">
        <f t="shared" si="302"/>
        <v>-1.0177595111500404E-2</v>
      </c>
      <c r="CO127" s="67">
        <f t="shared" si="302"/>
        <v>-0.22482793128047113</v>
      </c>
      <c r="CP127" s="67">
        <f t="shared" si="303"/>
        <v>-0.23500552639197153</v>
      </c>
    </row>
    <row r="128" spans="1:94" x14ac:dyDescent="0.2">
      <c r="A128" t="str">
        <f t="shared" si="285"/>
        <v>34 Culture, media and sports occupations</v>
      </c>
      <c r="B128" s="26">
        <f t="shared" si="286"/>
        <v>0.1297273665980625</v>
      </c>
      <c r="C128" s="26">
        <f t="shared" si="286"/>
        <v>1.2026332309766186E-2</v>
      </c>
      <c r="D128" s="26">
        <f t="shared" si="286"/>
        <v>3.8591967199602228E-2</v>
      </c>
      <c r="E128" s="26">
        <f t="shared" si="286"/>
        <v>0.14166723247958635</v>
      </c>
      <c r="F128" s="26">
        <f t="shared" si="287"/>
        <v>0.18025919967918858</v>
      </c>
      <c r="L128" t="str">
        <f t="shared" si="304"/>
        <v>34 Culture, media and sports occupations</v>
      </c>
      <c r="M128" s="26">
        <f t="shared" si="288"/>
        <v>1.5844729618754911</v>
      </c>
      <c r="N128" s="26">
        <f t="shared" si="288"/>
        <v>-0.44836654533971121</v>
      </c>
      <c r="O128" s="26">
        <f t="shared" si="288"/>
        <v>0.3690047033903161</v>
      </c>
      <c r="P128" s="26">
        <f t="shared" si="288"/>
        <v>1.7344484043385169</v>
      </c>
      <c r="Q128" s="26">
        <f t="shared" si="289"/>
        <v>2.103453107728833</v>
      </c>
      <c r="W128" t="str">
        <f t="shared" si="305"/>
        <v>34 Culture, media and sports occupations</v>
      </c>
      <c r="X128" s="26">
        <f t="shared" si="290"/>
        <v>-1.279283307344226</v>
      </c>
      <c r="Y128" s="26">
        <f t="shared" si="290"/>
        <v>1.3685475721104829</v>
      </c>
      <c r="Z128" s="26">
        <f t="shared" si="290"/>
        <v>-0.70029990237203599</v>
      </c>
      <c r="AA128" s="26">
        <f t="shared" si="290"/>
        <v>1.12486066810688</v>
      </c>
      <c r="AB128" s="26">
        <f t="shared" si="291"/>
        <v>0.42456076573484403</v>
      </c>
      <c r="AH128" t="str">
        <f t="shared" si="306"/>
        <v>34 Culture, media and sports occupations</v>
      </c>
      <c r="AI128" s="26">
        <f t="shared" si="292"/>
        <v>-5.0307805690803287E-2</v>
      </c>
      <c r="AJ128" s="26">
        <f t="shared" si="292"/>
        <v>0.30602116564647508</v>
      </c>
      <c r="AK128" s="26">
        <f t="shared" si="292"/>
        <v>-0.10848999279648974</v>
      </c>
      <c r="AL128" s="26">
        <f t="shared" si="292"/>
        <v>0.43062813575801684</v>
      </c>
      <c r="AM128" s="26">
        <f t="shared" si="293"/>
        <v>0.3221381429615271</v>
      </c>
      <c r="AS128" t="str">
        <f t="shared" si="307"/>
        <v>34 Culture, media and sports occupations</v>
      </c>
      <c r="AT128" s="26">
        <f t="shared" si="294"/>
        <v>-0.21807885116386494</v>
      </c>
      <c r="AU128" s="26">
        <f t="shared" si="294"/>
        <v>0.20759641249851946</v>
      </c>
      <c r="AV128" s="26">
        <f t="shared" si="294"/>
        <v>-0.23304652814888338</v>
      </c>
      <c r="AW128" s="26">
        <f t="shared" si="294"/>
        <v>7.1024872642402093E-2</v>
      </c>
      <c r="AX128" s="26">
        <f t="shared" si="295"/>
        <v>-0.16202165550648129</v>
      </c>
      <c r="BD128" t="str">
        <f t="shared" si="308"/>
        <v>34 Culture, media and sports occupations</v>
      </c>
      <c r="BE128" s="26">
        <f t="shared" si="296"/>
        <v>-2.2325545429910498E-2</v>
      </c>
      <c r="BF128" s="26">
        <f t="shared" si="296"/>
        <v>-0.23471420932280207</v>
      </c>
      <c r="BG128" s="26">
        <f t="shared" si="296"/>
        <v>-0.82418293793305253</v>
      </c>
      <c r="BH128" s="26">
        <f t="shared" si="296"/>
        <v>0.20735401841627077</v>
      </c>
      <c r="BI128" s="26">
        <f t="shared" si="297"/>
        <v>-0.61682891951678176</v>
      </c>
      <c r="BO128" t="str">
        <f t="shared" si="309"/>
        <v>34 Culture, media and sports occupations</v>
      </c>
      <c r="BP128" s="26">
        <f t="shared" si="298"/>
        <v>-0.51909061069605134</v>
      </c>
      <c r="BQ128" s="26">
        <f t="shared" si="298"/>
        <v>-0.14129854894083849</v>
      </c>
      <c r="BR128" s="26">
        <f t="shared" si="298"/>
        <v>-0.72946979061191208</v>
      </c>
      <c r="BS128" s="26">
        <f t="shared" si="298"/>
        <v>-0.62986519345987513</v>
      </c>
      <c r="BT128" s="26">
        <f t="shared" si="299"/>
        <v>-1.3593349840717872</v>
      </c>
      <c r="BZ128" t="str">
        <f t="shared" si="310"/>
        <v>34 Culture, media and sports occupations</v>
      </c>
      <c r="CA128" s="67">
        <f t="shared" si="300"/>
        <v>-0.43079968119203604</v>
      </c>
      <c r="CB128" s="67">
        <f t="shared" si="300"/>
        <v>2.2715068139665284E-2</v>
      </c>
      <c r="CC128" s="67">
        <f t="shared" si="300"/>
        <v>-0.35197478060007814</v>
      </c>
      <c r="CD128" s="67">
        <f t="shared" si="300"/>
        <v>-0.54958651193957886</v>
      </c>
      <c r="CE128" s="67">
        <f t="shared" si="301"/>
        <v>-0.901561292539657</v>
      </c>
      <c r="CK128" t="str">
        <f t="shared" si="311"/>
        <v>34 Culture, media and sports occupations</v>
      </c>
      <c r="CL128" s="67">
        <f t="shared" si="302"/>
        <v>0.12647880137872147</v>
      </c>
      <c r="CM128" s="67">
        <f t="shared" si="302"/>
        <v>-5.3568391514525193E-2</v>
      </c>
      <c r="CN128" s="67">
        <f t="shared" si="302"/>
        <v>3.4277334523403979E-2</v>
      </c>
      <c r="CO128" s="67">
        <f t="shared" si="302"/>
        <v>-0.11490111808126147</v>
      </c>
      <c r="CP128" s="67">
        <f t="shared" si="303"/>
        <v>-8.0623783557857487E-2</v>
      </c>
    </row>
    <row r="129" spans="1:94" x14ac:dyDescent="0.2">
      <c r="A129" t="str">
        <f t="shared" si="285"/>
        <v>35 Business and public service associate professionals</v>
      </c>
      <c r="B129" s="26">
        <f t="shared" si="286"/>
        <v>0.36748663201027232</v>
      </c>
      <c r="C129" s="26">
        <f t="shared" si="286"/>
        <v>-6.073294579759736E-2</v>
      </c>
      <c r="D129" s="26">
        <f t="shared" si="286"/>
        <v>0.30358521744665201</v>
      </c>
      <c r="E129" s="26">
        <f t="shared" si="286"/>
        <v>0.66501422353834228</v>
      </c>
      <c r="F129" s="26">
        <f t="shared" si="287"/>
        <v>0.96859944098499429</v>
      </c>
      <c r="L129" t="str">
        <f t="shared" si="304"/>
        <v>35 Business and public service associate professionals</v>
      </c>
      <c r="M129" s="26">
        <f t="shared" si="288"/>
        <v>5.269015622711791</v>
      </c>
      <c r="N129" s="26">
        <f t="shared" si="288"/>
        <v>-0.85923001251639874</v>
      </c>
      <c r="O129" s="26">
        <f t="shared" si="288"/>
        <v>2.8617136357515882</v>
      </c>
      <c r="P129" s="26">
        <f t="shared" si="288"/>
        <v>5.8199763597434426</v>
      </c>
      <c r="Q129" s="26">
        <f t="shared" si="289"/>
        <v>8.6816899954950308</v>
      </c>
      <c r="W129" t="str">
        <f t="shared" si="305"/>
        <v>35 Business and public service associate professionals</v>
      </c>
      <c r="X129" s="26">
        <f t="shared" si="290"/>
        <v>1.4278010759058724</v>
      </c>
      <c r="Y129" s="26">
        <f t="shared" si="290"/>
        <v>4.0814760041849283</v>
      </c>
      <c r="Z129" s="26">
        <f t="shared" si="290"/>
        <v>0.23603843402263891</v>
      </c>
      <c r="AA129" s="26">
        <f t="shared" si="290"/>
        <v>4.3486532547272816</v>
      </c>
      <c r="AB129" s="26">
        <f t="shared" si="291"/>
        <v>4.5846916887499205</v>
      </c>
      <c r="AH129" t="str">
        <f t="shared" si="306"/>
        <v>35 Business and public service associate professionals</v>
      </c>
      <c r="AI129" s="26">
        <f t="shared" si="292"/>
        <v>5.9940643431549034E-2</v>
      </c>
      <c r="AJ129" s="26">
        <f t="shared" si="292"/>
        <v>1.4603633771861002</v>
      </c>
      <c r="AK129" s="26">
        <f t="shared" si="292"/>
        <v>0.15898871557125283</v>
      </c>
      <c r="AL129" s="26">
        <f t="shared" si="292"/>
        <v>1.9786636500438792</v>
      </c>
      <c r="AM129" s="26">
        <f t="shared" si="293"/>
        <v>2.1376523656151321</v>
      </c>
      <c r="AS129" t="str">
        <f t="shared" si="307"/>
        <v>35 Business and public service associate professionals</v>
      </c>
      <c r="AT129" s="26">
        <f t="shared" si="294"/>
        <v>-0.19159673529644383</v>
      </c>
      <c r="AU129" s="26">
        <f t="shared" si="294"/>
        <v>1.3369690650476196</v>
      </c>
      <c r="AV129" s="26">
        <f t="shared" si="294"/>
        <v>-0.20909018727203765</v>
      </c>
      <c r="AW129" s="26">
        <f t="shared" si="294"/>
        <v>1.3655851432594677</v>
      </c>
      <c r="AX129" s="26">
        <f t="shared" si="295"/>
        <v>1.15649495598743</v>
      </c>
      <c r="BD129" t="str">
        <f t="shared" si="308"/>
        <v>35 Business and public service associate professionals</v>
      </c>
      <c r="BE129" s="26">
        <f t="shared" si="296"/>
        <v>3.1544888727605915</v>
      </c>
      <c r="BF129" s="26">
        <f t="shared" si="296"/>
        <v>1.3446564044489868</v>
      </c>
      <c r="BG129" s="26">
        <f t="shared" si="296"/>
        <v>-2.6949335556139218</v>
      </c>
      <c r="BH129" s="26">
        <f t="shared" si="296"/>
        <v>-0.62420861386101478</v>
      </c>
      <c r="BI129" s="26">
        <f t="shared" si="297"/>
        <v>-3.3191421694749366</v>
      </c>
      <c r="BO129" t="str">
        <f t="shared" si="309"/>
        <v>35 Business and public service associate professionals</v>
      </c>
      <c r="BP129" s="26">
        <f t="shared" si="298"/>
        <v>1.1302409995721696</v>
      </c>
      <c r="BQ129" s="26">
        <f t="shared" si="298"/>
        <v>0.6151819414774522</v>
      </c>
      <c r="BR129" s="26">
        <f t="shared" si="298"/>
        <v>-4.0368953745738345</v>
      </c>
      <c r="BS129" s="26">
        <f t="shared" si="298"/>
        <v>-3.9564938983445739</v>
      </c>
      <c r="BT129" s="26">
        <f t="shared" si="299"/>
        <v>-7.9933892729184084</v>
      </c>
      <c r="BZ129" t="str">
        <f t="shared" si="310"/>
        <v>35 Business and public service associate professionals</v>
      </c>
      <c r="CA129" s="67">
        <f t="shared" si="300"/>
        <v>-0.8954112853906846</v>
      </c>
      <c r="CB129" s="67">
        <f t="shared" si="300"/>
        <v>0.3488009907359686</v>
      </c>
      <c r="CC129" s="67">
        <f t="shared" si="300"/>
        <v>-2.4707764224324791</v>
      </c>
      <c r="CD129" s="67">
        <f t="shared" si="300"/>
        <v>-4.0322976211776478</v>
      </c>
      <c r="CE129" s="67">
        <f t="shared" si="301"/>
        <v>-6.5030740436101269</v>
      </c>
      <c r="CK129" t="str">
        <f t="shared" si="311"/>
        <v>35 Business and public service associate professionals</v>
      </c>
      <c r="CL129" s="67">
        <f t="shared" si="302"/>
        <v>0.4469099923562343</v>
      </c>
      <c r="CM129" s="67">
        <f t="shared" si="302"/>
        <v>-0.32975906274908917</v>
      </c>
      <c r="CN129" s="67">
        <f t="shared" si="302"/>
        <v>-0.22034490903811621</v>
      </c>
      <c r="CO129" s="67">
        <f t="shared" si="302"/>
        <v>-0.23001723817622133</v>
      </c>
      <c r="CP129" s="67">
        <f t="shared" si="303"/>
        <v>-0.45036214721433754</v>
      </c>
    </row>
    <row r="130" spans="1:94" x14ac:dyDescent="0.2">
      <c r="A130" t="str">
        <f t="shared" si="285"/>
        <v>41 Administrative occupations</v>
      </c>
      <c r="B130" s="26">
        <f t="shared" si="286"/>
        <v>0.28219133789644746</v>
      </c>
      <c r="C130" s="26">
        <f t="shared" si="286"/>
        <v>-0.10931377294419653</v>
      </c>
      <c r="D130" s="26">
        <f t="shared" si="286"/>
        <v>0.1975673444787337</v>
      </c>
      <c r="E130" s="26">
        <f t="shared" si="286"/>
        <v>0.44714854036626384</v>
      </c>
      <c r="F130" s="26">
        <f t="shared" si="287"/>
        <v>0.64471588484499753</v>
      </c>
      <c r="L130" t="str">
        <f t="shared" si="304"/>
        <v>41 Administrative occupations</v>
      </c>
      <c r="M130" s="26">
        <f t="shared" si="288"/>
        <v>4.2207015045880798</v>
      </c>
      <c r="N130" s="26">
        <f t="shared" si="288"/>
        <v>-1.1513099569977108</v>
      </c>
      <c r="O130" s="26">
        <f t="shared" si="288"/>
        <v>2.4713989128875777</v>
      </c>
      <c r="P130" s="26">
        <f t="shared" si="288"/>
        <v>5.1303368369839006</v>
      </c>
      <c r="Q130" s="26">
        <f t="shared" si="289"/>
        <v>7.6017357498714784</v>
      </c>
      <c r="W130" t="str">
        <f t="shared" si="305"/>
        <v>41 Administrative occupations</v>
      </c>
      <c r="X130" s="26">
        <f t="shared" si="290"/>
        <v>2.9409610948280189</v>
      </c>
      <c r="Y130" s="26">
        <f t="shared" si="290"/>
        <v>2.7823714048552048</v>
      </c>
      <c r="Z130" s="26">
        <f t="shared" si="290"/>
        <v>2.2635366634404122</v>
      </c>
      <c r="AA130" s="26">
        <f t="shared" si="290"/>
        <v>7.2481414614872648</v>
      </c>
      <c r="AB130" s="26">
        <f t="shared" si="291"/>
        <v>9.5116781249276769</v>
      </c>
      <c r="AH130" t="str">
        <f t="shared" si="306"/>
        <v>41 Administrative occupations</v>
      </c>
      <c r="AI130" s="26">
        <f t="shared" si="292"/>
        <v>1.366182877923718</v>
      </c>
      <c r="AJ130" s="26">
        <f t="shared" si="292"/>
        <v>0.68807139027823538</v>
      </c>
      <c r="AK130" s="26">
        <f t="shared" si="292"/>
        <v>0.77459772086013601</v>
      </c>
      <c r="AL130" s="26">
        <f t="shared" si="292"/>
        <v>2.8637670393505203</v>
      </c>
      <c r="AM130" s="26">
        <f t="shared" si="293"/>
        <v>3.6383647602106564</v>
      </c>
      <c r="AS130" t="str">
        <f t="shared" si="307"/>
        <v>41 Administrative occupations</v>
      </c>
      <c r="AT130" s="26">
        <f t="shared" si="294"/>
        <v>0.97306423479212789</v>
      </c>
      <c r="AU130" s="26">
        <f t="shared" si="294"/>
        <v>0.83299986573600293</v>
      </c>
      <c r="AV130" s="26">
        <f t="shared" si="294"/>
        <v>0.31324160619090513</v>
      </c>
      <c r="AW130" s="26">
        <f t="shared" si="294"/>
        <v>2.5866109721236938</v>
      </c>
      <c r="AX130" s="26">
        <f t="shared" si="295"/>
        <v>2.899852578314599</v>
      </c>
      <c r="BD130" t="str">
        <f t="shared" si="308"/>
        <v>41 Administrative occupations</v>
      </c>
      <c r="BE130" s="26">
        <f t="shared" si="296"/>
        <v>2.2353209361784607</v>
      </c>
      <c r="BF130" s="26">
        <f t="shared" si="296"/>
        <v>4.2830991535214196</v>
      </c>
      <c r="BG130" s="26">
        <f t="shared" si="296"/>
        <v>-5.4278145472715806</v>
      </c>
      <c r="BH130" s="26">
        <f t="shared" si="296"/>
        <v>-3.9348716643994095</v>
      </c>
      <c r="BI130" s="26">
        <f t="shared" si="297"/>
        <v>-9.3626862116709901</v>
      </c>
      <c r="BO130" t="str">
        <f t="shared" si="309"/>
        <v>41 Administrative occupations</v>
      </c>
      <c r="BP130" s="26">
        <f t="shared" si="298"/>
        <v>-2.0762013295311377</v>
      </c>
      <c r="BQ130" s="26">
        <f t="shared" si="298"/>
        <v>2.7923459790647982</v>
      </c>
      <c r="BR130" s="26">
        <f t="shared" si="298"/>
        <v>-10.787167882149063</v>
      </c>
      <c r="BS130" s="26">
        <f t="shared" si="298"/>
        <v>-12.996317296408499</v>
      </c>
      <c r="BT130" s="26">
        <f t="shared" si="299"/>
        <v>-23.783485178557562</v>
      </c>
      <c r="BZ130" t="str">
        <f t="shared" si="310"/>
        <v>41 Administrative occupations</v>
      </c>
      <c r="CA130" s="67">
        <f t="shared" si="300"/>
        <v>-7.948308692384547</v>
      </c>
      <c r="CB130" s="67">
        <f t="shared" si="300"/>
        <v>0.51578716354186582</v>
      </c>
      <c r="CC130" s="67">
        <f t="shared" si="300"/>
        <v>-6.6854881055103625</v>
      </c>
      <c r="CD130" s="67">
        <f t="shared" si="300"/>
        <v>-10.086398442916895</v>
      </c>
      <c r="CE130" s="67">
        <f t="shared" si="301"/>
        <v>-16.771886548427258</v>
      </c>
      <c r="CK130" t="str">
        <f t="shared" si="311"/>
        <v>41 Administrative occupations</v>
      </c>
      <c r="CL130" s="67">
        <f t="shared" si="302"/>
        <v>-0.36548136192248126</v>
      </c>
      <c r="CM130" s="67">
        <f t="shared" si="302"/>
        <v>-0.7158038602695731</v>
      </c>
      <c r="CN130" s="67">
        <f t="shared" si="302"/>
        <v>-0.65800063186491853</v>
      </c>
      <c r="CO130" s="67">
        <f t="shared" si="302"/>
        <v>-1.3405173862677362</v>
      </c>
      <c r="CP130" s="67">
        <f t="shared" si="303"/>
        <v>-1.9985180181326547</v>
      </c>
    </row>
    <row r="131" spans="1:94" x14ac:dyDescent="0.2">
      <c r="A131" t="str">
        <f t="shared" si="285"/>
        <v>42 Secretarial and related occupations</v>
      </c>
      <c r="B131" s="26">
        <f t="shared" si="286"/>
        <v>3.3128917755840856E-2</v>
      </c>
      <c r="C131" s="26">
        <f t="shared" si="286"/>
        <v>-9.7485630395945655E-3</v>
      </c>
      <c r="D131" s="26">
        <f t="shared" si="286"/>
        <v>4.9611029479072574E-2</v>
      </c>
      <c r="E131" s="26">
        <f t="shared" si="286"/>
        <v>8.2136584649312394E-2</v>
      </c>
      <c r="F131" s="26">
        <f t="shared" si="287"/>
        <v>0.13174761412838498</v>
      </c>
      <c r="L131" t="str">
        <f t="shared" si="304"/>
        <v>42 Secretarial and related occupations</v>
      </c>
      <c r="M131" s="26">
        <f t="shared" si="288"/>
        <v>0.65669336325219763</v>
      </c>
      <c r="N131" s="26">
        <f t="shared" si="288"/>
        <v>-0.38078958451886535</v>
      </c>
      <c r="O131" s="26">
        <f t="shared" si="288"/>
        <v>1.111979726488709</v>
      </c>
      <c r="P131" s="26">
        <f t="shared" si="288"/>
        <v>0.86155764901485288</v>
      </c>
      <c r="Q131" s="26">
        <f t="shared" si="289"/>
        <v>1.9735373755035619</v>
      </c>
      <c r="W131" t="str">
        <f t="shared" si="305"/>
        <v>42 Secretarial and related occupations</v>
      </c>
      <c r="X131" s="26">
        <f t="shared" si="290"/>
        <v>0.66937900795487071</v>
      </c>
      <c r="Y131" s="26">
        <f t="shared" si="290"/>
        <v>-1.0524271224460868E-2</v>
      </c>
      <c r="Z131" s="26">
        <f t="shared" si="290"/>
        <v>3.1641505316265528</v>
      </c>
      <c r="AA131" s="26">
        <f t="shared" si="290"/>
        <v>3.7389666105294008</v>
      </c>
      <c r="AB131" s="26">
        <f t="shared" si="291"/>
        <v>6.9031171421559536</v>
      </c>
      <c r="AH131" t="str">
        <f t="shared" si="306"/>
        <v>42 Secretarial and related occupations</v>
      </c>
      <c r="AI131" s="26">
        <f t="shared" si="292"/>
        <v>0.29324768712830762</v>
      </c>
      <c r="AJ131" s="26">
        <f t="shared" si="292"/>
        <v>7.5386770750393239E-2</v>
      </c>
      <c r="AK131" s="26">
        <f t="shared" si="292"/>
        <v>1.1841063712326365</v>
      </c>
      <c r="AL131" s="26">
        <f t="shared" si="292"/>
        <v>0.61082419642611097</v>
      </c>
      <c r="AM131" s="26">
        <f t="shared" si="293"/>
        <v>1.7949305676587475</v>
      </c>
      <c r="AS131" t="str">
        <f t="shared" si="307"/>
        <v>42 Secretarial and related occupations</v>
      </c>
      <c r="AT131" s="26">
        <f t="shared" si="294"/>
        <v>0.13942733885965763</v>
      </c>
      <c r="AU131" s="26">
        <f t="shared" si="294"/>
        <v>3.2242382966367167E-2</v>
      </c>
      <c r="AV131" s="26">
        <f t="shared" si="294"/>
        <v>0.69235906256256907</v>
      </c>
      <c r="AW131" s="26">
        <f t="shared" si="294"/>
        <v>-0.22072534163264246</v>
      </c>
      <c r="AX131" s="26">
        <f t="shared" si="295"/>
        <v>0.47163372092992661</v>
      </c>
      <c r="BD131" t="str">
        <f t="shared" si="308"/>
        <v>42 Secretarial and related occupations</v>
      </c>
      <c r="BE131" s="26">
        <f t="shared" si="296"/>
        <v>1.3348479433803462E-2</v>
      </c>
      <c r="BF131" s="26">
        <f t="shared" si="296"/>
        <v>0.13262565697332285</v>
      </c>
      <c r="BG131" s="26">
        <f t="shared" si="296"/>
        <v>0.60392121052785264</v>
      </c>
      <c r="BH131" s="26">
        <f t="shared" si="296"/>
        <v>-5.2796743669268551</v>
      </c>
      <c r="BI131" s="26">
        <f t="shared" si="297"/>
        <v>-4.6757531563990025</v>
      </c>
      <c r="BO131" t="str">
        <f t="shared" si="309"/>
        <v>42 Secretarial and related occupations</v>
      </c>
      <c r="BP131" s="26">
        <f t="shared" si="298"/>
        <v>-1.1368432128898327</v>
      </c>
      <c r="BQ131" s="26">
        <f t="shared" si="298"/>
        <v>2.2289698463385577E-2</v>
      </c>
      <c r="BR131" s="26">
        <f t="shared" si="298"/>
        <v>-1.5496446173427945</v>
      </c>
      <c r="BS131" s="26">
        <f t="shared" si="298"/>
        <v>-5.8127877085569564</v>
      </c>
      <c r="BT131" s="26">
        <f t="shared" si="299"/>
        <v>-7.3624323258997508</v>
      </c>
      <c r="BZ131" t="str">
        <f t="shared" si="310"/>
        <v>42 Secretarial and related occupations</v>
      </c>
      <c r="CA131" s="67">
        <f t="shared" si="300"/>
        <v>-2.6948984110209171</v>
      </c>
      <c r="CB131" s="67">
        <f t="shared" si="300"/>
        <v>-0.23982524559282048</v>
      </c>
      <c r="CC131" s="67">
        <f t="shared" si="300"/>
        <v>-3.4793630304131051</v>
      </c>
      <c r="CD131" s="67">
        <f t="shared" si="300"/>
        <v>-3.5917377183987687</v>
      </c>
      <c r="CE131" s="67">
        <f t="shared" si="301"/>
        <v>-7.0711007488118742</v>
      </c>
      <c r="CK131" t="str">
        <f t="shared" si="311"/>
        <v>42 Secretarial and related occupations</v>
      </c>
      <c r="CL131" s="67">
        <f t="shared" si="302"/>
        <v>0.24250467318681745</v>
      </c>
      <c r="CM131" s="67">
        <f t="shared" si="302"/>
        <v>-0.13451103756142846</v>
      </c>
      <c r="CN131" s="67">
        <f t="shared" si="302"/>
        <v>0.47494107532254359</v>
      </c>
      <c r="CO131" s="67">
        <f t="shared" si="302"/>
        <v>-0.21971603711741938</v>
      </c>
      <c r="CP131" s="67">
        <f t="shared" si="303"/>
        <v>0.25522503820512421</v>
      </c>
    </row>
    <row r="132" spans="1:94" x14ac:dyDescent="0.2">
      <c r="A132" t="str">
        <f t="shared" si="285"/>
        <v>51 Skilled agricultural and related trades</v>
      </c>
      <c r="B132" s="26">
        <f t="shared" si="286"/>
        <v>8.7002277547183204E-2</v>
      </c>
      <c r="C132" s="26">
        <f t="shared" si="286"/>
        <v>-7.4890668174855693E-2</v>
      </c>
      <c r="D132" s="26">
        <f t="shared" si="286"/>
        <v>1.1965994123611975E-2</v>
      </c>
      <c r="E132" s="26">
        <f t="shared" si="286"/>
        <v>2.4779221678414981E-2</v>
      </c>
      <c r="F132" s="26">
        <f t="shared" si="287"/>
        <v>3.6745215802026956E-2</v>
      </c>
      <c r="L132" t="str">
        <f t="shared" si="304"/>
        <v>51 Skilled agricultural and related trades</v>
      </c>
      <c r="M132" s="26">
        <f t="shared" si="288"/>
        <v>9.1925001155815256E-2</v>
      </c>
      <c r="N132" s="26">
        <f t="shared" si="288"/>
        <v>-5.9617716206024074E-2</v>
      </c>
      <c r="O132" s="26">
        <f t="shared" si="288"/>
        <v>2.8004134878382214E-2</v>
      </c>
      <c r="P132" s="26">
        <f t="shared" si="288"/>
        <v>0.17294716410335936</v>
      </c>
      <c r="Q132" s="26">
        <f t="shared" si="289"/>
        <v>0.20095129898174158</v>
      </c>
      <c r="W132" t="str">
        <f t="shared" si="305"/>
        <v>51 Skilled agricultural and related trades</v>
      </c>
      <c r="X132" s="26">
        <f t="shared" si="290"/>
        <v>0.47646423658332537</v>
      </c>
      <c r="Y132" s="26">
        <f t="shared" si="290"/>
        <v>1.726518013376936</v>
      </c>
      <c r="Z132" s="26">
        <f t="shared" si="290"/>
        <v>0.5193230572195775</v>
      </c>
      <c r="AA132" s="26">
        <f t="shared" si="290"/>
        <v>2.0519511603827381</v>
      </c>
      <c r="AB132" s="26">
        <f t="shared" si="291"/>
        <v>2.5712742176023156</v>
      </c>
      <c r="AH132" t="str">
        <f t="shared" si="306"/>
        <v>51 Skilled agricultural and related trades</v>
      </c>
      <c r="AI132" s="26">
        <f t="shared" si="292"/>
        <v>9.5820456281879407E-2</v>
      </c>
      <c r="AJ132" s="26">
        <f t="shared" si="292"/>
        <v>0.25031946947896055</v>
      </c>
      <c r="AK132" s="26">
        <f t="shared" si="292"/>
        <v>0.1149919289666006</v>
      </c>
      <c r="AL132" s="26">
        <f t="shared" si="292"/>
        <v>0.52588135589950902</v>
      </c>
      <c r="AM132" s="26">
        <f t="shared" si="293"/>
        <v>0.64087328486610962</v>
      </c>
      <c r="AS132" t="str">
        <f t="shared" si="307"/>
        <v>51 Skilled agricultural and related trades</v>
      </c>
      <c r="AT132" s="26">
        <f t="shared" si="294"/>
        <v>-0.10595076305658813</v>
      </c>
      <c r="AU132" s="26">
        <f t="shared" si="294"/>
        <v>0.84626071098976619</v>
      </c>
      <c r="AV132" s="26">
        <f t="shared" si="294"/>
        <v>7.4825681820451351E-2</v>
      </c>
      <c r="AW132" s="26">
        <f t="shared" si="294"/>
        <v>0.90037840818076242</v>
      </c>
      <c r="AX132" s="26">
        <f t="shared" si="295"/>
        <v>0.97520409000121377</v>
      </c>
      <c r="BD132" t="str">
        <f t="shared" si="308"/>
        <v>51 Skilled agricultural and related trades</v>
      </c>
      <c r="BE132" s="26">
        <f t="shared" si="296"/>
        <v>0.43195516007240453</v>
      </c>
      <c r="BF132" s="26">
        <f t="shared" si="296"/>
        <v>0.76627993299726782</v>
      </c>
      <c r="BG132" s="26">
        <f t="shared" si="296"/>
        <v>-0.43936058059865868</v>
      </c>
      <c r="BH132" s="26">
        <f t="shared" si="296"/>
        <v>-3.7182988679251849E-4</v>
      </c>
      <c r="BI132" s="26">
        <f t="shared" si="297"/>
        <v>-0.4397324104854512</v>
      </c>
      <c r="BO132" t="str">
        <f t="shared" si="309"/>
        <v>51 Skilled agricultural and related trades</v>
      </c>
      <c r="BP132" s="26">
        <f t="shared" si="298"/>
        <v>0.76886165004154439</v>
      </c>
      <c r="BQ132" s="26">
        <f t="shared" si="298"/>
        <v>0.79810198895815265</v>
      </c>
      <c r="BR132" s="26">
        <f t="shared" si="298"/>
        <v>-0.71493670596696823</v>
      </c>
      <c r="BS132" s="26">
        <f t="shared" si="298"/>
        <v>-0.55131115005688258</v>
      </c>
      <c r="BT132" s="26">
        <f t="shared" si="299"/>
        <v>-1.2662478560238508</v>
      </c>
      <c r="BZ132" t="str">
        <f t="shared" si="310"/>
        <v>51 Skilled agricultural and related trades</v>
      </c>
      <c r="CA132" s="67">
        <f t="shared" si="300"/>
        <v>-0.64412310303921938</v>
      </c>
      <c r="CB132" s="67">
        <f t="shared" si="300"/>
        <v>1.0072680554518829</v>
      </c>
      <c r="CC132" s="67">
        <f t="shared" si="300"/>
        <v>-1.3418865792077526</v>
      </c>
      <c r="CD132" s="67">
        <f t="shared" si="300"/>
        <v>-1.2989193831567958</v>
      </c>
      <c r="CE132" s="67">
        <f t="shared" si="301"/>
        <v>-2.6408059623645483</v>
      </c>
      <c r="CK132" t="str">
        <f t="shared" si="311"/>
        <v>51 Skilled agricultural and related trades</v>
      </c>
      <c r="CL132" s="67">
        <f t="shared" si="302"/>
        <v>-0.33130627256659384</v>
      </c>
      <c r="CM132" s="67">
        <f t="shared" si="302"/>
        <v>0.55308388216988646</v>
      </c>
      <c r="CN132" s="67">
        <f t="shared" si="302"/>
        <v>0.28735810982868903</v>
      </c>
      <c r="CO132" s="67">
        <f t="shared" si="302"/>
        <v>-1.1994759945977389</v>
      </c>
      <c r="CP132" s="67">
        <f t="shared" si="303"/>
        <v>-0.91211788476904987</v>
      </c>
    </row>
    <row r="133" spans="1:94" x14ac:dyDescent="0.2">
      <c r="A133" t="str">
        <f t="shared" si="285"/>
        <v>52 Skilled metal, electrical and electronic trades</v>
      </c>
      <c r="B133" s="26">
        <f t="shared" si="286"/>
        <v>2.3987899851438538E-3</v>
      </c>
      <c r="C133" s="26">
        <f t="shared" si="286"/>
        <v>7.5693619815780655E-3</v>
      </c>
      <c r="D133" s="26">
        <f t="shared" si="286"/>
        <v>2.0820884626280692E-2</v>
      </c>
      <c r="E133" s="26">
        <f t="shared" si="286"/>
        <v>4.5595657753649085E-2</v>
      </c>
      <c r="F133" s="26">
        <f t="shared" si="287"/>
        <v>6.6416542379929777E-2</v>
      </c>
      <c r="L133" t="str">
        <f t="shared" si="304"/>
        <v>52 Skilled metal, electrical and electronic trades</v>
      </c>
      <c r="M133" s="26">
        <f t="shared" si="288"/>
        <v>0.36694617053439127</v>
      </c>
      <c r="N133" s="26">
        <f t="shared" si="288"/>
        <v>-0.35508744772958978</v>
      </c>
      <c r="O133" s="26">
        <f t="shared" si="288"/>
        <v>0.66012708533862385</v>
      </c>
      <c r="P133" s="26">
        <f t="shared" si="288"/>
        <v>1.0754452894889379</v>
      </c>
      <c r="Q133" s="26">
        <f t="shared" si="289"/>
        <v>1.7355723748275618</v>
      </c>
      <c r="W133" t="str">
        <f t="shared" si="305"/>
        <v>52 Skilled metal, electrical and electronic trades</v>
      </c>
      <c r="X133" s="26">
        <f t="shared" si="290"/>
        <v>-0.17151477416153149</v>
      </c>
      <c r="Y133" s="26">
        <f t="shared" si="290"/>
        <v>0.1049296255927219</v>
      </c>
      <c r="Z133" s="26">
        <f t="shared" si="290"/>
        <v>0.91419711828282324</v>
      </c>
      <c r="AA133" s="26">
        <f t="shared" si="290"/>
        <v>1.4935066232106182</v>
      </c>
      <c r="AB133" s="26">
        <f t="shared" si="291"/>
        <v>2.4077037414934415</v>
      </c>
      <c r="AH133" t="str">
        <f t="shared" si="306"/>
        <v>52 Skilled metal, electrical and electronic trades</v>
      </c>
      <c r="AI133" s="26">
        <f t="shared" si="292"/>
        <v>-0.27547454396739357</v>
      </c>
      <c r="AJ133" s="26">
        <f t="shared" si="292"/>
        <v>0.14361536263434749</v>
      </c>
      <c r="AK133" s="26">
        <f t="shared" si="292"/>
        <v>9.2625256556975177E-2</v>
      </c>
      <c r="AL133" s="26">
        <f t="shared" si="292"/>
        <v>0.40877626141028678</v>
      </c>
      <c r="AM133" s="26">
        <f t="shared" si="293"/>
        <v>0.50140151796726196</v>
      </c>
      <c r="AS133" t="str">
        <f t="shared" si="307"/>
        <v>52 Skilled metal, electrical and electronic trades</v>
      </c>
      <c r="AT133" s="26">
        <f t="shared" si="294"/>
        <v>-1.176469140413972</v>
      </c>
      <c r="AU133" s="26">
        <f t="shared" si="294"/>
        <v>0.33413338047102226</v>
      </c>
      <c r="AV133" s="26">
        <f t="shared" si="294"/>
        <v>0.12847180282240434</v>
      </c>
      <c r="AW133" s="26">
        <f t="shared" si="294"/>
        <v>0.85010821256203339</v>
      </c>
      <c r="AX133" s="26">
        <f t="shared" si="295"/>
        <v>0.97858001538443773</v>
      </c>
      <c r="BD133" t="str">
        <f t="shared" si="308"/>
        <v>52 Skilled metal, electrical and electronic trades</v>
      </c>
      <c r="BE133" s="26">
        <f t="shared" si="296"/>
        <v>3.889851575476321</v>
      </c>
      <c r="BF133" s="26">
        <f t="shared" si="296"/>
        <v>-7.5274847741473963</v>
      </c>
      <c r="BG133" s="26">
        <f t="shared" si="296"/>
        <v>0.20421903516245976</v>
      </c>
      <c r="BH133" s="26">
        <f t="shared" si="296"/>
        <v>-1.3669513511991198</v>
      </c>
      <c r="BI133" s="26">
        <f t="shared" si="297"/>
        <v>-1.1627323160366601</v>
      </c>
      <c r="BO133" t="str">
        <f t="shared" si="309"/>
        <v>52 Skilled metal, electrical and electronic trades</v>
      </c>
      <c r="BP133" s="26">
        <f t="shared" si="298"/>
        <v>0.37451859983362823</v>
      </c>
      <c r="BQ133" s="26">
        <f t="shared" si="298"/>
        <v>-3.569618523756791</v>
      </c>
      <c r="BR133" s="26">
        <f t="shared" si="298"/>
        <v>-2.4777575738938182</v>
      </c>
      <c r="BS133" s="26">
        <f t="shared" si="298"/>
        <v>-3.5560777409359172</v>
      </c>
      <c r="BT133" s="26">
        <f t="shared" si="299"/>
        <v>-6.0338353148297355</v>
      </c>
      <c r="BZ133" t="str">
        <f t="shared" si="310"/>
        <v>52 Skilled metal, electrical and electronic trades</v>
      </c>
      <c r="CA133" s="67">
        <f t="shared" si="300"/>
        <v>-1.5921730198496924</v>
      </c>
      <c r="CB133" s="67">
        <f t="shared" si="300"/>
        <v>-1.0471154671252254</v>
      </c>
      <c r="CC133" s="67">
        <f t="shared" si="300"/>
        <v>-1.9947611347205676</v>
      </c>
      <c r="CD133" s="67">
        <f t="shared" si="300"/>
        <v>-3.6584075719349185</v>
      </c>
      <c r="CE133" s="67">
        <f t="shared" si="301"/>
        <v>-5.6531687066554861</v>
      </c>
      <c r="CK133" t="str">
        <f t="shared" si="311"/>
        <v>52 Skilled metal, electrical and electronic trades</v>
      </c>
      <c r="CL133" s="67">
        <f t="shared" si="302"/>
        <v>0.17489683631287889</v>
      </c>
      <c r="CM133" s="67">
        <f t="shared" si="302"/>
        <v>-0.7255497061198648</v>
      </c>
      <c r="CN133" s="67">
        <f t="shared" si="302"/>
        <v>6.7922223717033159E-2</v>
      </c>
      <c r="CO133" s="67">
        <f t="shared" si="302"/>
        <v>-1.0475777187789324</v>
      </c>
      <c r="CP133" s="67">
        <f t="shared" si="303"/>
        <v>-0.9796554950618992</v>
      </c>
    </row>
    <row r="134" spans="1:94" x14ac:dyDescent="0.2">
      <c r="A134" t="str">
        <f t="shared" si="285"/>
        <v>53 Skilled construction and building trades</v>
      </c>
      <c r="B134" s="26">
        <f t="shared" si="286"/>
        <v>-1.1264059257250006E-2</v>
      </c>
      <c r="C134" s="26">
        <f t="shared" si="286"/>
        <v>-6.0163459085202636E-3</v>
      </c>
      <c r="D134" s="26">
        <f t="shared" si="286"/>
        <v>1.1313225782899441E-2</v>
      </c>
      <c r="E134" s="26">
        <f t="shared" si="286"/>
        <v>1.3286007948537688E-3</v>
      </c>
      <c r="F134" s="26">
        <f t="shared" si="287"/>
        <v>1.264182657775321E-2</v>
      </c>
      <c r="L134" t="str">
        <f t="shared" si="304"/>
        <v>53 Skilled construction and building trades</v>
      </c>
      <c r="M134" s="26">
        <f t="shared" si="288"/>
        <v>4.1012702967415215E-2</v>
      </c>
      <c r="N134" s="26">
        <f t="shared" si="288"/>
        <v>-0.1229009630024564</v>
      </c>
      <c r="O134" s="26">
        <f t="shared" si="288"/>
        <v>0.15567342712186755</v>
      </c>
      <c r="P134" s="26">
        <f t="shared" si="288"/>
        <v>0.1782932979489118</v>
      </c>
      <c r="Q134" s="26">
        <f t="shared" si="289"/>
        <v>0.33396672507077935</v>
      </c>
      <c r="W134" t="str">
        <f t="shared" si="305"/>
        <v>53 Skilled construction and building trades</v>
      </c>
      <c r="X134" s="26">
        <f t="shared" si="290"/>
        <v>-0.42067000698149259</v>
      </c>
      <c r="Y134" s="26">
        <f t="shared" si="290"/>
        <v>-1.7133204507001842E-2</v>
      </c>
      <c r="Z134" s="26">
        <f t="shared" si="290"/>
        <v>0.45896887480104276</v>
      </c>
      <c r="AA134" s="26">
        <f t="shared" si="290"/>
        <v>0.52000746632992101</v>
      </c>
      <c r="AB134" s="26">
        <f t="shared" si="291"/>
        <v>0.97897634113096377</v>
      </c>
      <c r="AH134" t="str">
        <f t="shared" si="306"/>
        <v>53 Skilled construction and building trades</v>
      </c>
      <c r="AI134" s="26">
        <f t="shared" si="292"/>
        <v>-6.9711938995143719E-2</v>
      </c>
      <c r="AJ134" s="26">
        <f t="shared" si="292"/>
        <v>-2.2708426916859814E-3</v>
      </c>
      <c r="AK134" s="26">
        <f t="shared" si="292"/>
        <v>0.20532381237913611</v>
      </c>
      <c r="AL134" s="26">
        <f t="shared" si="292"/>
        <v>0.2886904907359058</v>
      </c>
      <c r="AM134" s="26">
        <f t="shared" si="293"/>
        <v>0.49401430311504191</v>
      </c>
      <c r="AS134" t="str">
        <f t="shared" si="307"/>
        <v>53 Skilled construction and building trades</v>
      </c>
      <c r="AT134" s="26">
        <f t="shared" si="294"/>
        <v>-0.2635358854139076</v>
      </c>
      <c r="AU134" s="26">
        <f t="shared" si="294"/>
        <v>-8.4472195173748599E-2</v>
      </c>
      <c r="AV134" s="26">
        <f t="shared" si="294"/>
        <v>0.39788685271917723</v>
      </c>
      <c r="AW134" s="26">
        <f t="shared" si="294"/>
        <v>0.328884876675962</v>
      </c>
      <c r="AX134" s="26">
        <f t="shared" si="295"/>
        <v>0.72677172939513923</v>
      </c>
      <c r="BD134" t="str">
        <f t="shared" si="308"/>
        <v>53 Skilled construction and building trades</v>
      </c>
      <c r="BE134" s="26">
        <f t="shared" si="296"/>
        <v>0.25947112467015998</v>
      </c>
      <c r="BF134" s="26">
        <f t="shared" si="296"/>
        <v>-4.9948061774420438</v>
      </c>
      <c r="BG134" s="26">
        <f t="shared" si="296"/>
        <v>0.20465999990973671</v>
      </c>
      <c r="BH134" s="26">
        <f t="shared" si="296"/>
        <v>-2.0750895484287444</v>
      </c>
      <c r="BI134" s="26">
        <f t="shared" si="297"/>
        <v>-1.8704295485190077</v>
      </c>
      <c r="BO134" t="str">
        <f t="shared" si="309"/>
        <v>53 Skilled construction and building trades</v>
      </c>
      <c r="BP134" s="26">
        <f t="shared" si="298"/>
        <v>1.2954263246595659</v>
      </c>
      <c r="BQ134" s="26">
        <f t="shared" si="298"/>
        <v>-4.4532288904474022</v>
      </c>
      <c r="BR134" s="26">
        <f t="shared" si="298"/>
        <v>0.47283394754731134</v>
      </c>
      <c r="BS134" s="26">
        <f t="shared" si="298"/>
        <v>-1.1598051003150438</v>
      </c>
      <c r="BT134" s="26">
        <f t="shared" si="299"/>
        <v>-0.68697115276773246</v>
      </c>
      <c r="BZ134" t="str">
        <f t="shared" si="310"/>
        <v>53 Skilled construction and building trades</v>
      </c>
      <c r="CA134" s="67">
        <f t="shared" si="300"/>
        <v>-0.95138222743373468</v>
      </c>
      <c r="CB134" s="67">
        <f t="shared" si="300"/>
        <v>-1.5924617291667182</v>
      </c>
      <c r="CC134" s="67">
        <f t="shared" si="300"/>
        <v>-0.98964613928219247</v>
      </c>
      <c r="CD134" s="67">
        <f t="shared" si="300"/>
        <v>-2.1305761393917582</v>
      </c>
      <c r="CE134" s="67">
        <f t="shared" si="301"/>
        <v>-3.1202222786739506</v>
      </c>
      <c r="CK134" t="str">
        <f t="shared" si="311"/>
        <v>53 Skilled construction and building trades</v>
      </c>
      <c r="CL134" s="67">
        <f t="shared" si="302"/>
        <v>-0.2222270454052353</v>
      </c>
      <c r="CM134" s="67">
        <f t="shared" si="302"/>
        <v>-1.4049284850857724</v>
      </c>
      <c r="CN134" s="67">
        <f t="shared" si="302"/>
        <v>-0.19516020359239139</v>
      </c>
      <c r="CO134" s="67">
        <f t="shared" si="302"/>
        <v>-2.0457364335956134</v>
      </c>
      <c r="CP134" s="67">
        <f t="shared" si="303"/>
        <v>-2.2408966371880048</v>
      </c>
    </row>
    <row r="135" spans="1:94" x14ac:dyDescent="0.2">
      <c r="A135" t="str">
        <f t="shared" si="285"/>
        <v>54 Textiles, printing and other skilled trades</v>
      </c>
      <c r="B135" s="26">
        <f t="shared" si="286"/>
        <v>1.7045224832000799E-2</v>
      </c>
      <c r="C135" s="26">
        <f t="shared" si="286"/>
        <v>-2.0008276812912534E-2</v>
      </c>
      <c r="D135" s="26">
        <f t="shared" si="286"/>
        <v>5.0038132004660785E-2</v>
      </c>
      <c r="E135" s="26">
        <f t="shared" si="286"/>
        <v>7.1647460407664537E-2</v>
      </c>
      <c r="F135" s="26">
        <f t="shared" si="287"/>
        <v>0.12168559241232532</v>
      </c>
      <c r="L135" t="str">
        <f t="shared" si="304"/>
        <v>54 Textiles, printing and other skilled trades</v>
      </c>
      <c r="M135" s="26">
        <f t="shared" si="288"/>
        <v>0.58429699391878631</v>
      </c>
      <c r="N135" s="26">
        <f t="shared" si="288"/>
        <v>-0.36435441678496749</v>
      </c>
      <c r="O135" s="26">
        <f t="shared" si="288"/>
        <v>0.34805929256319468</v>
      </c>
      <c r="P135" s="26">
        <f t="shared" si="288"/>
        <v>0.62594078732035219</v>
      </c>
      <c r="Q135" s="26">
        <f t="shared" si="289"/>
        <v>0.97400007988354687</v>
      </c>
      <c r="W135" t="str">
        <f t="shared" si="305"/>
        <v>54 Textiles, printing and other skilled trades</v>
      </c>
      <c r="X135" s="26">
        <f t="shared" si="290"/>
        <v>-6.6204741567155612E-2</v>
      </c>
      <c r="Y135" s="26">
        <f t="shared" si="290"/>
        <v>-7.9920072388847796E-2</v>
      </c>
      <c r="Z135" s="26">
        <f t="shared" si="290"/>
        <v>0.54813253138944029</v>
      </c>
      <c r="AA135" s="26">
        <f t="shared" si="290"/>
        <v>0.89882071569735977</v>
      </c>
      <c r="AB135" s="26">
        <f t="shared" si="291"/>
        <v>1.4469532470868001</v>
      </c>
      <c r="AH135" t="str">
        <f t="shared" si="306"/>
        <v>54 Textiles, printing and other skilled trades</v>
      </c>
      <c r="AI135" s="26">
        <f t="shared" si="292"/>
        <v>-0.11956004866525571</v>
      </c>
      <c r="AJ135" s="26">
        <f t="shared" si="292"/>
        <v>0.12088467307463424</v>
      </c>
      <c r="AK135" s="26">
        <f t="shared" si="292"/>
        <v>8.3319759178746233E-2</v>
      </c>
      <c r="AL135" s="26">
        <f t="shared" si="292"/>
        <v>0.36171463879842247</v>
      </c>
      <c r="AM135" s="26">
        <f t="shared" si="293"/>
        <v>0.44503439797716871</v>
      </c>
      <c r="AS135" t="str">
        <f t="shared" si="307"/>
        <v>54 Textiles, printing and other skilled trades</v>
      </c>
      <c r="AT135" s="26">
        <f t="shared" si="294"/>
        <v>-0.10622646381709355</v>
      </c>
      <c r="AU135" s="26">
        <f t="shared" si="294"/>
        <v>5.0598608407343537E-2</v>
      </c>
      <c r="AV135" s="26">
        <f t="shared" si="294"/>
        <v>0.2500358284481714</v>
      </c>
      <c r="AW135" s="26">
        <f t="shared" si="294"/>
        <v>0.40111646609551133</v>
      </c>
      <c r="AX135" s="26">
        <f t="shared" si="295"/>
        <v>0.65115229454368273</v>
      </c>
      <c r="BD135" t="str">
        <f t="shared" si="308"/>
        <v>54 Textiles, printing and other skilled trades</v>
      </c>
      <c r="BE135" s="26">
        <f t="shared" si="296"/>
        <v>-0.46783908104626271</v>
      </c>
      <c r="BF135" s="26">
        <f t="shared" si="296"/>
        <v>-0.58521487988808474</v>
      </c>
      <c r="BG135" s="26">
        <f t="shared" si="296"/>
        <v>-7.202694609393312E-2</v>
      </c>
      <c r="BH135" s="26">
        <f t="shared" si="296"/>
        <v>-0.64268863313758651</v>
      </c>
      <c r="BI135" s="26">
        <f t="shared" si="297"/>
        <v>-0.71471557923151963</v>
      </c>
      <c r="BO135" t="str">
        <f t="shared" si="309"/>
        <v>54 Textiles, printing and other skilled trades</v>
      </c>
      <c r="BP135" s="26">
        <f t="shared" si="298"/>
        <v>-2.0413503168707798</v>
      </c>
      <c r="BQ135" s="26">
        <f t="shared" si="298"/>
        <v>-0.40908231010047658</v>
      </c>
      <c r="BR135" s="26">
        <f t="shared" si="298"/>
        <v>-1.5708758007670944</v>
      </c>
      <c r="BS135" s="26">
        <f t="shared" si="298"/>
        <v>-1.9431739844598619</v>
      </c>
      <c r="BT135" s="26">
        <f t="shared" si="299"/>
        <v>-3.5140497852269563</v>
      </c>
      <c r="BZ135" t="str">
        <f t="shared" si="310"/>
        <v>54 Textiles, printing and other skilled trades</v>
      </c>
      <c r="CA135" s="67">
        <f t="shared" si="300"/>
        <v>-2.5521949827027299</v>
      </c>
      <c r="CB135" s="67">
        <f t="shared" si="300"/>
        <v>0.24246461168229771</v>
      </c>
      <c r="CC135" s="67">
        <f t="shared" si="300"/>
        <v>-0.93409410293405593</v>
      </c>
      <c r="CD135" s="67">
        <f t="shared" si="300"/>
        <v>-1.7660014334906879</v>
      </c>
      <c r="CE135" s="67">
        <f t="shared" si="301"/>
        <v>-2.7000955364247439</v>
      </c>
      <c r="CK135" t="str">
        <f t="shared" si="311"/>
        <v>54 Textiles, printing and other skilled trades</v>
      </c>
      <c r="CL135" s="67">
        <f t="shared" si="302"/>
        <v>-0.684427486115887</v>
      </c>
      <c r="CM135" s="67">
        <f t="shared" si="302"/>
        <v>-0.34515621483289216</v>
      </c>
      <c r="CN135" s="67">
        <f t="shared" si="302"/>
        <v>-0.60528355899102815</v>
      </c>
      <c r="CO135" s="67">
        <f t="shared" si="302"/>
        <v>-0.83934866112364492</v>
      </c>
      <c r="CP135" s="67">
        <f t="shared" si="303"/>
        <v>-1.4446322201146731</v>
      </c>
    </row>
    <row r="136" spans="1:94" x14ac:dyDescent="0.2">
      <c r="A136" t="str">
        <f t="shared" si="285"/>
        <v>61 Caring personal service occupations</v>
      </c>
      <c r="B136" s="26">
        <f t="shared" si="286"/>
        <v>3.3363995488835355E-2</v>
      </c>
      <c r="C136" s="26">
        <f t="shared" si="286"/>
        <v>-3.0292123682427757E-2</v>
      </c>
      <c r="D136" s="26">
        <f t="shared" si="286"/>
        <v>5.7858539010362503E-2</v>
      </c>
      <c r="E136" s="26">
        <f t="shared" si="286"/>
        <v>8.5120331729202636E-2</v>
      </c>
      <c r="F136" s="26">
        <f t="shared" si="287"/>
        <v>0.14297887073956514</v>
      </c>
      <c r="L136" t="str">
        <f t="shared" si="304"/>
        <v>61 Caring personal service occupations</v>
      </c>
      <c r="M136" s="26">
        <f t="shared" si="288"/>
        <v>2.9197309327817766</v>
      </c>
      <c r="N136" s="26">
        <f t="shared" si="288"/>
        <v>-1.6410738260022519</v>
      </c>
      <c r="O136" s="26">
        <f t="shared" si="288"/>
        <v>2.9246888522410384</v>
      </c>
      <c r="P136" s="26">
        <f t="shared" si="288"/>
        <v>4.6166772654819503</v>
      </c>
      <c r="Q136" s="26">
        <f t="shared" si="289"/>
        <v>7.5413661177229887</v>
      </c>
      <c r="W136" t="str">
        <f t="shared" si="305"/>
        <v>61 Caring personal service occupations</v>
      </c>
      <c r="X136" s="26">
        <f t="shared" si="290"/>
        <v>3.2120122516863354</v>
      </c>
      <c r="Y136" s="26">
        <f t="shared" si="290"/>
        <v>-0.44374471993624454</v>
      </c>
      <c r="Z136" s="26">
        <f t="shared" si="290"/>
        <v>6.423705328049941</v>
      </c>
      <c r="AA136" s="26">
        <f t="shared" si="290"/>
        <v>10.103872594764216</v>
      </c>
      <c r="AB136" s="26">
        <f t="shared" si="291"/>
        <v>16.527577922814157</v>
      </c>
      <c r="AH136" t="str">
        <f t="shared" si="306"/>
        <v>61 Caring personal service occupations</v>
      </c>
      <c r="AI136" s="26">
        <f t="shared" si="292"/>
        <v>-0.19123317120180161</v>
      </c>
      <c r="AJ136" s="26">
        <f t="shared" si="292"/>
        <v>-0.79478864853415843</v>
      </c>
      <c r="AK136" s="26">
        <f t="shared" si="292"/>
        <v>2.3480170948489807</v>
      </c>
      <c r="AL136" s="26">
        <f t="shared" si="292"/>
        <v>2.1749518894968283</v>
      </c>
      <c r="AM136" s="26">
        <f t="shared" si="293"/>
        <v>4.522968984345809</v>
      </c>
      <c r="AS136" t="str">
        <f t="shared" si="307"/>
        <v>61 Caring personal service occupations</v>
      </c>
      <c r="AT136" s="26">
        <f t="shared" si="294"/>
        <v>1.0698189371824647</v>
      </c>
      <c r="AU136" s="26">
        <f t="shared" si="294"/>
        <v>-0.51475172665386637</v>
      </c>
      <c r="AV136" s="26">
        <f t="shared" si="294"/>
        <v>1.4820173963555412</v>
      </c>
      <c r="AW136" s="26">
        <f t="shared" si="294"/>
        <v>2.0541871372329776</v>
      </c>
      <c r="AX136" s="26">
        <f t="shared" si="295"/>
        <v>3.5362045335885188</v>
      </c>
      <c r="BD136" t="str">
        <f t="shared" si="308"/>
        <v>61 Caring personal service occupations</v>
      </c>
      <c r="BE136" s="26">
        <f t="shared" si="296"/>
        <v>8.9818867722022446</v>
      </c>
      <c r="BF136" s="26">
        <f t="shared" si="296"/>
        <v>0.25204872238626308</v>
      </c>
      <c r="BG136" s="26">
        <f t="shared" si="296"/>
        <v>7.5195284945788927</v>
      </c>
      <c r="BH136" s="26">
        <f t="shared" si="296"/>
        <v>10.706978942636326</v>
      </c>
      <c r="BI136" s="26">
        <f t="shared" si="297"/>
        <v>18.226507437215218</v>
      </c>
      <c r="BO136" t="str">
        <f t="shared" si="309"/>
        <v>61 Caring personal service occupations</v>
      </c>
      <c r="BP136" s="26">
        <f t="shared" si="298"/>
        <v>-1.6808294865788724</v>
      </c>
      <c r="BQ136" s="26">
        <f t="shared" si="298"/>
        <v>-2.9623904561083592</v>
      </c>
      <c r="BR136" s="26">
        <f t="shared" si="298"/>
        <v>-2.3523141607085236</v>
      </c>
      <c r="BS136" s="26">
        <f t="shared" si="298"/>
        <v>-10.719004087456625</v>
      </c>
      <c r="BT136" s="26">
        <f t="shared" si="299"/>
        <v>-13.071318248165149</v>
      </c>
      <c r="BZ136" t="str">
        <f t="shared" si="310"/>
        <v>61 Caring personal service occupations</v>
      </c>
      <c r="CA136" s="67">
        <f t="shared" si="300"/>
        <v>-9.2167932774067225</v>
      </c>
      <c r="CB136" s="67">
        <f t="shared" si="300"/>
        <v>-0.59169522539344221</v>
      </c>
      <c r="CC136" s="67">
        <f t="shared" si="300"/>
        <v>-2.7236422779886373</v>
      </c>
      <c r="CD136" s="67">
        <f t="shared" si="300"/>
        <v>-1.4620906732035319</v>
      </c>
      <c r="CE136" s="67">
        <f t="shared" si="301"/>
        <v>-4.1857329511921693</v>
      </c>
      <c r="CK136" t="str">
        <f t="shared" si="311"/>
        <v>61 Caring personal service occupations</v>
      </c>
      <c r="CL136" s="67">
        <f t="shared" si="302"/>
        <v>-0.14675210654397741</v>
      </c>
      <c r="CM136" s="67">
        <f t="shared" si="302"/>
        <v>-0.21605662556106808</v>
      </c>
      <c r="CN136" s="67">
        <f t="shared" si="302"/>
        <v>0.62539326871698364</v>
      </c>
      <c r="CO136" s="67">
        <f t="shared" si="302"/>
        <v>0.24578739059091959</v>
      </c>
      <c r="CP136" s="67">
        <f t="shared" si="303"/>
        <v>0.87118065930790323</v>
      </c>
    </row>
    <row r="137" spans="1:94" x14ac:dyDescent="0.2">
      <c r="A137" t="str">
        <f t="shared" si="285"/>
        <v>62 Leisure, travel and related personal service occupations</v>
      </c>
      <c r="B137" s="26">
        <f t="shared" si="286"/>
        <v>3.946843794555098E-2</v>
      </c>
      <c r="C137" s="26">
        <f t="shared" si="286"/>
        <v>-2.9985330423811261E-2</v>
      </c>
      <c r="D137" s="26">
        <f t="shared" si="286"/>
        <v>2.1301842570645275E-2</v>
      </c>
      <c r="E137" s="26">
        <f t="shared" si="286"/>
        <v>4.4575048536168713E-2</v>
      </c>
      <c r="F137" s="26">
        <f t="shared" si="287"/>
        <v>6.5876891106813995E-2</v>
      </c>
      <c r="L137" t="str">
        <f t="shared" si="304"/>
        <v>62 Leisure, travel and related personal service occupations</v>
      </c>
      <c r="M137" s="26">
        <f t="shared" si="288"/>
        <v>0.7018387419649823</v>
      </c>
      <c r="N137" s="26">
        <f t="shared" si="288"/>
        <v>-0.39973608052494369</v>
      </c>
      <c r="O137" s="26">
        <f t="shared" si="288"/>
        <v>0.34135629968614589</v>
      </c>
      <c r="P137" s="26">
        <f t="shared" si="288"/>
        <v>0.57624551435505023</v>
      </c>
      <c r="Q137" s="26">
        <f t="shared" si="289"/>
        <v>0.91760181404119612</v>
      </c>
      <c r="W137" t="str">
        <f t="shared" si="305"/>
        <v>62 Leisure, travel and related personal service occupations</v>
      </c>
      <c r="X137" s="26">
        <f t="shared" si="290"/>
        <v>1.5593086983340667</v>
      </c>
      <c r="Y137" s="26">
        <f t="shared" si="290"/>
        <v>-9.3588894721888138E-2</v>
      </c>
      <c r="Z137" s="26">
        <f t="shared" si="290"/>
        <v>1.4302224200527549</v>
      </c>
      <c r="AA137" s="26">
        <f t="shared" si="290"/>
        <v>2.9795658805723635</v>
      </c>
      <c r="AB137" s="26">
        <f t="shared" si="291"/>
        <v>4.4097883006251184</v>
      </c>
      <c r="AH137" t="str">
        <f t="shared" si="306"/>
        <v>62 Leisure, travel and related personal service occupations</v>
      </c>
      <c r="AI137" s="26">
        <f t="shared" si="292"/>
        <v>1.2415435339848826</v>
      </c>
      <c r="AJ137" s="26">
        <f t="shared" si="292"/>
        <v>-0.15781202077708256</v>
      </c>
      <c r="AK137" s="26">
        <f t="shared" si="292"/>
        <v>0.59044872207180088</v>
      </c>
      <c r="AL137" s="26">
        <f t="shared" si="292"/>
        <v>1.8164836084559761</v>
      </c>
      <c r="AM137" s="26">
        <f t="shared" si="293"/>
        <v>2.406932330527777</v>
      </c>
      <c r="AS137" t="str">
        <f t="shared" si="307"/>
        <v>62 Leisure, travel and related personal service occupations</v>
      </c>
      <c r="AT137" s="26">
        <f t="shared" si="294"/>
        <v>1.4490343104623311</v>
      </c>
      <c r="AU137" s="26">
        <f t="shared" si="294"/>
        <v>0.36814286753921888</v>
      </c>
      <c r="AV137" s="26">
        <f t="shared" si="294"/>
        <v>0.89624136616553152</v>
      </c>
      <c r="AW137" s="26">
        <f t="shared" si="294"/>
        <v>2.7930715226936611</v>
      </c>
      <c r="AX137" s="26">
        <f t="shared" si="295"/>
        <v>3.6893128888591926</v>
      </c>
      <c r="BD137" t="str">
        <f t="shared" si="308"/>
        <v>62 Leisure, travel and related personal service occupations</v>
      </c>
      <c r="BE137" s="26">
        <f t="shared" si="296"/>
        <v>3.6717448941663537</v>
      </c>
      <c r="BF137" s="26">
        <f t="shared" si="296"/>
        <v>-0.49677614447556095</v>
      </c>
      <c r="BG137" s="26">
        <f t="shared" si="296"/>
        <v>-1.1299970660867338</v>
      </c>
      <c r="BH137" s="26">
        <f t="shared" si="296"/>
        <v>-0.74932606680903291</v>
      </c>
      <c r="BI137" s="26">
        <f t="shared" si="297"/>
        <v>-1.8793231328957667</v>
      </c>
      <c r="BO137" t="str">
        <f t="shared" si="309"/>
        <v>62 Leisure, travel and related personal service occupations</v>
      </c>
      <c r="BP137" s="26">
        <f t="shared" si="298"/>
        <v>3.1046146182969814</v>
      </c>
      <c r="BQ137" s="26">
        <f t="shared" si="298"/>
        <v>-1.052461595136398</v>
      </c>
      <c r="BR137" s="26">
        <f t="shared" si="298"/>
        <v>-2.5385188233185438</v>
      </c>
      <c r="BS137" s="26">
        <f t="shared" si="298"/>
        <v>-2.8056697263569603</v>
      </c>
      <c r="BT137" s="26">
        <f t="shared" si="299"/>
        <v>-5.3441885496755042</v>
      </c>
      <c r="BZ137" t="str">
        <f t="shared" si="310"/>
        <v>62 Leisure, travel and related personal service occupations</v>
      </c>
      <c r="CA137" s="67">
        <f t="shared" si="300"/>
        <v>0.77014446033873263</v>
      </c>
      <c r="CB137" s="67">
        <f t="shared" si="300"/>
        <v>-0.49238486776242318</v>
      </c>
      <c r="CC137" s="67">
        <f t="shared" si="300"/>
        <v>0.53181094050007971</v>
      </c>
      <c r="CD137" s="67">
        <f t="shared" si="300"/>
        <v>-2.3091807983574544</v>
      </c>
      <c r="CE137" s="67">
        <f t="shared" si="301"/>
        <v>-1.7773698578573747</v>
      </c>
      <c r="CK137" t="str">
        <f t="shared" si="311"/>
        <v>62 Leisure, travel and related personal service occupations</v>
      </c>
      <c r="CL137" s="67">
        <f t="shared" si="302"/>
        <v>1.4686955837714066E-2</v>
      </c>
      <c r="CM137" s="67">
        <f t="shared" si="302"/>
        <v>-0.59393055839885633</v>
      </c>
      <c r="CN137" s="67">
        <f t="shared" si="302"/>
        <v>-0.20350158837996224</v>
      </c>
      <c r="CO137" s="67">
        <f t="shared" si="302"/>
        <v>-0.87018232476734969</v>
      </c>
      <c r="CP137" s="67">
        <f t="shared" si="303"/>
        <v>-1.0736839131473119</v>
      </c>
    </row>
    <row r="138" spans="1:94" x14ac:dyDescent="0.2">
      <c r="A138" t="str">
        <f t="shared" si="285"/>
        <v>63 Community and civil enforcement occupations</v>
      </c>
      <c r="B138" s="26">
        <f t="shared" si="286"/>
        <v>1.4718924419244751E-3</v>
      </c>
      <c r="C138" s="26">
        <f t="shared" si="286"/>
        <v>-7.2218348752998984E-4</v>
      </c>
      <c r="D138" s="26">
        <f t="shared" si="286"/>
        <v>2.0210557370458774E-3</v>
      </c>
      <c r="E138" s="26">
        <f t="shared" si="286"/>
        <v>3.4342529986628187E-3</v>
      </c>
      <c r="F138" s="26">
        <f t="shared" si="287"/>
        <v>5.4553087357086961E-3</v>
      </c>
      <c r="L138" t="str">
        <f t="shared" si="304"/>
        <v>63 Community and civil enforcement occupations</v>
      </c>
      <c r="M138" s="26">
        <f t="shared" si="288"/>
        <v>3.5508071986268958E-3</v>
      </c>
      <c r="N138" s="26">
        <f t="shared" si="288"/>
        <v>9.7628356494624813E-3</v>
      </c>
      <c r="O138" s="26">
        <f t="shared" si="288"/>
        <v>9.0519717922821347E-3</v>
      </c>
      <c r="P138" s="26">
        <f t="shared" si="288"/>
        <v>4.6784262344454888E-2</v>
      </c>
      <c r="Q138" s="26">
        <f t="shared" si="289"/>
        <v>5.5836234136737023E-2</v>
      </c>
      <c r="W138" t="str">
        <f t="shared" si="305"/>
        <v>63 Community and civil enforcement occupations</v>
      </c>
      <c r="X138" s="26">
        <f t="shared" si="290"/>
        <v>-8.8133376054062573E-3</v>
      </c>
      <c r="Y138" s="26">
        <f t="shared" si="290"/>
        <v>6.6464131362436396E-2</v>
      </c>
      <c r="Z138" s="26">
        <f t="shared" si="290"/>
        <v>3.9446826680381686E-2</v>
      </c>
      <c r="AA138" s="26">
        <f t="shared" si="290"/>
        <v>0.15070316721277061</v>
      </c>
      <c r="AB138" s="26">
        <f t="shared" si="291"/>
        <v>0.19014999389315229</v>
      </c>
      <c r="AH138" t="str">
        <f t="shared" si="306"/>
        <v>63 Community and civil enforcement occupations</v>
      </c>
      <c r="AI138" s="26">
        <f t="shared" si="292"/>
        <v>-1.4783364275872748E-2</v>
      </c>
      <c r="AJ138" s="26">
        <f t="shared" si="292"/>
        <v>3.6699757864562269E-2</v>
      </c>
      <c r="AK138" s="26">
        <f t="shared" si="292"/>
        <v>-9.4703214226865284E-3</v>
      </c>
      <c r="AL138" s="26">
        <f t="shared" si="292"/>
        <v>3.8344908699496749E-2</v>
      </c>
      <c r="AM138" s="26">
        <f t="shared" si="293"/>
        <v>2.8874587276810221E-2</v>
      </c>
      <c r="AS138" t="str">
        <f t="shared" si="307"/>
        <v>63 Community and civil enforcement occupations</v>
      </c>
      <c r="AT138" s="26">
        <f t="shared" si="294"/>
        <v>-1.9042317220211075E-2</v>
      </c>
      <c r="AU138" s="26">
        <f t="shared" si="294"/>
        <v>2.4869149013101194E-2</v>
      </c>
      <c r="AV138" s="26">
        <f t="shared" si="294"/>
        <v>-1.6071580445043879E-2</v>
      </c>
      <c r="AW138" s="26">
        <f t="shared" si="294"/>
        <v>1.207869162397214E-2</v>
      </c>
      <c r="AX138" s="26">
        <f t="shared" si="295"/>
        <v>-3.9928888210717384E-3</v>
      </c>
      <c r="BD138" t="str">
        <f t="shared" si="308"/>
        <v>63 Community and civil enforcement occupations</v>
      </c>
      <c r="BE138" s="26">
        <f t="shared" si="296"/>
        <v>-0.10759640374970064</v>
      </c>
      <c r="BF138" s="26">
        <f t="shared" si="296"/>
        <v>0.12190361891741758</v>
      </c>
      <c r="BG138" s="26">
        <f t="shared" si="296"/>
        <v>-0.12993580672822325</v>
      </c>
      <c r="BH138" s="26">
        <f t="shared" si="296"/>
        <v>7.4623051395774243E-2</v>
      </c>
      <c r="BI138" s="26">
        <f t="shared" si="297"/>
        <v>-5.5312755332449004E-2</v>
      </c>
      <c r="BO138" t="str">
        <f t="shared" si="309"/>
        <v>63 Community and civil enforcement occupations</v>
      </c>
      <c r="BP138" s="26">
        <f t="shared" si="298"/>
        <v>-9.5669750564936873E-2</v>
      </c>
      <c r="BQ138" s="26">
        <f t="shared" si="298"/>
        <v>0.13976635011065874</v>
      </c>
      <c r="BR138" s="26">
        <f t="shared" si="298"/>
        <v>-0.16353107444379378</v>
      </c>
      <c r="BS138" s="26">
        <f t="shared" si="298"/>
        <v>1.2983103565853304E-2</v>
      </c>
      <c r="BT138" s="26">
        <f t="shared" si="299"/>
        <v>-0.15054797087794047</v>
      </c>
      <c r="BZ138" t="str">
        <f t="shared" si="310"/>
        <v>63 Community and civil enforcement occupations</v>
      </c>
      <c r="CA138" s="67">
        <f t="shared" si="300"/>
        <v>-0.13351659395025739</v>
      </c>
      <c r="CB138" s="67">
        <f t="shared" si="300"/>
        <v>0.16464573555929352</v>
      </c>
      <c r="CC138" s="67">
        <f t="shared" si="300"/>
        <v>-0.13491872799263527</v>
      </c>
      <c r="CD138" s="67">
        <f t="shared" si="300"/>
        <v>-8.8480678973006155E-2</v>
      </c>
      <c r="CE138" s="67">
        <f t="shared" si="301"/>
        <v>-0.22339940696564142</v>
      </c>
      <c r="CK138" t="str">
        <f t="shared" si="311"/>
        <v>63 Community and civil enforcement occupations</v>
      </c>
      <c r="CL138" s="67">
        <f t="shared" si="302"/>
        <v>-5.3124031677539277E-2</v>
      </c>
      <c r="CM138" s="67">
        <f t="shared" si="302"/>
        <v>2.1402587004466941E-2</v>
      </c>
      <c r="CN138" s="67">
        <f t="shared" si="302"/>
        <v>-4.7228289236377535E-2</v>
      </c>
      <c r="CO138" s="67">
        <f t="shared" si="302"/>
        <v>-1.9883049451871262E-2</v>
      </c>
      <c r="CP138" s="67">
        <f t="shared" si="303"/>
        <v>-6.7111338688248798E-2</v>
      </c>
    </row>
    <row r="139" spans="1:94" x14ac:dyDescent="0.2">
      <c r="A139" t="str">
        <f t="shared" si="285"/>
        <v>71 Sales occupations</v>
      </c>
      <c r="B139" s="26">
        <f t="shared" si="286"/>
        <v>0.10934692824987657</v>
      </c>
      <c r="C139" s="26">
        <f t="shared" si="286"/>
        <v>-0.12265354792026728</v>
      </c>
      <c r="D139" s="26">
        <f t="shared" si="286"/>
        <v>5.2676344711223455E-2</v>
      </c>
      <c r="E139" s="26">
        <f t="shared" si="286"/>
        <v>9.6280024155512289E-2</v>
      </c>
      <c r="F139" s="26">
        <f t="shared" si="287"/>
        <v>0.14895636886673574</v>
      </c>
      <c r="L139" t="str">
        <f t="shared" si="304"/>
        <v>71 Sales occupations</v>
      </c>
      <c r="M139" s="26">
        <f t="shared" si="288"/>
        <v>1.1476135587693066</v>
      </c>
      <c r="N139" s="26">
        <f t="shared" si="288"/>
        <v>-0.74171780215949212</v>
      </c>
      <c r="O139" s="26">
        <f t="shared" si="288"/>
        <v>0.91895095698314222</v>
      </c>
      <c r="P139" s="26">
        <f t="shared" si="288"/>
        <v>2.4339684569772482</v>
      </c>
      <c r="Q139" s="26">
        <f t="shared" si="289"/>
        <v>3.3529194139603904</v>
      </c>
      <c r="W139" t="str">
        <f t="shared" si="305"/>
        <v>71 Sales occupations</v>
      </c>
      <c r="X139" s="26">
        <f t="shared" si="290"/>
        <v>0.20919810858415389</v>
      </c>
      <c r="Y139" s="26">
        <f t="shared" si="290"/>
        <v>0.9788722619495509</v>
      </c>
      <c r="Z139" s="26">
        <f t="shared" si="290"/>
        <v>2.0217112544911906</v>
      </c>
      <c r="AA139" s="26">
        <f t="shared" si="290"/>
        <v>7.6810348993139677</v>
      </c>
      <c r="AB139" s="26">
        <f t="shared" si="291"/>
        <v>9.7027461538051583</v>
      </c>
      <c r="AH139" t="str">
        <f t="shared" si="306"/>
        <v>71 Sales occupations</v>
      </c>
      <c r="AI139" s="26">
        <f t="shared" si="292"/>
        <v>0.11954339947121273</v>
      </c>
      <c r="AJ139" s="26">
        <f t="shared" si="292"/>
        <v>0.11871248331136464</v>
      </c>
      <c r="AK139" s="26">
        <f t="shared" si="292"/>
        <v>0.45485112945710515</v>
      </c>
      <c r="AL139" s="26">
        <f t="shared" si="292"/>
        <v>2.568135393429694</v>
      </c>
      <c r="AM139" s="26">
        <f t="shared" si="293"/>
        <v>3.0229865228867991</v>
      </c>
      <c r="AS139" t="str">
        <f t="shared" si="307"/>
        <v>71 Sales occupations</v>
      </c>
      <c r="AT139" s="26">
        <f t="shared" si="294"/>
        <v>-0.25708435116624884</v>
      </c>
      <c r="AU139" s="26">
        <f t="shared" si="294"/>
        <v>0.46958115116299926</v>
      </c>
      <c r="AV139" s="26">
        <f t="shared" si="294"/>
        <v>-3.536725138382657E-2</v>
      </c>
      <c r="AW139" s="26">
        <f t="shared" si="294"/>
        <v>1.3139413862909617</v>
      </c>
      <c r="AX139" s="26">
        <f t="shared" si="295"/>
        <v>1.2785741349071351</v>
      </c>
      <c r="BD139" t="str">
        <f t="shared" si="308"/>
        <v>71 Sales occupations</v>
      </c>
      <c r="BE139" s="26">
        <f t="shared" si="296"/>
        <v>1.7280376636628887</v>
      </c>
      <c r="BF139" s="26">
        <f t="shared" si="296"/>
        <v>-0.66703682798574704</v>
      </c>
      <c r="BG139" s="26">
        <f t="shared" si="296"/>
        <v>-1.8270613135458333</v>
      </c>
      <c r="BH139" s="26">
        <f t="shared" si="296"/>
        <v>2.7824605739583035</v>
      </c>
      <c r="BI139" s="26">
        <f t="shared" si="297"/>
        <v>0.95539926041247014</v>
      </c>
      <c r="BO139" t="str">
        <f t="shared" si="309"/>
        <v>71 Sales occupations</v>
      </c>
      <c r="BP139" s="26">
        <f t="shared" si="298"/>
        <v>-3.5145975839028623</v>
      </c>
      <c r="BQ139" s="26">
        <f t="shared" si="298"/>
        <v>-2.1297537057236795</v>
      </c>
      <c r="BR139" s="26">
        <f t="shared" si="298"/>
        <v>-6.3967711798103721</v>
      </c>
      <c r="BS139" s="26">
        <f t="shared" si="298"/>
        <v>-7.4579774587519765</v>
      </c>
      <c r="BT139" s="26">
        <f t="shared" si="299"/>
        <v>-13.854748638562349</v>
      </c>
      <c r="BZ139" t="str">
        <f t="shared" si="310"/>
        <v>71 Sales occupations</v>
      </c>
      <c r="CA139" s="67">
        <f t="shared" si="300"/>
        <v>-7.3571774126520175</v>
      </c>
      <c r="CB139" s="67">
        <f t="shared" si="300"/>
        <v>-1.4117569124354432</v>
      </c>
      <c r="CC139" s="67">
        <f t="shared" si="300"/>
        <v>-4.6997837429612481</v>
      </c>
      <c r="CD139" s="67">
        <f t="shared" si="300"/>
        <v>-15.013593249901474</v>
      </c>
      <c r="CE139" s="67">
        <f t="shared" si="301"/>
        <v>-19.71337699286272</v>
      </c>
      <c r="CK139" t="str">
        <f t="shared" si="311"/>
        <v>71 Sales occupations</v>
      </c>
      <c r="CL139" s="67">
        <f t="shared" si="302"/>
        <v>-1.6778132773229046</v>
      </c>
      <c r="CM139" s="67">
        <f t="shared" si="302"/>
        <v>-2.1339109270661591</v>
      </c>
      <c r="CN139" s="67">
        <f t="shared" si="302"/>
        <v>-1.4690906682847791</v>
      </c>
      <c r="CO139" s="67">
        <f t="shared" si="302"/>
        <v>-2.4370334832413016</v>
      </c>
      <c r="CP139" s="67">
        <f t="shared" si="303"/>
        <v>-3.9061241515260807</v>
      </c>
    </row>
    <row r="140" spans="1:94" x14ac:dyDescent="0.2">
      <c r="A140" t="str">
        <f t="shared" si="285"/>
        <v>72 Customer service occupations</v>
      </c>
      <c r="B140" s="26">
        <f t="shared" si="286"/>
        <v>2.9533430453936055E-2</v>
      </c>
      <c r="C140" s="26">
        <f t="shared" si="286"/>
        <v>-8.304575109023507E-3</v>
      </c>
      <c r="D140" s="26">
        <f t="shared" si="286"/>
        <v>8.1014894210186969E-2</v>
      </c>
      <c r="E140" s="26">
        <f t="shared" si="286"/>
        <v>0.10074649836755997</v>
      </c>
      <c r="F140" s="26">
        <f t="shared" si="287"/>
        <v>0.18176139257774693</v>
      </c>
      <c r="L140" t="str">
        <f t="shared" si="304"/>
        <v>72 Customer service occupations</v>
      </c>
      <c r="M140" s="26">
        <f t="shared" si="288"/>
        <v>0.58819170362638573</v>
      </c>
      <c r="N140" s="26">
        <f t="shared" si="288"/>
        <v>-0.22719696333560391</v>
      </c>
      <c r="O140" s="26">
        <f t="shared" si="288"/>
        <v>0.98369665874738832</v>
      </c>
      <c r="P140" s="26">
        <f t="shared" si="288"/>
        <v>1.3070072630376091</v>
      </c>
      <c r="Q140" s="26">
        <f t="shared" si="289"/>
        <v>2.2907039217849974</v>
      </c>
      <c r="W140" t="str">
        <f t="shared" si="305"/>
        <v>72 Customer service occupations</v>
      </c>
      <c r="X140" s="26">
        <f t="shared" si="290"/>
        <v>0.65576830818184817</v>
      </c>
      <c r="Y140" s="26">
        <f t="shared" si="290"/>
        <v>0.35120607100556267</v>
      </c>
      <c r="Z140" s="26">
        <f t="shared" si="290"/>
        <v>2.5631980147478428</v>
      </c>
      <c r="AA140" s="26">
        <f t="shared" si="290"/>
        <v>3.4770698788976517</v>
      </c>
      <c r="AB140" s="26">
        <f t="shared" si="291"/>
        <v>6.0402678936454945</v>
      </c>
      <c r="AH140" t="str">
        <f t="shared" si="306"/>
        <v>72 Customer service occupations</v>
      </c>
      <c r="AI140" s="26">
        <f t="shared" si="292"/>
        <v>0.33198726555832181</v>
      </c>
      <c r="AJ140" s="26">
        <f t="shared" si="292"/>
        <v>0.18001592390243237</v>
      </c>
      <c r="AK140" s="26">
        <f t="shared" si="292"/>
        <v>0.97307062536540689</v>
      </c>
      <c r="AL140" s="26">
        <f t="shared" si="292"/>
        <v>1.343797437389076</v>
      </c>
      <c r="AM140" s="26">
        <f t="shared" si="293"/>
        <v>2.3168680627544829</v>
      </c>
      <c r="AS140" t="str">
        <f t="shared" si="307"/>
        <v>72 Customer service occupations</v>
      </c>
      <c r="AT140" s="26">
        <f t="shared" si="294"/>
        <v>6.9537996812772729E-2</v>
      </c>
      <c r="AU140" s="26">
        <f t="shared" si="294"/>
        <v>0.22522510743322721</v>
      </c>
      <c r="AV140" s="26">
        <f t="shared" si="294"/>
        <v>0.99051462266400492</v>
      </c>
      <c r="AW140" s="26">
        <f t="shared" si="294"/>
        <v>0.91291897593960769</v>
      </c>
      <c r="AX140" s="26">
        <f t="shared" si="295"/>
        <v>1.9034335986036126</v>
      </c>
      <c r="BD140" t="str">
        <f t="shared" si="308"/>
        <v>72 Customer service occupations</v>
      </c>
      <c r="BE140" s="26">
        <f t="shared" si="296"/>
        <v>1.0747744926777916</v>
      </c>
      <c r="BF140" s="26">
        <f t="shared" si="296"/>
        <v>0.66806902263808432</v>
      </c>
      <c r="BG140" s="26">
        <f t="shared" si="296"/>
        <v>2.7269830726825628</v>
      </c>
      <c r="BH140" s="26">
        <f t="shared" si="296"/>
        <v>2.0440477656513387</v>
      </c>
      <c r="BI140" s="26">
        <f t="shared" si="297"/>
        <v>4.7710308383339015</v>
      </c>
      <c r="BO140" t="str">
        <f t="shared" si="309"/>
        <v>72 Customer service occupations</v>
      </c>
      <c r="BP140" s="26">
        <f t="shared" si="298"/>
        <v>0.5084096527700801</v>
      </c>
      <c r="BQ140" s="26">
        <f t="shared" si="298"/>
        <v>8.6844937026574698E-2</v>
      </c>
      <c r="BR140" s="26">
        <f t="shared" si="298"/>
        <v>1.7026778455491112</v>
      </c>
      <c r="BS140" s="26">
        <f t="shared" si="298"/>
        <v>-1.1581246691072966</v>
      </c>
      <c r="BT140" s="26">
        <f t="shared" si="299"/>
        <v>0.54455317644181456</v>
      </c>
      <c r="BZ140" t="str">
        <f t="shared" si="310"/>
        <v>72 Customer service occupations</v>
      </c>
      <c r="CA140" s="67">
        <f t="shared" si="300"/>
        <v>-0.92160133729672378</v>
      </c>
      <c r="CB140" s="67">
        <f t="shared" si="300"/>
        <v>4.2826024735198587E-4</v>
      </c>
      <c r="CC140" s="67">
        <f t="shared" si="300"/>
        <v>0.20461711736557042</v>
      </c>
      <c r="CD140" s="67">
        <f t="shared" si="300"/>
        <v>-1.4940847709990441</v>
      </c>
      <c r="CE140" s="67">
        <f t="shared" si="301"/>
        <v>-1.2894676536334737</v>
      </c>
      <c r="CK140" t="str">
        <f t="shared" si="311"/>
        <v>72 Customer service occupations</v>
      </c>
      <c r="CL140" s="67">
        <f t="shared" si="302"/>
        <v>0.32193009388493743</v>
      </c>
      <c r="CM140" s="67">
        <f t="shared" si="302"/>
        <v>-0.19844675831003844</v>
      </c>
      <c r="CN140" s="67">
        <f t="shared" si="302"/>
        <v>0.82812343185299508</v>
      </c>
      <c r="CO140" s="67">
        <f t="shared" si="302"/>
        <v>0.27432846357782825</v>
      </c>
      <c r="CP140" s="67">
        <f t="shared" si="303"/>
        <v>1.1024518954308233</v>
      </c>
    </row>
    <row r="141" spans="1:94" x14ac:dyDescent="0.2">
      <c r="A141" t="str">
        <f t="shared" si="285"/>
        <v>81 Process, plant and machine operatives</v>
      </c>
      <c r="B141" s="26">
        <f t="shared" si="286"/>
        <v>7.6269367648512526E-2</v>
      </c>
      <c r="C141" s="26">
        <f t="shared" si="286"/>
        <v>-5.6148330619154724E-2</v>
      </c>
      <c r="D141" s="26">
        <f t="shared" si="286"/>
        <v>7.2883035717974276E-2</v>
      </c>
      <c r="E141" s="26">
        <f t="shared" si="286"/>
        <v>0.2215139261213607</v>
      </c>
      <c r="F141" s="26">
        <f t="shared" si="287"/>
        <v>0.29439696183933495</v>
      </c>
      <c r="L141" t="str">
        <f t="shared" si="304"/>
        <v>81 Process, plant and machine operatives</v>
      </c>
      <c r="M141" s="26">
        <f t="shared" si="288"/>
        <v>0.38633344536001668</v>
      </c>
      <c r="N141" s="26">
        <f t="shared" si="288"/>
        <v>-0.31521861883659852</v>
      </c>
      <c r="O141" s="26">
        <f t="shared" si="288"/>
        <v>0.79720690768323521</v>
      </c>
      <c r="P141" s="26">
        <f t="shared" si="288"/>
        <v>1.7494562289619862</v>
      </c>
      <c r="Q141" s="26">
        <f t="shared" si="289"/>
        <v>2.5466631366452215</v>
      </c>
      <c r="W141" t="str">
        <f t="shared" si="305"/>
        <v>81 Process, plant and machine operatives</v>
      </c>
      <c r="X141" s="26">
        <f t="shared" si="290"/>
        <v>0.27930437995759805</v>
      </c>
      <c r="Y141" s="26">
        <f t="shared" si="290"/>
        <v>-0.16582579743186798</v>
      </c>
      <c r="Z141" s="26">
        <f t="shared" si="290"/>
        <v>1.7992118591277984</v>
      </c>
      <c r="AA141" s="26">
        <f t="shared" si="290"/>
        <v>3.9697633403289192</v>
      </c>
      <c r="AB141" s="26">
        <f t="shared" si="291"/>
        <v>5.7689751994567171</v>
      </c>
      <c r="AH141" t="str">
        <f t="shared" si="306"/>
        <v>81 Process, plant and machine operatives</v>
      </c>
      <c r="AI141" s="26">
        <f t="shared" si="292"/>
        <v>2.6983534630351302E-2</v>
      </c>
      <c r="AJ141" s="26">
        <f t="shared" si="292"/>
        <v>6.0331651744621739E-2</v>
      </c>
      <c r="AK141" s="26">
        <f t="shared" si="292"/>
        <v>0.64767082176960744</v>
      </c>
      <c r="AL141" s="26">
        <f t="shared" si="292"/>
        <v>0.87210776113521637</v>
      </c>
      <c r="AM141" s="26">
        <f t="shared" si="293"/>
        <v>1.5197785829048238</v>
      </c>
      <c r="AS141" t="str">
        <f t="shared" si="307"/>
        <v>81 Process, plant and machine operatives</v>
      </c>
      <c r="AT141" s="26">
        <f t="shared" si="294"/>
        <v>-0.10666883638411928</v>
      </c>
      <c r="AU141" s="26">
        <f t="shared" si="294"/>
        <v>0.24626720862212048</v>
      </c>
      <c r="AV141" s="26">
        <f t="shared" si="294"/>
        <v>1.3446289055834373</v>
      </c>
      <c r="AW141" s="26">
        <f t="shared" si="294"/>
        <v>1.9090651117742627</v>
      </c>
      <c r="AX141" s="26">
        <f t="shared" si="295"/>
        <v>3.2536940173577</v>
      </c>
      <c r="BD141" t="str">
        <f t="shared" si="308"/>
        <v>81 Process, plant and machine operatives</v>
      </c>
      <c r="BE141" s="26">
        <f t="shared" si="296"/>
        <v>2.1656230881337066</v>
      </c>
      <c r="BF141" s="26">
        <f t="shared" si="296"/>
        <v>-3.1883104314797102</v>
      </c>
      <c r="BG141" s="26">
        <f t="shared" si="296"/>
        <v>7.491764834268885</v>
      </c>
      <c r="BH141" s="26">
        <f t="shared" si="296"/>
        <v>5.0164445386555236</v>
      </c>
      <c r="BI141" s="26">
        <f t="shared" si="297"/>
        <v>12.508209372924409</v>
      </c>
      <c r="BO141" t="str">
        <f t="shared" si="309"/>
        <v>81 Process, plant and machine operatives</v>
      </c>
      <c r="BP141" s="26">
        <f t="shared" si="298"/>
        <v>1.220935640654865</v>
      </c>
      <c r="BQ141" s="26">
        <f t="shared" si="298"/>
        <v>-4.6519749875889822</v>
      </c>
      <c r="BR141" s="26">
        <f t="shared" si="298"/>
        <v>5.9596271780841725</v>
      </c>
      <c r="BS141" s="26">
        <f t="shared" si="298"/>
        <v>-1.4337862694955632</v>
      </c>
      <c r="BT141" s="26">
        <f t="shared" si="299"/>
        <v>4.5258409085886093</v>
      </c>
      <c r="BZ141" t="str">
        <f t="shared" si="310"/>
        <v>81 Process, plant and machine operatives</v>
      </c>
      <c r="CA141" s="67">
        <f t="shared" si="300"/>
        <v>-3.1252136389929817</v>
      </c>
      <c r="CB141" s="67">
        <f t="shared" si="300"/>
        <v>-2.3079393515064481</v>
      </c>
      <c r="CC141" s="67">
        <f t="shared" si="300"/>
        <v>1.5642472319948979</v>
      </c>
      <c r="CD141" s="67">
        <f t="shared" si="300"/>
        <v>-11.611306830247301</v>
      </c>
      <c r="CE141" s="67">
        <f t="shared" si="301"/>
        <v>-10.047059598252403</v>
      </c>
      <c r="CK141" t="str">
        <f t="shared" si="311"/>
        <v>81 Process, plant and machine operatives</v>
      </c>
      <c r="CL141" s="67">
        <f t="shared" si="302"/>
        <v>-1.9298422077372894</v>
      </c>
      <c r="CM141" s="67">
        <f t="shared" si="302"/>
        <v>-1.970451412150414</v>
      </c>
      <c r="CN141" s="67">
        <f t="shared" si="302"/>
        <v>-2.5965725627455076</v>
      </c>
      <c r="CO141" s="67">
        <f t="shared" si="302"/>
        <v>-2.1229942726566788</v>
      </c>
      <c r="CP141" s="67">
        <f t="shared" si="303"/>
        <v>-4.7195668354021869</v>
      </c>
    </row>
    <row r="142" spans="1:94" x14ac:dyDescent="0.2">
      <c r="A142" t="str">
        <f t="shared" si="285"/>
        <v>82 Transport and mobile machine drivers and operatives</v>
      </c>
      <c r="B142" s="26">
        <f t="shared" si="286"/>
        <v>4.6295559501484784E-2</v>
      </c>
      <c r="C142" s="26">
        <f t="shared" si="286"/>
        <v>1.6179075310701618E-2</v>
      </c>
      <c r="D142" s="26">
        <f t="shared" si="286"/>
        <v>9.9835411483949699E-2</v>
      </c>
      <c r="E142" s="26">
        <f t="shared" si="286"/>
        <v>0.16967841170075615</v>
      </c>
      <c r="F142" s="26">
        <f t="shared" si="287"/>
        <v>0.26951382318470585</v>
      </c>
      <c r="L142" t="str">
        <f t="shared" si="304"/>
        <v>82 Transport and mobile machine drivers and operatives</v>
      </c>
      <c r="M142" s="26">
        <f t="shared" si="288"/>
        <v>0.29982248326546612</v>
      </c>
      <c r="N142" s="26">
        <f t="shared" si="288"/>
        <v>4.0375754825420884E-2</v>
      </c>
      <c r="O142" s="26">
        <f t="shared" si="288"/>
        <v>0.40723762583454182</v>
      </c>
      <c r="P142" s="26">
        <f t="shared" si="288"/>
        <v>0.73777437697550474</v>
      </c>
      <c r="Q142" s="26">
        <f t="shared" si="289"/>
        <v>1.1450120028100466</v>
      </c>
      <c r="W142" t="str">
        <f t="shared" si="305"/>
        <v>82 Transport and mobile machine drivers and operatives</v>
      </c>
      <c r="X142" s="26">
        <f t="shared" si="290"/>
        <v>0.31539966992869006</v>
      </c>
      <c r="Y142" s="26">
        <f t="shared" si="290"/>
        <v>1.0663086810853439</v>
      </c>
      <c r="Z142" s="26">
        <f t="shared" si="290"/>
        <v>0.81890755034969231</v>
      </c>
      <c r="AA142" s="26">
        <f t="shared" si="290"/>
        <v>1.7170274214817089</v>
      </c>
      <c r="AB142" s="26">
        <f t="shared" si="291"/>
        <v>2.5359349718314013</v>
      </c>
      <c r="AH142" t="str">
        <f t="shared" si="306"/>
        <v>82 Transport and mobile machine drivers and operatives</v>
      </c>
      <c r="AI142" s="26">
        <f t="shared" si="292"/>
        <v>0.13218996471426592</v>
      </c>
      <c r="AJ142" s="26">
        <f t="shared" si="292"/>
        <v>0.67369901418093914</v>
      </c>
      <c r="AK142" s="26">
        <f t="shared" si="292"/>
        <v>0.42527106998052844</v>
      </c>
      <c r="AL142" s="26">
        <f t="shared" si="292"/>
        <v>0.95385617222330099</v>
      </c>
      <c r="AM142" s="26">
        <f t="shared" si="293"/>
        <v>1.3791272422038294</v>
      </c>
      <c r="AS142" t="str">
        <f t="shared" si="307"/>
        <v>82 Transport and mobile machine drivers and operatives</v>
      </c>
      <c r="AT142" s="26">
        <f t="shared" si="294"/>
        <v>0.11593055529782292</v>
      </c>
      <c r="AU142" s="26">
        <f t="shared" si="294"/>
        <v>0.87734631759721227</v>
      </c>
      <c r="AV142" s="26">
        <f t="shared" si="294"/>
        <v>0.66670450304876017</v>
      </c>
      <c r="AW142" s="26">
        <f t="shared" si="294"/>
        <v>1.2694973861952787</v>
      </c>
      <c r="AX142" s="26">
        <f t="shared" si="295"/>
        <v>1.9362018892440389</v>
      </c>
      <c r="BD142" t="str">
        <f t="shared" si="308"/>
        <v>82 Transport and mobile machine drivers and operatives</v>
      </c>
      <c r="BE142" s="26">
        <f t="shared" si="296"/>
        <v>4.3691142561027796</v>
      </c>
      <c r="BF142" s="26">
        <f t="shared" si="296"/>
        <v>-0.59601805251801565</v>
      </c>
      <c r="BG142" s="26">
        <f t="shared" si="296"/>
        <v>3.6500985319863553</v>
      </c>
      <c r="BH142" s="26">
        <f t="shared" si="296"/>
        <v>4.9084665120153517</v>
      </c>
      <c r="BI142" s="26">
        <f t="shared" si="297"/>
        <v>8.5585650440017069</v>
      </c>
      <c r="BO142" t="str">
        <f t="shared" si="309"/>
        <v>82 Transport and mobile machine drivers and operatives</v>
      </c>
      <c r="BP142" s="26">
        <f t="shared" si="298"/>
        <v>5.7391244926156162</v>
      </c>
      <c r="BQ142" s="26">
        <f t="shared" si="298"/>
        <v>-1.7927851258037464</v>
      </c>
      <c r="BR142" s="26">
        <f t="shared" si="298"/>
        <v>2.1783241484724059</v>
      </c>
      <c r="BS142" s="26">
        <f t="shared" si="298"/>
        <v>1.0779725765530657E-4</v>
      </c>
      <c r="BT142" s="26">
        <f t="shared" si="299"/>
        <v>2.1784319457300612</v>
      </c>
      <c r="BZ142" t="str">
        <f t="shared" si="310"/>
        <v>82 Transport and mobile machine drivers and operatives</v>
      </c>
      <c r="CA142" s="67">
        <f t="shared" si="300"/>
        <v>-0.4095337117296971</v>
      </c>
      <c r="CB142" s="67">
        <f t="shared" si="300"/>
        <v>1.0276134924556182</v>
      </c>
      <c r="CC142" s="67">
        <f t="shared" si="300"/>
        <v>-3.9645965139580923</v>
      </c>
      <c r="CD142" s="67">
        <f t="shared" si="300"/>
        <v>-6.9545288998188326</v>
      </c>
      <c r="CE142" s="67">
        <f t="shared" si="301"/>
        <v>-10.919125413776925</v>
      </c>
      <c r="CK142" t="str">
        <f t="shared" si="311"/>
        <v>82 Transport and mobile machine drivers and operatives</v>
      </c>
      <c r="CL142" s="67">
        <f t="shared" si="302"/>
        <v>1.1903015596217816</v>
      </c>
      <c r="CM142" s="67">
        <f t="shared" si="302"/>
        <v>-0.89555687290239128</v>
      </c>
      <c r="CN142" s="67">
        <f t="shared" si="302"/>
        <v>0.21770599014073433</v>
      </c>
      <c r="CO142" s="67">
        <f t="shared" si="302"/>
        <v>-4.909700221833269</v>
      </c>
      <c r="CP142" s="67">
        <f t="shared" si="303"/>
        <v>-4.6919942316925347</v>
      </c>
    </row>
    <row r="143" spans="1:94" x14ac:dyDescent="0.2">
      <c r="A143" t="str">
        <f t="shared" si="285"/>
        <v>91 Elementary trades and related occupations</v>
      </c>
      <c r="B143" s="26">
        <f t="shared" si="286"/>
        <v>2.0375737754580142E-4</v>
      </c>
      <c r="C143" s="26">
        <f t="shared" si="286"/>
        <v>-2.3848215653632181E-4</v>
      </c>
      <c r="D143" s="26">
        <f t="shared" si="286"/>
        <v>-4.3812239750070769E-5</v>
      </c>
      <c r="E143" s="26">
        <f t="shared" si="286"/>
        <v>5.6958637100012056E-4</v>
      </c>
      <c r="F143" s="26">
        <f t="shared" si="287"/>
        <v>5.2577413125004979E-4</v>
      </c>
      <c r="L143" t="str">
        <f t="shared" si="304"/>
        <v>91 Elementary trades and related occupations</v>
      </c>
      <c r="M143" s="26">
        <f t="shared" si="288"/>
        <v>0.13265897501431878</v>
      </c>
      <c r="N143" s="26">
        <f t="shared" si="288"/>
        <v>-9.1585462948877594E-2</v>
      </c>
      <c r="O143" s="26">
        <f t="shared" si="288"/>
        <v>8.4131265343511119E-2</v>
      </c>
      <c r="P143" s="26">
        <f t="shared" si="288"/>
        <v>0.2688482552527911</v>
      </c>
      <c r="Q143" s="26">
        <f t="shared" si="289"/>
        <v>0.35297952059630222</v>
      </c>
      <c r="W143" t="str">
        <f t="shared" si="305"/>
        <v>91 Elementary trades and related occupations</v>
      </c>
      <c r="X143" s="26">
        <f t="shared" si="290"/>
        <v>0.1053701533375877</v>
      </c>
      <c r="Y143" s="26">
        <f t="shared" si="290"/>
        <v>8.1499317008087324E-2</v>
      </c>
      <c r="Z143" s="26">
        <f t="shared" si="290"/>
        <v>-4.3382355965257968E-2</v>
      </c>
      <c r="AA143" s="26">
        <f t="shared" si="290"/>
        <v>0.47814600535046425</v>
      </c>
      <c r="AB143" s="26">
        <f t="shared" si="291"/>
        <v>0.43476364938520629</v>
      </c>
      <c r="AH143" t="str">
        <f t="shared" si="306"/>
        <v>91 Elementary trades and related occupations</v>
      </c>
      <c r="AI143" s="26">
        <f t="shared" si="292"/>
        <v>0.1140034051351615</v>
      </c>
      <c r="AJ143" s="26">
        <f t="shared" si="292"/>
        <v>1.8500968325994238E-2</v>
      </c>
      <c r="AK143" s="26">
        <f t="shared" si="292"/>
        <v>-8.1696434246056659E-2</v>
      </c>
      <c r="AL143" s="26">
        <f t="shared" si="292"/>
        <v>0.40424289238888633</v>
      </c>
      <c r="AM143" s="26">
        <f t="shared" si="293"/>
        <v>0.32254645814282967</v>
      </c>
      <c r="AS143" t="str">
        <f t="shared" si="307"/>
        <v>91 Elementary trades and related occupations</v>
      </c>
      <c r="AT143" s="26">
        <f t="shared" si="294"/>
        <v>-1.9481860014470831E-2</v>
      </c>
      <c r="AU143" s="26">
        <f t="shared" si="294"/>
        <v>0.25535777013078209</v>
      </c>
      <c r="AV143" s="26">
        <f t="shared" si="294"/>
        <v>-5.3666059500071972E-2</v>
      </c>
      <c r="AW143" s="26">
        <f t="shared" si="294"/>
        <v>0.32512772536842349</v>
      </c>
      <c r="AX143" s="26">
        <f t="shared" si="295"/>
        <v>0.27146166586835152</v>
      </c>
      <c r="BD143" t="str">
        <f t="shared" si="308"/>
        <v>91 Elementary trades and related occupations</v>
      </c>
      <c r="BE143" s="26">
        <f t="shared" si="296"/>
        <v>-0.13708484170835789</v>
      </c>
      <c r="BF143" s="26">
        <f t="shared" si="296"/>
        <v>-0.70803010296645574</v>
      </c>
      <c r="BG143" s="26">
        <f t="shared" si="296"/>
        <v>-0.54719526822719367</v>
      </c>
      <c r="BH143" s="26">
        <f t="shared" si="296"/>
        <v>0.91728691441509547</v>
      </c>
      <c r="BI143" s="26">
        <f t="shared" si="297"/>
        <v>0.3700916461879018</v>
      </c>
      <c r="BO143" t="str">
        <f t="shared" si="309"/>
        <v>91 Elementary trades and related occupations</v>
      </c>
      <c r="BP143" s="26">
        <f t="shared" si="298"/>
        <v>-1.3384955283485489</v>
      </c>
      <c r="BQ143" s="26">
        <f t="shared" si="298"/>
        <v>-1.1848921218441593</v>
      </c>
      <c r="BR143" s="26">
        <f t="shared" si="298"/>
        <v>-2.2769890162651905</v>
      </c>
      <c r="BS143" s="26">
        <f t="shared" si="298"/>
        <v>-1.0253809364393556</v>
      </c>
      <c r="BT143" s="26">
        <f t="shared" si="299"/>
        <v>-3.302369952704546</v>
      </c>
      <c r="BZ143" t="str">
        <f t="shared" si="310"/>
        <v>91 Elementary trades and related occupations</v>
      </c>
      <c r="CA143" s="67">
        <f t="shared" si="300"/>
        <v>-2.5710181651633128</v>
      </c>
      <c r="CB143" s="67">
        <f t="shared" si="300"/>
        <v>-0.92560438589022276</v>
      </c>
      <c r="CC143" s="67">
        <f t="shared" si="300"/>
        <v>-3.7126925981550443</v>
      </c>
      <c r="CD143" s="67">
        <f t="shared" si="300"/>
        <v>-2.5630896322847292</v>
      </c>
      <c r="CE143" s="67">
        <f t="shared" si="301"/>
        <v>-6.2757822304397735</v>
      </c>
      <c r="CK143" t="str">
        <f t="shared" si="311"/>
        <v>91 Elementary trades and related occupations</v>
      </c>
      <c r="CL143" s="67">
        <f t="shared" si="302"/>
        <v>-0.52308745108764398</v>
      </c>
      <c r="CM143" s="67">
        <f t="shared" si="302"/>
        <v>-1.02625636744503</v>
      </c>
      <c r="CN143" s="67">
        <f t="shared" si="302"/>
        <v>-0.44291875318209328</v>
      </c>
      <c r="CO143" s="67">
        <f t="shared" si="302"/>
        <v>-1.3232127392409629</v>
      </c>
      <c r="CP143" s="67">
        <f t="shared" si="303"/>
        <v>-1.7661314924230562</v>
      </c>
    </row>
    <row r="144" spans="1:94" x14ac:dyDescent="0.2">
      <c r="A144" t="str">
        <f t="shared" si="285"/>
        <v>92 Elementary administration and service occupations</v>
      </c>
      <c r="B144" s="26">
        <f t="shared" si="286"/>
        <v>3.3809951602535943E-2</v>
      </c>
      <c r="C144" s="26">
        <f t="shared" si="286"/>
        <v>-2.3268641917107147E-2</v>
      </c>
      <c r="D144" s="26">
        <f t="shared" si="286"/>
        <v>5.6783425279257532E-2</v>
      </c>
      <c r="E144" s="26">
        <f t="shared" si="286"/>
        <v>9.9935241046580109E-2</v>
      </c>
      <c r="F144" s="26">
        <f t="shared" si="287"/>
        <v>0.15671866632583764</v>
      </c>
      <c r="L144" t="str">
        <f t="shared" ref="L144" si="312">A144</f>
        <v>92 Elementary administration and service occupations</v>
      </c>
      <c r="M144" s="26">
        <f t="shared" si="288"/>
        <v>0.95546510204084534</v>
      </c>
      <c r="N144" s="26">
        <f t="shared" si="288"/>
        <v>-0.54947962687769314</v>
      </c>
      <c r="O144" s="26">
        <f t="shared" si="288"/>
        <v>1.3370561333982214</v>
      </c>
      <c r="P144" s="26">
        <f t="shared" si="288"/>
        <v>2.5807836350783573</v>
      </c>
      <c r="Q144" s="26">
        <f t="shared" si="289"/>
        <v>3.9178397684765787</v>
      </c>
      <c r="W144" t="str">
        <f t="shared" ref="W144" si="313">A144</f>
        <v>92 Elementary administration and service occupations</v>
      </c>
      <c r="X144" s="26">
        <f t="shared" si="290"/>
        <v>1.4628060950595749</v>
      </c>
      <c r="Y144" s="26">
        <f t="shared" si="290"/>
        <v>0.47142381637413244</v>
      </c>
      <c r="Z144" s="26">
        <f t="shared" si="290"/>
        <v>3.1571892618388002</v>
      </c>
      <c r="AA144" s="26">
        <f t="shared" si="290"/>
        <v>6.458733159712736</v>
      </c>
      <c r="AB144" s="26">
        <f t="shared" si="291"/>
        <v>9.6159224215515362</v>
      </c>
      <c r="AH144" t="str">
        <f t="shared" ref="AH144" si="314">L144</f>
        <v>92 Elementary administration and service occupations</v>
      </c>
      <c r="AI144" s="26">
        <f t="shared" si="292"/>
        <v>0.59840108796656377</v>
      </c>
      <c r="AJ144" s="26">
        <f t="shared" si="292"/>
        <v>0.2976776930350109</v>
      </c>
      <c r="AK144" s="26">
        <f t="shared" si="292"/>
        <v>1.4341175127619072</v>
      </c>
      <c r="AL144" s="26">
        <f t="shared" si="292"/>
        <v>3.281765314993109</v>
      </c>
      <c r="AM144" s="26">
        <f t="shared" si="293"/>
        <v>4.7158828277550162</v>
      </c>
      <c r="AS144" t="str">
        <f t="shared" ref="AS144" si="315">W144</f>
        <v>92 Elementary administration and service occupations</v>
      </c>
      <c r="AT144" s="26">
        <f t="shared" si="294"/>
        <v>0.41932370448570566</v>
      </c>
      <c r="AU144" s="26">
        <f t="shared" si="294"/>
        <v>0.39055283728422374</v>
      </c>
      <c r="AV144" s="26">
        <f t="shared" si="294"/>
        <v>0.99355177952294138</v>
      </c>
      <c r="AW144" s="26">
        <f t="shared" si="294"/>
        <v>2.4868933557984541</v>
      </c>
      <c r="AX144" s="26">
        <f t="shared" si="295"/>
        <v>3.4804451353213954</v>
      </c>
      <c r="BD144" t="str">
        <f t="shared" ref="BD144" si="316">AH144</f>
        <v>92 Elementary administration and service occupations</v>
      </c>
      <c r="BE144" s="26">
        <f t="shared" si="296"/>
        <v>1.5614579703625537</v>
      </c>
      <c r="BF144" s="26">
        <f t="shared" si="296"/>
        <v>-2.3194694251450585</v>
      </c>
      <c r="BG144" s="26">
        <f t="shared" si="296"/>
        <v>-7.3654513665537991E-2</v>
      </c>
      <c r="BH144" s="26">
        <f t="shared" si="296"/>
        <v>1.4648012725900301</v>
      </c>
      <c r="BI144" s="26">
        <f t="shared" si="297"/>
        <v>1.3911467589244921</v>
      </c>
      <c r="BO144" t="str">
        <f t="shared" ref="BO144" si="317">AS144</f>
        <v>92 Elementary administration and service occupations</v>
      </c>
      <c r="BP144" s="26">
        <f t="shared" si="298"/>
        <v>2.0328364950161273</v>
      </c>
      <c r="BQ144" s="26">
        <f t="shared" si="298"/>
        <v>-6.2353614269128101</v>
      </c>
      <c r="BR144" s="26">
        <f t="shared" si="298"/>
        <v>-1.1352590836967451</v>
      </c>
      <c r="BS144" s="26">
        <f t="shared" si="298"/>
        <v>-6.4175232105234912</v>
      </c>
      <c r="BT144" s="26">
        <f t="shared" si="299"/>
        <v>-7.5527822942202363</v>
      </c>
      <c r="BZ144" t="str">
        <f t="shared" ref="BZ144" si="318">BD144</f>
        <v>92 Elementary administration and service occupations</v>
      </c>
      <c r="CA144" s="67">
        <f t="shared" si="300"/>
        <v>-10.070941886599755</v>
      </c>
      <c r="CB144" s="67">
        <f t="shared" si="300"/>
        <v>-2.1438665206226517</v>
      </c>
      <c r="CC144" s="67">
        <f t="shared" si="300"/>
        <v>-2.105919562747097</v>
      </c>
      <c r="CD144" s="67">
        <f t="shared" si="300"/>
        <v>-18.58753891072206</v>
      </c>
      <c r="CE144" s="67">
        <f t="shared" si="301"/>
        <v>-20.693458473469157</v>
      </c>
      <c r="CK144" t="str">
        <f t="shared" ref="CK144" si="319">BO144</f>
        <v>92 Elementary administration and service occupations</v>
      </c>
      <c r="CL144" s="67">
        <f t="shared" si="302"/>
        <v>-5.8653357252890039</v>
      </c>
      <c r="CM144" s="67">
        <f t="shared" si="302"/>
        <v>-5.2405531338860509</v>
      </c>
      <c r="CN144" s="67">
        <f t="shared" si="302"/>
        <v>-3.7214390092315952</v>
      </c>
      <c r="CO144" s="67">
        <f t="shared" si="302"/>
        <v>-4.7690175255471257</v>
      </c>
      <c r="CP144" s="67">
        <f t="shared" si="303"/>
        <v>-8.4904565347787209</v>
      </c>
    </row>
    <row r="145" spans="1:94" x14ac:dyDescent="0.2">
      <c r="C145" s="26"/>
      <c r="F145" s="26"/>
      <c r="N145" s="26"/>
      <c r="Q145" s="26"/>
      <c r="Y145" s="26"/>
      <c r="AB145" s="26"/>
      <c r="AJ145" s="26"/>
      <c r="AM145" s="26"/>
      <c r="AU145" s="26"/>
      <c r="AX145" s="26"/>
      <c r="BF145" s="26"/>
      <c r="BI145" s="26"/>
      <c r="BQ145" s="26"/>
      <c r="BT145" s="26"/>
      <c r="CA145" s="68"/>
      <c r="CB145" s="67"/>
      <c r="CC145" s="68"/>
      <c r="CD145" s="68"/>
      <c r="CE145" s="67"/>
      <c r="CL145" s="68"/>
      <c r="CM145" s="67"/>
      <c r="CN145" s="68"/>
      <c r="CO145" s="68"/>
      <c r="CP145" s="67"/>
    </row>
    <row r="146" spans="1:94" x14ac:dyDescent="0.2">
      <c r="A146" s="23" t="str">
        <f t="shared" ref="A146" si="320">A35</f>
        <v>All occupations</v>
      </c>
      <c r="B146" s="28">
        <f>C35-B35</f>
        <v>8.6999849925518653</v>
      </c>
      <c r="C146" s="28">
        <f>D35-C35</f>
        <v>-1.6598919599036819</v>
      </c>
      <c r="D146" s="28">
        <f>E35-D35</f>
        <v>6.6420849143244709</v>
      </c>
      <c r="E146" s="28">
        <f>F35-E35</f>
        <v>11.264197253598397</v>
      </c>
      <c r="F146" s="28">
        <f>F35-D35</f>
        <v>17.906282167922868</v>
      </c>
      <c r="L146" s="23" t="str">
        <f t="shared" ref="L146" si="321">L35</f>
        <v>All occupations</v>
      </c>
      <c r="M146" s="28">
        <f>N35-M35</f>
        <v>67.44223458426859</v>
      </c>
      <c r="N146" s="28">
        <f t="shared" ref="N146" si="322">O35-N35</f>
        <v>-14.877006921538822</v>
      </c>
      <c r="O146" s="28">
        <f>P35-O35</f>
        <v>45.6410566060907</v>
      </c>
      <c r="P146" s="28">
        <f>Q35-P35</f>
        <v>81.381915389562039</v>
      </c>
      <c r="Q146" s="28">
        <f>Q35-O35</f>
        <v>127.02297199565274</v>
      </c>
      <c r="W146" s="23" t="str">
        <f t="shared" ref="W146" si="323">W35</f>
        <v>All occupations</v>
      </c>
      <c r="X146" s="28">
        <f>Y35-X35</f>
        <v>31.24636623867292</v>
      </c>
      <c r="Y146" s="28">
        <f t="shared" ref="Y146" si="324">Z35-Y35</f>
        <v>45.168232458063926</v>
      </c>
      <c r="Z146" s="28">
        <f>AA35-Z35</f>
        <v>43.880989765750599</v>
      </c>
      <c r="AA146" s="28">
        <f>AB35-AA35</f>
        <v>106.05370974507736</v>
      </c>
      <c r="AB146" s="28">
        <f>AB35-Z35</f>
        <v>149.93469951082795</v>
      </c>
      <c r="AH146" s="23" t="str">
        <f t="shared" ref="AH146" si="325">AH35</f>
        <v>All occupations</v>
      </c>
      <c r="AI146" s="28">
        <f>AJ35-AI35</f>
        <v>-1.612359752922174</v>
      </c>
      <c r="AJ146" s="28">
        <f t="shared" ref="AJ146" si="326">AK35-AJ35</f>
        <v>6.6657990008254444</v>
      </c>
      <c r="AK146" s="28">
        <f>AL35-AK35</f>
        <v>3.6744681823903136</v>
      </c>
      <c r="AL146" s="28">
        <f>AM35-AL35</f>
        <v>20.727020102478747</v>
      </c>
      <c r="AM146" s="28">
        <f>AM35-AK35</f>
        <v>24.40148828486906</v>
      </c>
      <c r="AS146" s="23" t="str">
        <f t="shared" ref="AS146" si="327">AS35</f>
        <v>All occupations</v>
      </c>
      <c r="AT146" s="28">
        <f>AU35-AT35</f>
        <v>2.7246117974376602</v>
      </c>
      <c r="AU146" s="28">
        <f t="shared" ref="AU146" si="328">AV35-AU35</f>
        <v>15.114955643337552</v>
      </c>
      <c r="AV146" s="28">
        <f>AW35-AV35</f>
        <v>7.4039149987862061</v>
      </c>
      <c r="AW146" s="28">
        <f>AX35-AW35</f>
        <v>27.091633792325126</v>
      </c>
      <c r="AX146" s="28">
        <f>AX35-AV35</f>
        <v>34.495548791111332</v>
      </c>
      <c r="BD146" s="23" t="str">
        <f t="shared" ref="BD146" si="329">BD35</f>
        <v>All occupations</v>
      </c>
      <c r="BE146" s="28">
        <f>BF35-BE35</f>
        <v>59.720386004859051</v>
      </c>
      <c r="BF146" s="28">
        <f t="shared" ref="BF146" si="330">BG35-BF35</f>
        <v>-9.4526002640233173</v>
      </c>
      <c r="BG146" s="28">
        <f>BH35-BG35</f>
        <v>9.5332869507863052</v>
      </c>
      <c r="BH146" s="28">
        <f>BI35-BH35</f>
        <v>26.202643997175301</v>
      </c>
      <c r="BI146" s="28">
        <f>BI35-BG35</f>
        <v>35.735930947961606</v>
      </c>
      <c r="BO146" s="23" t="str">
        <f t="shared" ref="BO146" si="331">BO35</f>
        <v>All occupations</v>
      </c>
      <c r="BP146" s="28">
        <f>BQ35-BP35</f>
        <v>17.74096574951767</v>
      </c>
      <c r="BQ146" s="28">
        <f t="shared" ref="BQ146" si="332">BR35-BQ35</f>
        <v>-22.894446553594548</v>
      </c>
      <c r="BR146" s="28">
        <f>BS35-BR35</f>
        <v>-35.859052516017982</v>
      </c>
      <c r="BS146" s="28">
        <f>BT35-BS35</f>
        <v>-76.595777959292661</v>
      </c>
      <c r="BT146" s="28">
        <f>BT35-BR35</f>
        <v>-112.45483047531064</v>
      </c>
      <c r="BZ146" s="23" t="str">
        <f t="shared" ref="BZ146" si="333">BZ35</f>
        <v>All occupations</v>
      </c>
      <c r="CA146" s="69">
        <f>CB35-CA35</f>
        <v>-48.673213613161977</v>
      </c>
      <c r="CB146" s="69">
        <f t="shared" ref="CB146" si="334">CC35-CB35</f>
        <v>-2.8035963393263614</v>
      </c>
      <c r="CC146" s="69">
        <f>CD35-CC35</f>
        <v>-37.565462253845055</v>
      </c>
      <c r="CD146" s="69">
        <f>CE35-CD35</f>
        <v>-104.80713771055747</v>
      </c>
      <c r="CE146" s="69">
        <f>CE35-CC35</f>
        <v>-142.37259996440253</v>
      </c>
      <c r="CK146" s="23" t="str">
        <f t="shared" ref="CK146" si="335">CK35</f>
        <v>All occupations</v>
      </c>
      <c r="CL146" s="69">
        <f>CM35-CL35</f>
        <v>-6.3959760016462468</v>
      </c>
      <c r="CM146" s="69">
        <f t="shared" ref="CM146" si="336">CN35-CM35</f>
        <v>-16.407445064308632</v>
      </c>
      <c r="CN146" s="69">
        <f>CO35-CN35</f>
        <v>-4.7892866419028337</v>
      </c>
      <c r="CO146" s="69">
        <f>CP35-CO35</f>
        <v>-23.424204615797827</v>
      </c>
      <c r="CP146" s="69">
        <f>CP35-CN35</f>
        <v>-28.21349125770066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0" customWidth="1"/>
    <col min="2" max="4" width="11.7109375" style="90" customWidth="1"/>
    <col min="5" max="5" width="14.7109375" style="90" customWidth="1"/>
    <col min="6" max="8" width="11.7109375" style="90" customWidth="1"/>
    <col min="9" max="9" width="16.5703125" style="90" customWidth="1"/>
    <col min="10" max="11" width="11.7109375" style="90" customWidth="1"/>
    <col min="12" max="12" width="2.7109375" style="90" customWidth="1"/>
    <col min="13" max="22" width="11.7109375" style="90" customWidth="1"/>
    <col min="23" max="23" width="2.7109375" style="90" customWidth="1"/>
    <col min="24" max="32" width="11.7109375" style="90" customWidth="1"/>
    <col min="33" max="33" width="12.85546875" style="90" customWidth="1"/>
    <col min="34" max="16384" width="9.140625" style="90"/>
  </cols>
  <sheetData>
    <row r="1" spans="1:33" ht="15.75" x14ac:dyDescent="0.25">
      <c r="A1" s="18" t="str">
        <f>CONCATENATE("Basic Table 3  Occupation by Qualification in ",A$6,", ",Info!B5)</f>
        <v>Basic Table 3  Occupation by Qualification in 2020, East Midlands</v>
      </c>
    </row>
    <row r="2" spans="1:33" x14ac:dyDescent="0.2">
      <c r="A2" s="181" t="s">
        <v>540</v>
      </c>
    </row>
    <row r="3" spans="1:33" x14ac:dyDescent="0.2">
      <c r="AG3" s="91"/>
    </row>
    <row r="4" spans="1:33" x14ac:dyDescent="0.2">
      <c r="A4" s="95"/>
      <c r="B4" s="94" t="s">
        <v>466</v>
      </c>
      <c r="C4" s="94"/>
      <c r="D4" s="94"/>
      <c r="E4" s="94"/>
      <c r="F4" s="94"/>
      <c r="G4" s="94"/>
      <c r="H4" s="94"/>
      <c r="I4" s="94"/>
      <c r="J4" s="94"/>
      <c r="K4" s="94"/>
      <c r="L4" s="95"/>
      <c r="M4" s="94" t="s">
        <v>464</v>
      </c>
      <c r="N4" s="94"/>
      <c r="O4" s="94"/>
      <c r="P4" s="94"/>
      <c r="Q4" s="94"/>
      <c r="R4" s="94"/>
      <c r="S4" s="94"/>
      <c r="T4" s="94"/>
      <c r="U4" s="94"/>
      <c r="V4" s="94"/>
      <c r="W4" s="95"/>
      <c r="X4" s="94" t="s">
        <v>465</v>
      </c>
      <c r="Y4" s="94"/>
      <c r="Z4" s="94"/>
      <c r="AA4" s="94"/>
      <c r="AB4" s="94"/>
      <c r="AC4" s="94"/>
      <c r="AD4" s="94"/>
      <c r="AE4" s="94"/>
      <c r="AF4" s="94"/>
    </row>
    <row r="5" spans="1:33" x14ac:dyDescent="0.2">
      <c r="B5" s="91"/>
      <c r="C5" s="91"/>
      <c r="D5" s="91"/>
      <c r="E5" s="91"/>
      <c r="F5" s="91"/>
      <c r="G5" s="91"/>
      <c r="H5" s="91"/>
      <c r="I5" s="91"/>
      <c r="J5" s="91"/>
      <c r="K5" s="91"/>
      <c r="M5" s="91"/>
      <c r="N5" s="91"/>
      <c r="O5" s="91"/>
      <c r="P5" s="91"/>
      <c r="Q5" s="91"/>
      <c r="R5" s="91"/>
      <c r="S5" s="91"/>
      <c r="T5" s="91"/>
      <c r="U5" s="91"/>
      <c r="V5" s="91"/>
      <c r="X5" s="91"/>
      <c r="Y5" s="91"/>
      <c r="Z5" s="91"/>
      <c r="AA5" s="91"/>
      <c r="AB5" s="91"/>
      <c r="AC5" s="91"/>
      <c r="AD5" s="91"/>
      <c r="AE5" s="91"/>
      <c r="AF5" s="91"/>
      <c r="AG5" s="91"/>
    </row>
    <row r="6" spans="1:33" ht="51" x14ac:dyDescent="0.2">
      <c r="A6" s="99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1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1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8">
        <f>'Basic T2'!D8</f>
        <v>2.2464468145713044</v>
      </c>
      <c r="C8" s="68">
        <f>'Basic T2'!O8</f>
        <v>18.805725930914523</v>
      </c>
      <c r="D8" s="68">
        <f>'Basic T2'!Z8</f>
        <v>50.504619693831081</v>
      </c>
      <c r="E8" s="68">
        <f>'Basic T2'!AK8</f>
        <v>9.0918310296515905</v>
      </c>
      <c r="F8" s="68">
        <f>'Basic T2'!AV8</f>
        <v>14.537905124916351</v>
      </c>
      <c r="G8" s="68">
        <f>'Basic T2'!BG8</f>
        <v>37.412303377819001</v>
      </c>
      <c r="H8" s="68">
        <f>'Basic T2'!BR8</f>
        <v>26.199438374224332</v>
      </c>
      <c r="I8" s="68">
        <f>'Basic T2'!CC8</f>
        <v>19.332420395558426</v>
      </c>
      <c r="J8" s="68">
        <f>'Basic T2'!CN8</f>
        <v>3.1376067236630178</v>
      </c>
      <c r="K8" s="309">
        <f>SUM(B8:J8)</f>
        <v>181.26829746514963</v>
      </c>
      <c r="L8" s="96"/>
      <c r="M8" s="96">
        <f t="shared" ref="M8:M33" si="0">B8/B$35*100</f>
        <v>7.2573580430765947</v>
      </c>
      <c r="N8" s="96">
        <f t="shared" ref="N8:N33" si="1">C8/C$35*100</f>
        <v>8.8291915963058329</v>
      </c>
      <c r="O8" s="96">
        <f t="shared" ref="O8:O33" si="2">D8/D$35*100</f>
        <v>11.047198383836987</v>
      </c>
      <c r="P8" s="96">
        <f t="shared" ref="P8:P33" si="3">E8/E$35*100</f>
        <v>7.0963576745576367</v>
      </c>
      <c r="Q8" s="96">
        <f t="shared" ref="Q8:Q33" si="4">F8/F$35*100</f>
        <v>10.797624786305796</v>
      </c>
      <c r="R8" s="96">
        <f t="shared" ref="R8:R33" si="5">G8/G$35*100</f>
        <v>6.996622037162072</v>
      </c>
      <c r="S8" s="96">
        <f t="shared" ref="S8:S33" si="6">H8/H$35*100</f>
        <v>5.2688254616679258</v>
      </c>
      <c r="T8" s="96">
        <f t="shared" ref="T8:T33" si="7">I8/I$35*100</f>
        <v>6.0183326904371537</v>
      </c>
      <c r="U8" s="96">
        <f t="shared" ref="U8:U33" si="8">J8/J$35*100</f>
        <v>3.5998513049684489</v>
      </c>
      <c r="V8" s="96">
        <f t="shared" ref="V8:V33" si="9">K8/K$35*100</f>
        <v>7.5395321704953906</v>
      </c>
      <c r="W8" s="96"/>
      <c r="X8" s="96">
        <f t="shared" ref="X8:X32" si="10">IF($K8&gt;0,B8/$K8*100,0)</f>
        <v>1.2392938235673576</v>
      </c>
      <c r="Y8" s="96">
        <f t="shared" ref="Y8:AG23" si="11">IF($K8&gt;0,C8/$K8*100,0)</f>
        <v>10.374525603149158</v>
      </c>
      <c r="Z8" s="96">
        <f t="shared" si="11"/>
        <v>27.861805070211474</v>
      </c>
      <c r="AA8" s="96">
        <f t="shared" si="11"/>
        <v>5.0156762968436723</v>
      </c>
      <c r="AB8" s="96">
        <f t="shared" si="11"/>
        <v>8.0201035306305481</v>
      </c>
      <c r="AC8" s="96">
        <f t="shared" si="11"/>
        <v>20.639187271570105</v>
      </c>
      <c r="AD8" s="96">
        <f t="shared" si="11"/>
        <v>14.453403458076499</v>
      </c>
      <c r="AE8" s="96">
        <f t="shared" si="11"/>
        <v>10.665086320058393</v>
      </c>
      <c r="AF8" s="96">
        <f>IF($K8&gt;0,J8/$K8*100,0)</f>
        <v>1.7309186258927873</v>
      </c>
      <c r="AG8" s="96">
        <f t="shared" si="11"/>
        <v>100</v>
      </c>
    </row>
    <row r="9" spans="1:33" x14ac:dyDescent="0.2">
      <c r="A9" s="10" t="str">
        <f>name!D5</f>
        <v>12 Other managers and proprietors</v>
      </c>
      <c r="B9" s="68">
        <f>'Basic T2'!D9</f>
        <v>0.79343181403147189</v>
      </c>
      <c r="C9" s="68">
        <f>'Basic T2'!O9</f>
        <v>7.0135695177267463</v>
      </c>
      <c r="D9" s="68">
        <f>'Basic T2'!Z9</f>
        <v>17.490626286761522</v>
      </c>
      <c r="E9" s="68">
        <f>'Basic T2'!AK9</f>
        <v>4.7944726211474666</v>
      </c>
      <c r="F9" s="68">
        <f>'Basic T2'!AV9</f>
        <v>5.7558322769661752</v>
      </c>
      <c r="G9" s="68">
        <f>'Basic T2'!BG9</f>
        <v>16.04403281549666</v>
      </c>
      <c r="H9" s="68">
        <f>'Basic T2'!BR9</f>
        <v>15.160055101131771</v>
      </c>
      <c r="I9" s="68">
        <f>'Basic T2'!CC9</f>
        <v>10.148475644988521</v>
      </c>
      <c r="J9" s="68">
        <f>'Basic T2'!CN9</f>
        <v>3.1301443634611665</v>
      </c>
      <c r="K9" s="309">
        <f>SUM(B9:J9)</f>
        <v>80.330640441711509</v>
      </c>
      <c r="L9" s="96"/>
      <c r="M9" s="96">
        <f t="shared" si="0"/>
        <v>2.5632562141441184</v>
      </c>
      <c r="N9" s="96">
        <f t="shared" si="1"/>
        <v>3.2928348139022554</v>
      </c>
      <c r="O9" s="96">
        <f t="shared" si="2"/>
        <v>3.8258365198819604</v>
      </c>
      <c r="P9" s="96">
        <f t="shared" si="3"/>
        <v>3.7421826769079436</v>
      </c>
      <c r="Q9" s="96">
        <f t="shared" si="4"/>
        <v>4.2749843753672518</v>
      </c>
      <c r="R9" s="96">
        <f t="shared" si="5"/>
        <v>3.0004576951123658</v>
      </c>
      <c r="S9" s="96">
        <f t="shared" si="6"/>
        <v>3.0487555945365421</v>
      </c>
      <c r="T9" s="96">
        <f t="shared" si="7"/>
        <v>3.1592993263467393</v>
      </c>
      <c r="U9" s="96">
        <f t="shared" si="8"/>
        <v>3.5912895604680362</v>
      </c>
      <c r="V9" s="96">
        <f t="shared" si="9"/>
        <v>3.341209998418087</v>
      </c>
      <c r="W9" s="96"/>
      <c r="X9" s="96">
        <f t="shared" si="10"/>
        <v>0.98770756671259419</v>
      </c>
      <c r="Y9" s="96">
        <f t="shared" si="11"/>
        <v>8.7308771337579998</v>
      </c>
      <c r="Z9" s="96">
        <f t="shared" si="11"/>
        <v>21.773293715307606</v>
      </c>
      <c r="AA9" s="96">
        <f t="shared" si="11"/>
        <v>5.9684232501872936</v>
      </c>
      <c r="AB9" s="96">
        <f t="shared" si="11"/>
        <v>7.1651766316274399</v>
      </c>
      <c r="AC9" s="96">
        <f t="shared" si="11"/>
        <v>19.97249458895865</v>
      </c>
      <c r="AD9" s="96">
        <f t="shared" si="11"/>
        <v>18.872070504818169</v>
      </c>
      <c r="AE9" s="96">
        <f t="shared" si="11"/>
        <v>12.633380723949697</v>
      </c>
      <c r="AF9" s="96">
        <f t="shared" si="11"/>
        <v>3.8965758846805434</v>
      </c>
      <c r="AG9" s="96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8">
        <f>'Basic T2'!D10</f>
        <v>6.4494155078123478</v>
      </c>
      <c r="C10" s="68">
        <f>'Basic T2'!O10</f>
        <v>24.469686689401318</v>
      </c>
      <c r="D10" s="68">
        <f>'Basic T2'!Z10</f>
        <v>46.440502532201194</v>
      </c>
      <c r="E10" s="68">
        <f>'Basic T2'!AK10</f>
        <v>4.9400125631399039</v>
      </c>
      <c r="F10" s="68">
        <f>'Basic T2'!AV10</f>
        <v>13.53359571692639</v>
      </c>
      <c r="G10" s="68">
        <f>'Basic T2'!BG10</f>
        <v>24.133322665275383</v>
      </c>
      <c r="H10" s="68">
        <f>'Basic T2'!BR10</f>
        <v>15.20871442337773</v>
      </c>
      <c r="I10" s="68">
        <f>'Basic T2'!CC10</f>
        <v>9.3003886844387598</v>
      </c>
      <c r="J10" s="68">
        <f>'Basic T2'!CN10</f>
        <v>1.6772991746810768</v>
      </c>
      <c r="K10" s="309">
        <f t="shared" ref="K10:K32" si="12">SUM(B10:J10)</f>
        <v>146.1529379572541</v>
      </c>
      <c r="L10" s="96"/>
      <c r="M10" s="96">
        <f t="shared" si="0"/>
        <v>20.835444313733699</v>
      </c>
      <c r="N10" s="96">
        <f t="shared" si="1"/>
        <v>11.488392039529868</v>
      </c>
      <c r="O10" s="96">
        <f t="shared" si="2"/>
        <v>10.15822805177911</v>
      </c>
      <c r="P10" s="96">
        <f t="shared" si="3"/>
        <v>3.8557795399539434</v>
      </c>
      <c r="Q10" s="96">
        <f t="shared" si="4"/>
        <v>10.051701899641278</v>
      </c>
      <c r="R10" s="96">
        <f t="shared" si="5"/>
        <v>4.5132676137208234</v>
      </c>
      <c r="S10" s="96">
        <f t="shared" si="6"/>
        <v>3.0585412041490461</v>
      </c>
      <c r="T10" s="96">
        <f t="shared" si="7"/>
        <v>2.8952832655237106</v>
      </c>
      <c r="U10" s="96">
        <f t="shared" si="8"/>
        <v>1.9244054958388939</v>
      </c>
      <c r="V10" s="96">
        <f t="shared" si="9"/>
        <v>6.0789712980726174</v>
      </c>
      <c r="W10" s="96"/>
      <c r="X10" s="96">
        <f t="shared" si="10"/>
        <v>4.412785399975081</v>
      </c>
      <c r="Y10" s="96">
        <f t="shared" si="11"/>
        <v>16.742521246174373</v>
      </c>
      <c r="Z10" s="96">
        <f t="shared" si="11"/>
        <v>31.775278130764516</v>
      </c>
      <c r="AA10" s="96">
        <f t="shared" si="11"/>
        <v>3.3800295992576821</v>
      </c>
      <c r="AB10" s="96">
        <f t="shared" si="11"/>
        <v>9.2598861891401825</v>
      </c>
      <c r="AC10" s="96">
        <f t="shared" si="11"/>
        <v>16.512376010076341</v>
      </c>
      <c r="AD10" s="96">
        <f t="shared" si="11"/>
        <v>10.406027163015965</v>
      </c>
      <c r="AE10" s="96">
        <f t="shared" si="11"/>
        <v>6.3634633791343136</v>
      </c>
      <c r="AF10" s="96">
        <f t="shared" si="11"/>
        <v>1.1476328824615505</v>
      </c>
      <c r="AG10" s="96">
        <f t="shared" si="11"/>
        <v>100</v>
      </c>
    </row>
    <row r="11" spans="1:33" x14ac:dyDescent="0.2">
      <c r="A11" s="10" t="str">
        <f>name!D7</f>
        <v>22 Health professionals</v>
      </c>
      <c r="B11" s="68">
        <f>'Basic T2'!D11</f>
        <v>5.6264819920597624</v>
      </c>
      <c r="C11" s="68">
        <f>'Basic T2'!O11</f>
        <v>16.787582272400563</v>
      </c>
      <c r="D11" s="68">
        <f>'Basic T2'!Z11</f>
        <v>37.649994698274462</v>
      </c>
      <c r="E11" s="68">
        <f>'Basic T2'!AK11</f>
        <v>11.79990383512887</v>
      </c>
      <c r="F11" s="68">
        <f>'Basic T2'!AV11</f>
        <v>2.8119107875140541</v>
      </c>
      <c r="G11" s="68">
        <f>'Basic T2'!BG11</f>
        <v>10.530106298414324</v>
      </c>
      <c r="H11" s="68">
        <f>'Basic T2'!BR11</f>
        <v>7.7458837676269843</v>
      </c>
      <c r="I11" s="68">
        <f>'Basic T2'!CC11</f>
        <v>4.2210347614891681</v>
      </c>
      <c r="J11" s="68">
        <f>'Basic T2'!CN11</f>
        <v>0.50450969539552215</v>
      </c>
      <c r="K11" s="309">
        <f t="shared" si="12"/>
        <v>97.677408108303709</v>
      </c>
      <c r="L11" s="96"/>
      <c r="M11" s="96">
        <f t="shared" si="0"/>
        <v>18.176880073207023</v>
      </c>
      <c r="N11" s="96">
        <f t="shared" si="1"/>
        <v>7.8816835290635252</v>
      </c>
      <c r="O11" s="96">
        <f t="shared" si="2"/>
        <v>8.2354240682076156</v>
      </c>
      <c r="P11" s="96">
        <f t="shared" si="3"/>
        <v>9.2100631727938875</v>
      </c>
      <c r="Q11" s="96">
        <f t="shared" si="4"/>
        <v>2.0884685486153978</v>
      </c>
      <c r="R11" s="96">
        <f t="shared" si="5"/>
        <v>1.969276605001159</v>
      </c>
      <c r="S11" s="96">
        <f t="shared" si="6"/>
        <v>1.5577322320826896</v>
      </c>
      <c r="T11" s="96">
        <f t="shared" si="7"/>
        <v>1.3140409205242747</v>
      </c>
      <c r="U11" s="96">
        <f t="shared" si="8"/>
        <v>0.57883605094347779</v>
      </c>
      <c r="V11" s="96">
        <f t="shared" si="9"/>
        <v>4.0627179217852492</v>
      </c>
      <c r="W11" s="96"/>
      <c r="X11" s="96">
        <f t="shared" si="10"/>
        <v>5.7602695454625259</v>
      </c>
      <c r="Y11" s="96">
        <f t="shared" si="11"/>
        <v>17.186760580078726</v>
      </c>
      <c r="Z11" s="96">
        <f t="shared" si="11"/>
        <v>38.545243396025143</v>
      </c>
      <c r="AA11" s="96">
        <f t="shared" si="11"/>
        <v>12.080484181199051</v>
      </c>
      <c r="AB11" s="96">
        <f t="shared" si="11"/>
        <v>2.8787729342656556</v>
      </c>
      <c r="AC11" s="96">
        <f t="shared" si="11"/>
        <v>10.780493158396105</v>
      </c>
      <c r="AD11" s="96">
        <f t="shared" si="11"/>
        <v>7.9300668574645501</v>
      </c>
      <c r="AE11" s="96">
        <f t="shared" si="11"/>
        <v>4.3214033247165284</v>
      </c>
      <c r="AF11" s="96">
        <f t="shared" si="11"/>
        <v>0.51650602239171517</v>
      </c>
      <c r="AG11" s="96">
        <f t="shared" si="11"/>
        <v>100</v>
      </c>
    </row>
    <row r="12" spans="1:33" x14ac:dyDescent="0.2">
      <c r="A12" s="10" t="str">
        <f>name!D8</f>
        <v>23 Teaching and other educational professionals</v>
      </c>
      <c r="B12" s="68">
        <f>'Basic T2'!D12</f>
        <v>8.0355786637262749</v>
      </c>
      <c r="C12" s="68">
        <f>'Basic T2'!O12</f>
        <v>44.000534420312533</v>
      </c>
      <c r="D12" s="68">
        <f>'Basic T2'!Z12</f>
        <v>26.235408930703251</v>
      </c>
      <c r="E12" s="68">
        <f>'Basic T2'!AK12</f>
        <v>2.145909725897222</v>
      </c>
      <c r="F12" s="68">
        <f>'Basic T2'!AV12</f>
        <v>1.1977558467286813</v>
      </c>
      <c r="G12" s="68">
        <f>'Basic T2'!BG12</f>
        <v>4.9930122196626616</v>
      </c>
      <c r="H12" s="68">
        <f>'Basic T2'!BR12</f>
        <v>3.4776474357959577</v>
      </c>
      <c r="I12" s="68">
        <f>'Basic T2'!CC12</f>
        <v>2.5871366115392584</v>
      </c>
      <c r="J12" s="68">
        <f>'Basic T2'!CN12</f>
        <v>0.61589309488090538</v>
      </c>
      <c r="K12" s="309">
        <f t="shared" si="12"/>
        <v>93.288876949246756</v>
      </c>
      <c r="L12" s="96"/>
      <c r="M12" s="96">
        <f t="shared" si="0"/>
        <v>25.959693800762146</v>
      </c>
      <c r="N12" s="96">
        <f t="shared" si="1"/>
        <v>20.658024591231332</v>
      </c>
      <c r="O12" s="96">
        <f t="shared" si="2"/>
        <v>5.7386387402887156</v>
      </c>
      <c r="P12" s="96">
        <f t="shared" si="3"/>
        <v>1.6749258650556098</v>
      </c>
      <c r="Q12" s="96">
        <f t="shared" si="4"/>
        <v>0.88959985000966291</v>
      </c>
      <c r="R12" s="96">
        <f t="shared" si="5"/>
        <v>0.93376285803945147</v>
      </c>
      <c r="S12" s="96">
        <f t="shared" si="6"/>
        <v>0.69937061606834527</v>
      </c>
      <c r="T12" s="96">
        <f t="shared" si="7"/>
        <v>0.80539573034687129</v>
      </c>
      <c r="U12" s="96">
        <f t="shared" si="8"/>
        <v>0.70662889157111752</v>
      </c>
      <c r="V12" s="96">
        <f t="shared" si="9"/>
        <v>3.8801847799307412</v>
      </c>
      <c r="W12" s="96"/>
      <c r="X12" s="96">
        <f t="shared" si="10"/>
        <v>8.6136514089434062</v>
      </c>
      <c r="Y12" s="96">
        <f t="shared" si="11"/>
        <v>47.165895720076847</v>
      </c>
      <c r="Z12" s="96">
        <f t="shared" si="11"/>
        <v>28.122762100541166</v>
      </c>
      <c r="AA12" s="96">
        <f t="shared" si="11"/>
        <v>2.3002846599436402</v>
      </c>
      <c r="AB12" s="96">
        <f t="shared" si="11"/>
        <v>1.2839213911646863</v>
      </c>
      <c r="AC12" s="96">
        <f t="shared" si="11"/>
        <v>5.3522053035101704</v>
      </c>
      <c r="AD12" s="96">
        <f t="shared" si="11"/>
        <v>3.7278264564037475</v>
      </c>
      <c r="AE12" s="96">
        <f t="shared" si="11"/>
        <v>2.7732530352431772</v>
      </c>
      <c r="AF12" s="96">
        <f t="shared" si="11"/>
        <v>0.66019992417314477</v>
      </c>
      <c r="AG12" s="96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8">
        <f>'Basic T2'!D13</f>
        <v>2.3643316493577045</v>
      </c>
      <c r="C13" s="68">
        <f>'Basic T2'!O13</f>
        <v>31.915699296413084</v>
      </c>
      <c r="D13" s="68">
        <f>'Basic T2'!Z13</f>
        <v>58.790334208259829</v>
      </c>
      <c r="E13" s="68">
        <f>'Basic T2'!AK13</f>
        <v>5.2002788619239029</v>
      </c>
      <c r="F13" s="68">
        <f>'Basic T2'!AV13</f>
        <v>9.5746602022642655</v>
      </c>
      <c r="G13" s="68">
        <f>'Basic T2'!BG13</f>
        <v>23.412311417348466</v>
      </c>
      <c r="H13" s="68">
        <f>'Basic T2'!BR13</f>
        <v>15.323536670701657</v>
      </c>
      <c r="I13" s="68">
        <f>'Basic T2'!CC13</f>
        <v>9.8764310819350012</v>
      </c>
      <c r="J13" s="68">
        <f>'Basic T2'!CN13</f>
        <v>1.9193388079295064</v>
      </c>
      <c r="K13" s="309">
        <f t="shared" si="12"/>
        <v>158.37692219613342</v>
      </c>
      <c r="L13" s="96"/>
      <c r="M13" s="96">
        <f t="shared" si="0"/>
        <v>7.6381961062546448</v>
      </c>
      <c r="N13" s="96">
        <f t="shared" si="1"/>
        <v>14.98425665955725</v>
      </c>
      <c r="O13" s="96">
        <f t="shared" si="2"/>
        <v>12.859585697069493</v>
      </c>
      <c r="P13" s="96">
        <f t="shared" si="3"/>
        <v>4.0589226406980101</v>
      </c>
      <c r="Q13" s="96">
        <f t="shared" si="4"/>
        <v>7.1113126294404232</v>
      </c>
      <c r="R13" s="96">
        <f t="shared" si="5"/>
        <v>4.3784284637400699</v>
      </c>
      <c r="S13" s="96">
        <f t="shared" si="6"/>
        <v>3.0816324770085979</v>
      </c>
      <c r="T13" s="96">
        <f t="shared" si="7"/>
        <v>3.0746097399638126</v>
      </c>
      <c r="U13" s="96">
        <f t="shared" si="8"/>
        <v>2.202103361231734</v>
      </c>
      <c r="V13" s="96">
        <f t="shared" si="9"/>
        <v>6.5874061634598124</v>
      </c>
      <c r="W13" s="96"/>
      <c r="X13" s="96">
        <f t="shared" si="10"/>
        <v>1.4928511152841601</v>
      </c>
      <c r="Y13" s="96">
        <f t="shared" si="11"/>
        <v>20.151736031900402</v>
      </c>
      <c r="Z13" s="96">
        <f t="shared" si="11"/>
        <v>37.120518187273575</v>
      </c>
      <c r="AA13" s="96">
        <f t="shared" si="11"/>
        <v>3.2834827131467397</v>
      </c>
      <c r="AB13" s="96">
        <f t="shared" si="11"/>
        <v>6.0454895002991913</v>
      </c>
      <c r="AC13" s="96">
        <f t="shared" si="11"/>
        <v>14.782653364329649</v>
      </c>
      <c r="AD13" s="96">
        <f t="shared" si="11"/>
        <v>9.6753595525268778</v>
      </c>
      <c r="AE13" s="96">
        <f t="shared" si="11"/>
        <v>6.2360291796200356</v>
      </c>
      <c r="AF13" s="96">
        <f t="shared" si="11"/>
        <v>1.2118803556193647</v>
      </c>
      <c r="AG13" s="96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8">
        <f>'Basic T2'!D14</f>
        <v>0.83669401683848921</v>
      </c>
      <c r="C14" s="68">
        <f>'Basic T2'!O14</f>
        <v>4.5274234548156995</v>
      </c>
      <c r="D14" s="68">
        <f>'Basic T2'!Z14</f>
        <v>11.311802398252409</v>
      </c>
      <c r="E14" s="68">
        <f>'Basic T2'!AK14</f>
        <v>2.0445996646338163</v>
      </c>
      <c r="F14" s="68">
        <f>'Basic T2'!AV14</f>
        <v>5.109131781489693</v>
      </c>
      <c r="G14" s="68">
        <f>'Basic T2'!BG14</f>
        <v>10.691585310324964</v>
      </c>
      <c r="H14" s="68">
        <f>'Basic T2'!BR14</f>
        <v>7.1008408393359765</v>
      </c>
      <c r="I14" s="68">
        <f>'Basic T2'!CC14</f>
        <v>6.2121345829137935</v>
      </c>
      <c r="J14" s="68">
        <f>'Basic T2'!CN14</f>
        <v>1.0622292991685967</v>
      </c>
      <c r="K14" s="309">
        <f t="shared" si="12"/>
        <v>48.89644134777344</v>
      </c>
      <c r="L14" s="96"/>
      <c r="M14" s="96">
        <f t="shared" si="0"/>
        <v>2.7030188354829341</v>
      </c>
      <c r="N14" s="96">
        <f t="shared" si="1"/>
        <v>2.1256020249909482</v>
      </c>
      <c r="O14" s="96">
        <f t="shared" si="2"/>
        <v>2.4743028643678935</v>
      </c>
      <c r="P14" s="96">
        <f t="shared" si="3"/>
        <v>1.5958513168802437</v>
      </c>
      <c r="Q14" s="96">
        <f t="shared" si="4"/>
        <v>3.794665564694502</v>
      </c>
      <c r="R14" s="96">
        <f t="shared" si="5"/>
        <v>1.9994754302876818</v>
      </c>
      <c r="S14" s="96">
        <f t="shared" si="6"/>
        <v>1.428011184024188</v>
      </c>
      <c r="T14" s="96">
        <f t="shared" si="7"/>
        <v>1.9338857666438267</v>
      </c>
      <c r="U14" s="96">
        <f t="shared" si="8"/>
        <v>1.2187211035561514</v>
      </c>
      <c r="V14" s="96">
        <f t="shared" si="9"/>
        <v>2.0337604408468399</v>
      </c>
      <c r="W14" s="96"/>
      <c r="X14" s="96">
        <f t="shared" si="10"/>
        <v>1.7111552370192868</v>
      </c>
      <c r="Y14" s="96">
        <f t="shared" si="11"/>
        <v>9.2592085027510116</v>
      </c>
      <c r="Z14" s="96">
        <f t="shared" si="11"/>
        <v>23.134203812088884</v>
      </c>
      <c r="AA14" s="96">
        <f t="shared" si="11"/>
        <v>4.1814897122915458</v>
      </c>
      <c r="AB14" s="96">
        <f t="shared" si="11"/>
        <v>10.4488826602968</v>
      </c>
      <c r="AC14" s="96">
        <f t="shared" si="11"/>
        <v>21.865773900152792</v>
      </c>
      <c r="AD14" s="96">
        <f t="shared" si="11"/>
        <v>14.522203750640275</v>
      </c>
      <c r="AE14" s="96">
        <f t="shared" si="11"/>
        <v>12.704676274353597</v>
      </c>
      <c r="AF14" s="96">
        <f t="shared" si="11"/>
        <v>2.1724061504058039</v>
      </c>
      <c r="AG14" s="96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8">
        <f>'Basic T2'!D15</f>
        <v>0.17804935826636681</v>
      </c>
      <c r="C15" s="68">
        <f>'Basic T2'!O15</f>
        <v>4.2797847244070386</v>
      </c>
      <c r="D15" s="68">
        <f>'Basic T2'!Z15</f>
        <v>12.658988387421289</v>
      </c>
      <c r="E15" s="68">
        <f>'Basic T2'!AK15</f>
        <v>6.1808571974984314</v>
      </c>
      <c r="F15" s="68">
        <f>'Basic T2'!AV15</f>
        <v>2.1542387510571275</v>
      </c>
      <c r="G15" s="68">
        <f>'Basic T2'!BG15</f>
        <v>9.2813408349669864</v>
      </c>
      <c r="H15" s="68">
        <f>'Basic T2'!BR15</f>
        <v>6.7846131226644575</v>
      </c>
      <c r="I15" s="68">
        <f>'Basic T2'!CC15</f>
        <v>1.9978622916732287</v>
      </c>
      <c r="J15" s="68">
        <f>'Basic T2'!CN15</f>
        <v>0.2928042437341184</v>
      </c>
      <c r="K15" s="309">
        <f t="shared" si="12"/>
        <v>43.808538911689041</v>
      </c>
      <c r="L15" s="96"/>
      <c r="M15" s="96">
        <f t="shared" si="0"/>
        <v>0.57520522359913129</v>
      </c>
      <c r="N15" s="96">
        <f t="shared" si="1"/>
        <v>2.0093369148071551</v>
      </c>
      <c r="O15" s="96">
        <f t="shared" si="2"/>
        <v>2.7689814694637387</v>
      </c>
      <c r="P15" s="96">
        <f t="shared" si="3"/>
        <v>4.8242838286111027</v>
      </c>
      <c r="Q15" s="96">
        <f t="shared" si="4"/>
        <v>1.6000009309572873</v>
      </c>
      <c r="R15" s="96">
        <f t="shared" si="5"/>
        <v>1.735740062955939</v>
      </c>
      <c r="S15" s="96">
        <f t="shared" si="6"/>
        <v>1.3644163610556466</v>
      </c>
      <c r="T15" s="96">
        <f t="shared" si="7"/>
        <v>0.62195005565527206</v>
      </c>
      <c r="U15" s="96">
        <f t="shared" si="8"/>
        <v>0.33594131825291568</v>
      </c>
      <c r="V15" s="96">
        <f t="shared" si="9"/>
        <v>1.8221381956245317</v>
      </c>
      <c r="W15" s="96"/>
      <c r="X15" s="96">
        <f t="shared" si="10"/>
        <v>0.40642615044817093</v>
      </c>
      <c r="Y15" s="96">
        <f t="shared" si="11"/>
        <v>9.7692934544893077</v>
      </c>
      <c r="Z15" s="96">
        <f t="shared" si="11"/>
        <v>28.896166596516199</v>
      </c>
      <c r="AA15" s="96">
        <f t="shared" si="11"/>
        <v>14.108795570557703</v>
      </c>
      <c r="AB15" s="96">
        <f t="shared" si="11"/>
        <v>4.9173946554111874</v>
      </c>
      <c r="AC15" s="96">
        <f t="shared" si="11"/>
        <v>21.186145590649975</v>
      </c>
      <c r="AD15" s="96">
        <f t="shared" si="11"/>
        <v>15.486965078523035</v>
      </c>
      <c r="AE15" s="96">
        <f t="shared" si="11"/>
        <v>4.5604403646069942</v>
      </c>
      <c r="AF15" s="96">
        <f t="shared" si="11"/>
        <v>0.66837253879743541</v>
      </c>
      <c r="AG15" s="96">
        <f t="shared" si="11"/>
        <v>100</v>
      </c>
    </row>
    <row r="16" spans="1:33" x14ac:dyDescent="0.2">
      <c r="A16" s="10" t="str">
        <f>name!D12</f>
        <v>33 Protective service occupations</v>
      </c>
      <c r="B16" s="68">
        <f>'Basic T2'!D16</f>
        <v>8.2425309127186083E-2</v>
      </c>
      <c r="C16" s="68">
        <f>'Basic T2'!O16</f>
        <v>1.2954075792655328</v>
      </c>
      <c r="D16" s="68">
        <f>'Basic T2'!Z16</f>
        <v>6.190894388640956</v>
      </c>
      <c r="E16" s="68">
        <f>'Basic T2'!AK16</f>
        <v>1.7511234992303564</v>
      </c>
      <c r="F16" s="68">
        <f>'Basic T2'!AV16</f>
        <v>1.2469610677201208</v>
      </c>
      <c r="G16" s="68">
        <f>'Basic T2'!BG16</f>
        <v>6.1175411636457797</v>
      </c>
      <c r="H16" s="68">
        <f>'Basic T2'!BR16</f>
        <v>6.1064273714251716</v>
      </c>
      <c r="I16" s="68">
        <f>'Basic T2'!CC16</f>
        <v>3.2146274251961078</v>
      </c>
      <c r="J16" s="68">
        <f>'Basic T2'!CN16</f>
        <v>0.41773733607969721</v>
      </c>
      <c r="K16" s="309">
        <f t="shared" si="12"/>
        <v>26.423145140330902</v>
      </c>
      <c r="L16" s="96"/>
      <c r="M16" s="96">
        <f t="shared" si="0"/>
        <v>0.26628272535417796</v>
      </c>
      <c r="N16" s="96">
        <f t="shared" si="1"/>
        <v>0.60818719546690336</v>
      </c>
      <c r="O16" s="96">
        <f t="shared" si="2"/>
        <v>1.3541739131846908</v>
      </c>
      <c r="P16" s="96">
        <f t="shared" si="3"/>
        <v>1.3667872447622649</v>
      </c>
      <c r="Q16" s="96">
        <f t="shared" si="4"/>
        <v>0.92614565968634277</v>
      </c>
      <c r="R16" s="96">
        <f t="shared" si="5"/>
        <v>1.1440654398249823</v>
      </c>
      <c r="S16" s="96">
        <f t="shared" si="6"/>
        <v>1.2280301415180024</v>
      </c>
      <c r="T16" s="96">
        <f t="shared" si="7"/>
        <v>1.0007384965143011</v>
      </c>
      <c r="U16" s="96">
        <f t="shared" si="8"/>
        <v>0.47928004586404321</v>
      </c>
      <c r="V16" s="96">
        <f t="shared" si="9"/>
        <v>1.0990236881851618</v>
      </c>
      <c r="W16" s="96"/>
      <c r="X16" s="96">
        <f t="shared" si="10"/>
        <v>0.31194359600052463</v>
      </c>
      <c r="Y16" s="96">
        <f t="shared" si="11"/>
        <v>4.9025487782992592</v>
      </c>
      <c r="Z16" s="96">
        <f t="shared" si="11"/>
        <v>23.429816381667219</v>
      </c>
      <c r="AA16" s="96">
        <f t="shared" si="11"/>
        <v>6.6272333968204773</v>
      </c>
      <c r="AB16" s="96">
        <f t="shared" si="11"/>
        <v>4.719200008544119</v>
      </c>
      <c r="AC16" s="96">
        <f t="shared" si="11"/>
        <v>23.15220663988363</v>
      </c>
      <c r="AD16" s="96">
        <f t="shared" si="11"/>
        <v>23.110145817216292</v>
      </c>
      <c r="AE16" s="96">
        <f t="shared" si="11"/>
        <v>12.165953023849038</v>
      </c>
      <c r="AF16" s="96">
        <f t="shared" si="11"/>
        <v>1.5809523577194635</v>
      </c>
      <c r="AG16" s="96">
        <f t="shared" si="11"/>
        <v>100</v>
      </c>
    </row>
    <row r="17" spans="1:33" x14ac:dyDescent="0.2">
      <c r="A17" s="10" t="str">
        <f>name!D13</f>
        <v>34 Culture, media and sports occupations</v>
      </c>
      <c r="B17" s="68">
        <f>'Basic T2'!D17</f>
        <v>0.40610536445545642</v>
      </c>
      <c r="C17" s="68">
        <f>'Basic T2'!O17</f>
        <v>5.6420501592323733</v>
      </c>
      <c r="D17" s="68">
        <f>'Basic T2'!Z17</f>
        <v>12.147966167359151</v>
      </c>
      <c r="E17" s="68">
        <f>'Basic T2'!AK17</f>
        <v>1.6612916854827138</v>
      </c>
      <c r="F17" s="68">
        <f>'Basic T2'!AV17</f>
        <v>2.0130657084323942</v>
      </c>
      <c r="G17" s="68">
        <f>'Basic T2'!BG17</f>
        <v>5.3565671831535226</v>
      </c>
      <c r="H17" s="68">
        <f>'Basic T2'!BR17</f>
        <v>2.4441418058771855</v>
      </c>
      <c r="I17" s="68">
        <f>'Basic T2'!CC17</f>
        <v>2.1579825766016785</v>
      </c>
      <c r="J17" s="68">
        <f>'Basic T2'!CN17</f>
        <v>0.70239111002273458</v>
      </c>
      <c r="K17" s="309">
        <f t="shared" si="12"/>
        <v>32.531561760617208</v>
      </c>
      <c r="L17" s="96"/>
      <c r="M17" s="96">
        <f t="shared" si="0"/>
        <v>1.311961633790022</v>
      </c>
      <c r="N17" s="96">
        <f t="shared" si="1"/>
        <v>2.6489135295724244</v>
      </c>
      <c r="O17" s="96">
        <f t="shared" si="2"/>
        <v>2.6572023118777879</v>
      </c>
      <c r="P17" s="96">
        <f t="shared" si="3"/>
        <v>1.2966717005084751</v>
      </c>
      <c r="Q17" s="96">
        <f t="shared" si="4"/>
        <v>1.4951485790465238</v>
      </c>
      <c r="R17" s="96">
        <f t="shared" si="5"/>
        <v>1.0017527020111512</v>
      </c>
      <c r="S17" s="96">
        <f t="shared" si="6"/>
        <v>0.49152796311092689</v>
      </c>
      <c r="T17" s="96">
        <f t="shared" si="7"/>
        <v>0.67179674455763005</v>
      </c>
      <c r="U17" s="96">
        <f t="shared" si="8"/>
        <v>0.80587013501222415</v>
      </c>
      <c r="V17" s="96">
        <f t="shared" si="9"/>
        <v>1.3530924043559622</v>
      </c>
      <c r="W17" s="96"/>
      <c r="X17" s="96">
        <f t="shared" si="10"/>
        <v>1.2483426631766834</v>
      </c>
      <c r="Y17" s="96">
        <f t="shared" si="11"/>
        <v>17.34331170679501</v>
      </c>
      <c r="Z17" s="96">
        <f t="shared" si="11"/>
        <v>37.342093369970051</v>
      </c>
      <c r="AA17" s="96">
        <f t="shared" si="11"/>
        <v>5.1067074421673713</v>
      </c>
      <c r="AB17" s="96">
        <f t="shared" si="11"/>
        <v>6.1880389366040722</v>
      </c>
      <c r="AC17" s="96">
        <f t="shared" si="11"/>
        <v>16.465754772456688</v>
      </c>
      <c r="AD17" s="96">
        <f t="shared" si="11"/>
        <v>7.5131400818145471</v>
      </c>
      <c r="AE17" s="96">
        <f t="shared" si="11"/>
        <v>6.633504387158375</v>
      </c>
      <c r="AF17" s="96">
        <f t="shared" si="11"/>
        <v>2.1591066398572081</v>
      </c>
      <c r="AG17" s="96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8">
        <f>'Basic T2'!D18</f>
        <v>1.5140417570661675</v>
      </c>
      <c r="C18" s="68">
        <f>'Basic T2'!O18</f>
        <v>16.325404024404811</v>
      </c>
      <c r="D18" s="68">
        <f>'Basic T2'!Z18</f>
        <v>36.494105682675091</v>
      </c>
      <c r="E18" s="68">
        <f>'Basic T2'!AK18</f>
        <v>10.190676471094534</v>
      </c>
      <c r="F18" s="68">
        <f>'Basic T2'!AV18</f>
        <v>9.2774830270840596</v>
      </c>
      <c r="G18" s="68">
        <f>'Basic T2'!BG18</f>
        <v>29.344022746378315</v>
      </c>
      <c r="H18" s="68">
        <f>'Basic T2'!BR18</f>
        <v>22.533914641153782</v>
      </c>
      <c r="I18" s="68">
        <f>'Basic T2'!CC18</f>
        <v>13.630872494131557</v>
      </c>
      <c r="J18" s="68">
        <f>'Basic T2'!CN18</f>
        <v>2.3910709297334374</v>
      </c>
      <c r="K18" s="309">
        <f t="shared" si="12"/>
        <v>141.70159177372176</v>
      </c>
      <c r="L18" s="96"/>
      <c r="M18" s="96">
        <f t="shared" si="0"/>
        <v>4.8912545144296375</v>
      </c>
      <c r="N18" s="96">
        <f t="shared" si="1"/>
        <v>7.6646932188680923</v>
      </c>
      <c r="O18" s="96">
        <f t="shared" si="2"/>
        <v>7.9825890732619147</v>
      </c>
      <c r="P18" s="96">
        <f t="shared" si="3"/>
        <v>7.9540287263078282</v>
      </c>
      <c r="Q18" s="96">
        <f t="shared" si="4"/>
        <v>6.8905925459704473</v>
      </c>
      <c r="R18" s="96">
        <f t="shared" si="5"/>
        <v>5.4877411351266652</v>
      </c>
      <c r="S18" s="96">
        <f t="shared" si="6"/>
        <v>4.5316720731376288</v>
      </c>
      <c r="T18" s="96">
        <f t="shared" si="7"/>
        <v>4.2433965252203976</v>
      </c>
      <c r="U18" s="96">
        <f t="shared" si="8"/>
        <v>2.7433329173339351</v>
      </c>
      <c r="V18" s="96">
        <f t="shared" si="9"/>
        <v>5.8938254770875318</v>
      </c>
      <c r="W18" s="96"/>
      <c r="X18" s="96">
        <f t="shared" si="10"/>
        <v>1.0684719473609632</v>
      </c>
      <c r="Y18" s="96">
        <f t="shared" si="11"/>
        <v>11.520974337729578</v>
      </c>
      <c r="Z18" s="96">
        <f t="shared" si="11"/>
        <v>25.754196001517915</v>
      </c>
      <c r="AA18" s="96">
        <f t="shared" si="11"/>
        <v>7.1916457278529826</v>
      </c>
      <c r="AB18" s="96">
        <f t="shared" si="11"/>
        <v>6.5471974668421113</v>
      </c>
      <c r="AC18" s="96">
        <f t="shared" si="11"/>
        <v>20.708322594736085</v>
      </c>
      <c r="AD18" s="96">
        <f t="shared" si="11"/>
        <v>15.902372273373889</v>
      </c>
      <c r="AE18" s="96">
        <f t="shared" si="11"/>
        <v>9.61942087136058</v>
      </c>
      <c r="AF18" s="96">
        <f t="shared" si="11"/>
        <v>1.6873987792258915</v>
      </c>
      <c r="AG18" s="96">
        <f t="shared" si="11"/>
        <v>100</v>
      </c>
    </row>
    <row r="19" spans="1:33" x14ac:dyDescent="0.2">
      <c r="A19" s="10" t="str">
        <f>name!D15</f>
        <v>41 Administrative occupations</v>
      </c>
      <c r="B19" s="68">
        <f>'Basic T2'!D19</f>
        <v>0.94702694334003035</v>
      </c>
      <c r="C19" s="68">
        <f>'Basic T2'!O19</f>
        <v>11.86194423177899</v>
      </c>
      <c r="D19" s="68">
        <f>'Basic T2'!Z19</f>
        <v>38.298989718764105</v>
      </c>
      <c r="E19" s="68">
        <f>'Basic T2'!AK19</f>
        <v>14.847597342781587</v>
      </c>
      <c r="F19" s="68">
        <f>'Basic T2'!AV19</f>
        <v>13.864198644483045</v>
      </c>
      <c r="G19" s="68">
        <f>'Basic T2'!BG19</f>
        <v>47.140111040435933</v>
      </c>
      <c r="H19" s="68">
        <f>'Basic T2'!BR19</f>
        <v>51.981119649082835</v>
      </c>
      <c r="I19" s="68">
        <f>'Basic T2'!CC19</f>
        <v>23.355806917935499</v>
      </c>
      <c r="J19" s="68">
        <f>'Basic T2'!CN19</f>
        <v>4.5772702568579371</v>
      </c>
      <c r="K19" s="309">
        <f t="shared" si="12"/>
        <v>206.87406474545995</v>
      </c>
      <c r="L19" s="96"/>
      <c r="M19" s="96">
        <f t="shared" si="0"/>
        <v>3.0594597475794636</v>
      </c>
      <c r="N19" s="96">
        <f t="shared" si="1"/>
        <v>5.5691218042747694</v>
      </c>
      <c r="O19" s="96">
        <f t="shared" si="2"/>
        <v>8.3773828986063954</v>
      </c>
      <c r="P19" s="96">
        <f t="shared" si="3"/>
        <v>11.588849485715459</v>
      </c>
      <c r="Q19" s="96">
        <f t="shared" si="4"/>
        <v>10.297248031242653</v>
      </c>
      <c r="R19" s="96">
        <f t="shared" si="5"/>
        <v>8.8158576179868593</v>
      </c>
      <c r="S19" s="96">
        <f t="shared" si="6"/>
        <v>10.453638082659973</v>
      </c>
      <c r="T19" s="96">
        <f t="shared" si="7"/>
        <v>7.2708441783132045</v>
      </c>
      <c r="U19" s="96">
        <f t="shared" si="8"/>
        <v>5.2516117405901541</v>
      </c>
      <c r="V19" s="96">
        <f t="shared" si="9"/>
        <v>8.6045584815481231</v>
      </c>
      <c r="W19" s="96"/>
      <c r="X19" s="96">
        <f t="shared" si="10"/>
        <v>0.4577794439845625</v>
      </c>
      <c r="Y19" s="96">
        <f t="shared" si="11"/>
        <v>5.7338962457058367</v>
      </c>
      <c r="Z19" s="96">
        <f t="shared" si="11"/>
        <v>18.51319050838373</v>
      </c>
      <c r="AA19" s="96">
        <f t="shared" si="11"/>
        <v>7.1771187756426738</v>
      </c>
      <c r="AB19" s="96">
        <f t="shared" si="11"/>
        <v>6.701757739203174</v>
      </c>
      <c r="AC19" s="96">
        <f t="shared" si="11"/>
        <v>22.786863640175305</v>
      </c>
      <c r="AD19" s="96">
        <f t="shared" si="11"/>
        <v>25.126938803586114</v>
      </c>
      <c r="AE19" s="96">
        <f t="shared" si="11"/>
        <v>11.289867072836188</v>
      </c>
      <c r="AF19" s="96">
        <f t="shared" si="11"/>
        <v>2.2125877704824233</v>
      </c>
      <c r="AG19" s="96">
        <f t="shared" si="11"/>
        <v>100</v>
      </c>
    </row>
    <row r="20" spans="1:33" x14ac:dyDescent="0.2">
      <c r="A20" s="10" t="str">
        <f>name!D16</f>
        <v>42 Secretarial and related occupations</v>
      </c>
      <c r="B20" s="68">
        <f>'Basic T2'!D20</f>
        <v>8.6894519621524488E-2</v>
      </c>
      <c r="C20" s="68">
        <f>'Basic T2'!O20</f>
        <v>1.8403557192564781</v>
      </c>
      <c r="D20" s="68">
        <f>'Basic T2'!Z20</f>
        <v>6.7524142354836121</v>
      </c>
      <c r="E20" s="68">
        <f>'Basic T2'!AK20</f>
        <v>3.068153399100443</v>
      </c>
      <c r="F20" s="68">
        <f>'Basic T2'!AV20</f>
        <v>2.3537598065783718</v>
      </c>
      <c r="G20" s="68">
        <f>'Basic T2'!BG20</f>
        <v>8.8234004009958191</v>
      </c>
      <c r="H20" s="68">
        <f>'Basic T2'!BR20</f>
        <v>11.077162616420068</v>
      </c>
      <c r="I20" s="68">
        <f>'Basic T2'!CC20</f>
        <v>9.0285930390702145</v>
      </c>
      <c r="J20" s="68">
        <f>'Basic T2'!CN20</f>
        <v>2.0489624444942627</v>
      </c>
      <c r="K20" s="309">
        <f t="shared" si="12"/>
        <v>45.0796961810208</v>
      </c>
      <c r="L20" s="96"/>
      <c r="M20" s="96">
        <f t="shared" si="0"/>
        <v>0.28072093084246535</v>
      </c>
      <c r="N20" s="96">
        <f t="shared" si="1"/>
        <v>0.86403754422270751</v>
      </c>
      <c r="O20" s="96">
        <f t="shared" si="2"/>
        <v>1.4769987395498378</v>
      </c>
      <c r="P20" s="96">
        <f t="shared" si="3"/>
        <v>2.3947556712633808</v>
      </c>
      <c r="Q20" s="96">
        <f t="shared" si="4"/>
        <v>1.7481896470050873</v>
      </c>
      <c r="R20" s="96">
        <f t="shared" si="5"/>
        <v>1.6500988208310332</v>
      </c>
      <c r="S20" s="96">
        <f t="shared" si="6"/>
        <v>2.2276674638128795</v>
      </c>
      <c r="T20" s="96">
        <f t="shared" si="7"/>
        <v>2.8106711691503152</v>
      </c>
      <c r="U20" s="96">
        <f t="shared" si="8"/>
        <v>2.3508236625120773</v>
      </c>
      <c r="V20" s="96">
        <f t="shared" si="9"/>
        <v>1.8750097195473978</v>
      </c>
      <c r="W20" s="96"/>
      <c r="X20" s="96">
        <f t="shared" si="10"/>
        <v>0.19275755380558293</v>
      </c>
      <c r="Y20" s="96">
        <f t="shared" si="11"/>
        <v>4.0824492513578523</v>
      </c>
      <c r="Z20" s="96">
        <f t="shared" si="11"/>
        <v>14.978837054200191</v>
      </c>
      <c r="AA20" s="96">
        <f t="shared" si="11"/>
        <v>6.8060649450254722</v>
      </c>
      <c r="AB20" s="96">
        <f t="shared" si="11"/>
        <v>5.2213302350722994</v>
      </c>
      <c r="AC20" s="96">
        <f t="shared" si="11"/>
        <v>19.572892340633384</v>
      </c>
      <c r="AD20" s="96">
        <f t="shared" si="11"/>
        <v>24.572398562623217</v>
      </c>
      <c r="AE20" s="96">
        <f t="shared" si="11"/>
        <v>20.028069849484435</v>
      </c>
      <c r="AF20" s="96">
        <f t="shared" si="11"/>
        <v>4.545200207797552</v>
      </c>
      <c r="AG20" s="96">
        <f t="shared" si="11"/>
        <v>100</v>
      </c>
    </row>
    <row r="21" spans="1:33" x14ac:dyDescent="0.2">
      <c r="A21" s="10" t="str">
        <f>name!D17</f>
        <v>51 Skilled agricultural and related trades</v>
      </c>
      <c r="B21" s="68">
        <f>'Basic T2'!D21</f>
        <v>6.2815548716252098E-2</v>
      </c>
      <c r="C21" s="68">
        <f>'Basic T2'!O21</f>
        <v>0.38490695750335713</v>
      </c>
      <c r="D21" s="68">
        <f>'Basic T2'!Z21</f>
        <v>5.6954081084633525</v>
      </c>
      <c r="E21" s="68">
        <f>'Basic T2'!AK21</f>
        <v>1.864176242451413</v>
      </c>
      <c r="F21" s="68">
        <f>'Basic T2'!AV21</f>
        <v>2.7871316741399652</v>
      </c>
      <c r="G21" s="68">
        <f>'Basic T2'!BG21</f>
        <v>5.6953468151879534</v>
      </c>
      <c r="H21" s="68">
        <f>'Basic T2'!BR21</f>
        <v>8.1834707161363021</v>
      </c>
      <c r="I21" s="68">
        <f>'Basic T2'!CC21</f>
        <v>5.9954490114478309</v>
      </c>
      <c r="J21" s="68">
        <f>'Basic T2'!CN21</f>
        <v>3.4407206432552813</v>
      </c>
      <c r="K21" s="309">
        <f t="shared" si="12"/>
        <v>34.109425717301704</v>
      </c>
      <c r="L21" s="96"/>
      <c r="M21" s="96">
        <f t="shared" si="0"/>
        <v>0.20293154716558814</v>
      </c>
      <c r="N21" s="96">
        <f t="shared" si="1"/>
        <v>0.18071183675827515</v>
      </c>
      <c r="O21" s="96">
        <f t="shared" si="2"/>
        <v>1.2457930310639211</v>
      </c>
      <c r="P21" s="96">
        <f t="shared" si="3"/>
        <v>1.4550271932797949</v>
      </c>
      <c r="Q21" s="96">
        <f t="shared" si="4"/>
        <v>2.0700645511720395</v>
      </c>
      <c r="R21" s="96">
        <f t="shared" si="5"/>
        <v>1.0651092137793912</v>
      </c>
      <c r="S21" s="96">
        <f t="shared" si="6"/>
        <v>1.6457329450394889</v>
      </c>
      <c r="T21" s="96">
        <f t="shared" si="7"/>
        <v>1.8664298645055064</v>
      </c>
      <c r="U21" s="96">
        <f t="shared" si="8"/>
        <v>3.9476211611358987</v>
      </c>
      <c r="V21" s="96">
        <f t="shared" si="9"/>
        <v>1.4187208469929053</v>
      </c>
      <c r="W21" s="96"/>
      <c r="X21" s="96">
        <f t="shared" si="10"/>
        <v>0.18415891618013805</v>
      </c>
      <c r="Y21" s="96">
        <f t="shared" si="11"/>
        <v>1.1284474874876491</v>
      </c>
      <c r="Z21" s="96">
        <f t="shared" si="11"/>
        <v>16.697461152429803</v>
      </c>
      <c r="AA21" s="96">
        <f t="shared" si="11"/>
        <v>5.4652818194644253</v>
      </c>
      <c r="AB21" s="96">
        <f t="shared" si="11"/>
        <v>8.1711480493388002</v>
      </c>
      <c r="AC21" s="96">
        <f t="shared" si="11"/>
        <v>16.697281456424637</v>
      </c>
      <c r="AD21" s="96">
        <f t="shared" si="11"/>
        <v>23.991816174100254</v>
      </c>
      <c r="AE21" s="96">
        <f t="shared" si="11"/>
        <v>17.577103353008646</v>
      </c>
      <c r="AF21" s="96">
        <f t="shared" si="11"/>
        <v>10.087301591565661</v>
      </c>
      <c r="AG21" s="96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8">
        <f>'Basic T2'!D22</f>
        <v>8.0875344725168885E-2</v>
      </c>
      <c r="C22" s="68">
        <f>'Basic T2'!O22</f>
        <v>1.3499395549131403</v>
      </c>
      <c r="D22" s="68">
        <f>'Basic T2'!Z22</f>
        <v>4.3644748553905659</v>
      </c>
      <c r="E22" s="68">
        <f>'Basic T2'!AK22</f>
        <v>1.7380424895597471</v>
      </c>
      <c r="F22" s="68">
        <f>'Basic T2'!AV22</f>
        <v>6.3631283556247187</v>
      </c>
      <c r="G22" s="68">
        <f>'Basic T2'!BG22</f>
        <v>37.750789097039906</v>
      </c>
      <c r="H22" s="68">
        <f>'Basic T2'!BR22</f>
        <v>20.830193127251906</v>
      </c>
      <c r="I22" s="68">
        <f>'Basic T2'!CC22</f>
        <v>10.522196265906457</v>
      </c>
      <c r="J22" s="68">
        <f>'Basic T2'!CN22</f>
        <v>3.5770960825427496</v>
      </c>
      <c r="K22" s="309">
        <f t="shared" si="12"/>
        <v>86.576735172954358</v>
      </c>
      <c r="L22" s="96"/>
      <c r="M22" s="96">
        <f t="shared" si="0"/>
        <v>0.26127541935142778</v>
      </c>
      <c r="N22" s="96">
        <f t="shared" si="1"/>
        <v>0.63378967754531779</v>
      </c>
      <c r="O22" s="96">
        <f t="shared" si="2"/>
        <v>0.95466949085168762</v>
      </c>
      <c r="P22" s="96">
        <f t="shared" si="3"/>
        <v>1.3565772526205007</v>
      </c>
      <c r="Q22" s="96">
        <f t="shared" si="4"/>
        <v>4.7260366511391743</v>
      </c>
      <c r="R22" s="96">
        <f t="shared" si="5"/>
        <v>7.0599235831387812</v>
      </c>
      <c r="S22" s="96">
        <f t="shared" si="6"/>
        <v>4.1890459769664581</v>
      </c>
      <c r="T22" s="96">
        <f t="shared" si="7"/>
        <v>3.2756414596099717</v>
      </c>
      <c r="U22" s="96">
        <f t="shared" si="8"/>
        <v>4.1040879673108606</v>
      </c>
      <c r="V22" s="96">
        <f t="shared" si="9"/>
        <v>3.6010051905432912</v>
      </c>
      <c r="W22" s="96"/>
      <c r="X22" s="96">
        <f t="shared" si="10"/>
        <v>9.3414639121704224E-2</v>
      </c>
      <c r="Y22" s="96">
        <f t="shared" si="11"/>
        <v>1.5592405421807207</v>
      </c>
      <c r="Z22" s="96">
        <f t="shared" si="11"/>
        <v>5.0411635951294009</v>
      </c>
      <c r="AA22" s="96">
        <f t="shared" si="11"/>
        <v>2.0075167839115893</v>
      </c>
      <c r="AB22" s="96">
        <f t="shared" si="11"/>
        <v>7.3496977483767392</v>
      </c>
      <c r="AC22" s="96">
        <f t="shared" si="11"/>
        <v>43.603849257684693</v>
      </c>
      <c r="AD22" s="96">
        <f t="shared" si="11"/>
        <v>24.059804386986212</v>
      </c>
      <c r="AE22" s="96">
        <f t="shared" si="11"/>
        <v>12.153607138091155</v>
      </c>
      <c r="AF22" s="96">
        <f t="shared" si="11"/>
        <v>4.1317059085177839</v>
      </c>
      <c r="AG22" s="96">
        <f t="shared" si="11"/>
        <v>100</v>
      </c>
    </row>
    <row r="23" spans="1:33" x14ac:dyDescent="0.2">
      <c r="A23" s="10" t="str">
        <f>name!D19</f>
        <v>53 Skilled construction and building trades</v>
      </c>
      <c r="B23" s="68">
        <f>'Basic T2'!D23</f>
        <v>1.5524315377239738E-2</v>
      </c>
      <c r="C23" s="68">
        <f>'Basic T2'!O23</f>
        <v>0.42129265225346985</v>
      </c>
      <c r="D23" s="68">
        <f>'Basic T2'!Z23</f>
        <v>1.8098552167907753</v>
      </c>
      <c r="E23" s="68">
        <f>'Basic T2'!AK23</f>
        <v>1.1857954687470371</v>
      </c>
      <c r="F23" s="68">
        <f>'Basic T2'!AV23</f>
        <v>1.669704925686617</v>
      </c>
      <c r="G23" s="68">
        <f>'Basic T2'!BG23</f>
        <v>17.124524480833454</v>
      </c>
      <c r="H23" s="68">
        <f>'Basic T2'!BR23</f>
        <v>16.039297191558294</v>
      </c>
      <c r="I23" s="68">
        <f>'Basic T2'!CC23</f>
        <v>8.2204700862459923</v>
      </c>
      <c r="J23" s="68">
        <f>'Basic T2'!CN23</f>
        <v>3.3439488251859011</v>
      </c>
      <c r="K23" s="309">
        <f t="shared" si="12"/>
        <v>49.830413162678781</v>
      </c>
      <c r="L23" s="96"/>
      <c r="M23" s="96">
        <f t="shared" si="0"/>
        <v>5.0152763170477628E-2</v>
      </c>
      <c r="N23" s="96">
        <f t="shared" si="1"/>
        <v>0.19779473329168337</v>
      </c>
      <c r="O23" s="96">
        <f t="shared" si="2"/>
        <v>0.39588120348428552</v>
      </c>
      <c r="P23" s="96">
        <f t="shared" si="3"/>
        <v>0.92553730350410746</v>
      </c>
      <c r="Q23" s="96">
        <f t="shared" si="4"/>
        <v>1.240126905252068</v>
      </c>
      <c r="R23" s="96">
        <f t="shared" si="5"/>
        <v>3.2025246921726804</v>
      </c>
      <c r="S23" s="96">
        <f t="shared" si="6"/>
        <v>3.2255751525300842</v>
      </c>
      <c r="T23" s="96">
        <f t="shared" si="7"/>
        <v>2.5590962144699381</v>
      </c>
      <c r="U23" s="96">
        <f t="shared" si="8"/>
        <v>3.8365925376522876</v>
      </c>
      <c r="V23" s="96">
        <f t="shared" si="9"/>
        <v>2.0726073359922452</v>
      </c>
      <c r="W23" s="96"/>
      <c r="X23" s="96">
        <f t="shared" si="10"/>
        <v>3.1154297931583079E-2</v>
      </c>
      <c r="Y23" s="96">
        <f t="shared" si="11"/>
        <v>0.84545285803289938</v>
      </c>
      <c r="Z23" s="96">
        <f t="shared" si="11"/>
        <v>3.6320293208933152</v>
      </c>
      <c r="AA23" s="96">
        <f t="shared" si="11"/>
        <v>2.3796621249674006</v>
      </c>
      <c r="AB23" s="96">
        <f t="shared" si="11"/>
        <v>3.3507747973825088</v>
      </c>
      <c r="AC23" s="96">
        <f t="shared" si="11"/>
        <v>34.365608057328167</v>
      </c>
      <c r="AD23" s="96">
        <f t="shared" si="11"/>
        <v>32.187766814607031</v>
      </c>
      <c r="AE23" s="96">
        <f t="shared" si="11"/>
        <v>16.496893291671189</v>
      </c>
      <c r="AF23" s="96">
        <f t="shared" si="11"/>
        <v>6.7106584371859084</v>
      </c>
      <c r="AG23" s="96">
        <f t="shared" si="11"/>
        <v>100</v>
      </c>
    </row>
    <row r="24" spans="1:33" x14ac:dyDescent="0.2">
      <c r="A24" s="10" t="str">
        <f>name!D20</f>
        <v>54 Textiles, printing and other skilled trades</v>
      </c>
      <c r="B24" s="68">
        <f>'Basic T2'!D24</f>
        <v>0.15033525430547726</v>
      </c>
      <c r="C24" s="68">
        <f>'Basic T2'!O24</f>
        <v>1.3866660443047192</v>
      </c>
      <c r="D24" s="68">
        <f>'Basic T2'!Z24</f>
        <v>3.1176403710172473</v>
      </c>
      <c r="E24" s="68">
        <f>'Basic T2'!AK24</f>
        <v>1.3739343039167007</v>
      </c>
      <c r="F24" s="68">
        <f>'Basic T2'!AV24</f>
        <v>1.419192976349094</v>
      </c>
      <c r="G24" s="68">
        <f>'Basic T2'!BG24</f>
        <v>8.8352314210865117</v>
      </c>
      <c r="H24" s="68">
        <f>'Basic T2'!BR24</f>
        <v>10.392380314051771</v>
      </c>
      <c r="I24" s="68">
        <f>'Basic T2'!CC24</f>
        <v>8.6192550552444676</v>
      </c>
      <c r="J24" s="68">
        <f>'Basic T2'!CN24</f>
        <v>2.9939452355082508</v>
      </c>
      <c r="K24" s="309">
        <f t="shared" si="12"/>
        <v>38.288580975784235</v>
      </c>
      <c r="L24" s="96"/>
      <c r="M24" s="96">
        <f t="shared" si="0"/>
        <v>0.48567220016736795</v>
      </c>
      <c r="N24" s="96">
        <f t="shared" si="1"/>
        <v>0.65103257540999881</v>
      </c>
      <c r="O24" s="96">
        <f t="shared" si="2"/>
        <v>0.68194141203073988</v>
      </c>
      <c r="P24" s="96">
        <f t="shared" si="3"/>
        <v>1.0723834627083817</v>
      </c>
      <c r="Q24" s="96">
        <f t="shared" si="4"/>
        <v>1.0540661206898778</v>
      </c>
      <c r="R24" s="96">
        <f t="shared" si="5"/>
        <v>1.6523113864422092</v>
      </c>
      <c r="S24" s="96">
        <f t="shared" si="6"/>
        <v>2.0899546480310227</v>
      </c>
      <c r="T24" s="96">
        <f t="shared" si="7"/>
        <v>2.6832410740515082</v>
      </c>
      <c r="U24" s="96">
        <f t="shared" si="8"/>
        <v>3.4350250405079095</v>
      </c>
      <c r="V24" s="96">
        <f t="shared" si="9"/>
        <v>1.5925453709578965</v>
      </c>
      <c r="W24" s="96"/>
      <c r="X24" s="96">
        <f t="shared" si="10"/>
        <v>0.39263730980408335</v>
      </c>
      <c r="Y24" s="96">
        <f t="shared" ref="Y24:AG32" si="13">IF($K24&gt;0,C24/$K24*100,0)</f>
        <v>3.6216177485964334</v>
      </c>
      <c r="Z24" s="96">
        <f t="shared" si="13"/>
        <v>8.1424808430195181</v>
      </c>
      <c r="AA24" s="96">
        <f t="shared" si="13"/>
        <v>3.5883656925955312</v>
      </c>
      <c r="AB24" s="96">
        <f t="shared" si="13"/>
        <v>3.7065697923009164</v>
      </c>
      <c r="AC24" s="96">
        <f t="shared" si="13"/>
        <v>23.075369198650609</v>
      </c>
      <c r="AD24" s="96">
        <f t="shared" si="13"/>
        <v>27.142244630649731</v>
      </c>
      <c r="AE24" s="96">
        <f t="shared" si="13"/>
        <v>22.511294061004115</v>
      </c>
      <c r="AF24" s="96">
        <f t="shared" si="13"/>
        <v>7.8194207233790749</v>
      </c>
      <c r="AG24" s="96">
        <f t="shared" si="13"/>
        <v>100</v>
      </c>
    </row>
    <row r="25" spans="1:33" x14ac:dyDescent="0.2">
      <c r="A25" s="10" t="str">
        <f>name!D21</f>
        <v>61 Caring personal service occupations</v>
      </c>
      <c r="B25" s="68">
        <f>'Basic T2'!D25</f>
        <v>0.12389962710039584</v>
      </c>
      <c r="C25" s="68">
        <f>'Basic T2'!O25</f>
        <v>7.3407299502860646</v>
      </c>
      <c r="D25" s="68">
        <f>'Basic T2'!Z25</f>
        <v>24.549237010790382</v>
      </c>
      <c r="E25" s="68">
        <f>'Basic T2'!AK25</f>
        <v>18.713169497631657</v>
      </c>
      <c r="F25" s="68">
        <f>'Basic T2'!AV25</f>
        <v>10.734185173605185</v>
      </c>
      <c r="G25" s="68">
        <f>'Basic T2'!BG25</f>
        <v>73.521764091800037</v>
      </c>
      <c r="H25" s="68">
        <f>'Basic T2'!BR25</f>
        <v>50.482602325723718</v>
      </c>
      <c r="I25" s="68">
        <f>'Basic T2'!CC25</f>
        <v>8.1037806074152972</v>
      </c>
      <c r="J25" s="68">
        <f>'Basic T2'!CN25</f>
        <v>1.5897251077980727</v>
      </c>
      <c r="K25" s="309">
        <f t="shared" si="12"/>
        <v>195.15909339215079</v>
      </c>
      <c r="L25" s="96"/>
      <c r="M25" s="96">
        <f t="shared" si="0"/>
        <v>0.40026941632394819</v>
      </c>
      <c r="N25" s="96">
        <f t="shared" si="1"/>
        <v>3.4464349542216484</v>
      </c>
      <c r="O25" s="96">
        <f t="shared" si="2"/>
        <v>5.3698115751411271</v>
      </c>
      <c r="P25" s="96">
        <f t="shared" si="3"/>
        <v>14.606006595010946</v>
      </c>
      <c r="Q25" s="96">
        <f t="shared" si="4"/>
        <v>7.9725175598146878</v>
      </c>
      <c r="R25" s="96">
        <f t="shared" si="5"/>
        <v>13.749594342290589</v>
      </c>
      <c r="S25" s="96">
        <f t="shared" si="6"/>
        <v>10.152279476597917</v>
      </c>
      <c r="T25" s="96">
        <f t="shared" si="7"/>
        <v>2.52276987298203</v>
      </c>
      <c r="U25" s="96">
        <f t="shared" si="8"/>
        <v>1.8239296724756229</v>
      </c>
      <c r="V25" s="96">
        <f t="shared" si="9"/>
        <v>8.1172951010792502</v>
      </c>
      <c r="W25" s="96"/>
      <c r="X25" s="96">
        <f t="shared" si="10"/>
        <v>6.3486474007866556E-2</v>
      </c>
      <c r="Y25" s="96">
        <f t="shared" si="13"/>
        <v>3.7614081018175636</v>
      </c>
      <c r="Z25" s="96">
        <f t="shared" si="13"/>
        <v>12.579089492623016</v>
      </c>
      <c r="AA25" s="96">
        <f t="shared" si="13"/>
        <v>9.5886741285632002</v>
      </c>
      <c r="AB25" s="96">
        <f t="shared" si="13"/>
        <v>5.5002229140489076</v>
      </c>
      <c r="AC25" s="96">
        <f t="shared" si="13"/>
        <v>37.672732955397628</v>
      </c>
      <c r="AD25" s="96">
        <f t="shared" si="13"/>
        <v>25.867409736467913</v>
      </c>
      <c r="AE25" s="96">
        <f t="shared" si="13"/>
        <v>4.1523971374122128</v>
      </c>
      <c r="AF25" s="96">
        <f t="shared" si="13"/>
        <v>0.81457905966169586</v>
      </c>
      <c r="AG25" s="96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8">
        <f>'Basic T2'!D26</f>
        <v>5.303031618806147E-2</v>
      </c>
      <c r="C26" s="68">
        <f>'Basic T2'!O26</f>
        <v>1.2118235659789609</v>
      </c>
      <c r="D26" s="68">
        <f>'Basic T2'!Z26</f>
        <v>5.7773647177682736</v>
      </c>
      <c r="E26" s="68">
        <f>'Basic T2'!AK26</f>
        <v>3.7504479538379263</v>
      </c>
      <c r="F26" s="68">
        <f>'Basic T2'!AV26</f>
        <v>4.8222916510403744</v>
      </c>
      <c r="G26" s="68">
        <f>'Basic T2'!BG26</f>
        <v>15.604087537226874</v>
      </c>
      <c r="H26" s="68">
        <f>'Basic T2'!BR26</f>
        <v>15.417628344037782</v>
      </c>
      <c r="I26" s="68">
        <f>'Basic T2'!CC26</f>
        <v>10.09804674790823</v>
      </c>
      <c r="J26" s="68">
        <f>'Basic T2'!CN26</f>
        <v>2.2544484343525872</v>
      </c>
      <c r="K26" s="309">
        <f t="shared" si="12"/>
        <v>58.989169268339069</v>
      </c>
      <c r="L26" s="96"/>
      <c r="M26" s="96">
        <f t="shared" si="0"/>
        <v>0.17131943174348724</v>
      </c>
      <c r="N26" s="96">
        <f t="shared" si="1"/>
        <v>0.56894493114770694</v>
      </c>
      <c r="O26" s="96">
        <f t="shared" si="2"/>
        <v>1.2637199242342239</v>
      </c>
      <c r="P26" s="96">
        <f t="shared" si="3"/>
        <v>2.9273003461511373</v>
      </c>
      <c r="Q26" s="96">
        <f t="shared" si="4"/>
        <v>3.5816230337635147</v>
      </c>
      <c r="R26" s="96">
        <f t="shared" si="5"/>
        <v>2.9181817978493081</v>
      </c>
      <c r="S26" s="96">
        <f t="shared" si="6"/>
        <v>3.100554737750342</v>
      </c>
      <c r="T26" s="96">
        <f t="shared" si="7"/>
        <v>3.1436004188312201</v>
      </c>
      <c r="U26" s="96">
        <f t="shared" si="8"/>
        <v>2.5865826577887807</v>
      </c>
      <c r="V26" s="96">
        <f t="shared" si="9"/>
        <v>2.4535494933687869</v>
      </c>
      <c r="W26" s="96"/>
      <c r="X26" s="96">
        <f t="shared" si="10"/>
        <v>8.9898394647378324E-2</v>
      </c>
      <c r="Y26" s="96">
        <f t="shared" si="13"/>
        <v>2.0543153616326251</v>
      </c>
      <c r="Z26" s="96">
        <f t="shared" si="13"/>
        <v>9.7939414801508757</v>
      </c>
      <c r="AA26" s="96">
        <f t="shared" si="13"/>
        <v>6.3578585702356776</v>
      </c>
      <c r="AB26" s="96">
        <f t="shared" si="13"/>
        <v>8.1748763558679514</v>
      </c>
      <c r="AC26" s="96">
        <f t="shared" si="13"/>
        <v>26.45246191931367</v>
      </c>
      <c r="AD26" s="96">
        <f t="shared" si="13"/>
        <v>26.13637136319667</v>
      </c>
      <c r="AE26" s="96">
        <f t="shared" si="13"/>
        <v>17.118475939155324</v>
      </c>
      <c r="AF26" s="96">
        <f t="shared" si="13"/>
        <v>3.8218006157998308</v>
      </c>
      <c r="AG26" s="96">
        <f t="shared" si="13"/>
        <v>100</v>
      </c>
    </row>
    <row r="27" spans="1:33" x14ac:dyDescent="0.2">
      <c r="A27" s="10" t="str">
        <f>name!D23</f>
        <v>63 Community and civil enforcement occupations</v>
      </c>
      <c r="B27" s="68">
        <f>'Basic T2'!D27</f>
        <v>5.031273929037211E-3</v>
      </c>
      <c r="C27" s="68">
        <f>'Basic T2'!O27</f>
        <v>7.9440370260884519E-2</v>
      </c>
      <c r="D27" s="68">
        <f>'Basic T2'!Z27</f>
        <v>0.38646451519666664</v>
      </c>
      <c r="E27" s="68">
        <f>'Basic T2'!AK27</f>
        <v>0.11956484890224195</v>
      </c>
      <c r="F27" s="68">
        <f>'Basic T2'!AV27</f>
        <v>9.9522136120127044E-2</v>
      </c>
      <c r="G27" s="68">
        <f>'Basic T2'!BG27</f>
        <v>0.48186100744233085</v>
      </c>
      <c r="H27" s="68">
        <f>'Basic T2'!BR27</f>
        <v>0.6700856283168577</v>
      </c>
      <c r="I27" s="68">
        <f>'Basic T2'!CC27</f>
        <v>0.58722615952340285</v>
      </c>
      <c r="J27" s="68">
        <f>'Basic T2'!CN27</f>
        <v>0.12367587045570863</v>
      </c>
      <c r="K27" s="309">
        <f t="shared" si="12"/>
        <v>2.5528718101472578</v>
      </c>
      <c r="L27" s="96"/>
      <c r="M27" s="96">
        <f t="shared" si="0"/>
        <v>1.6254004358784612E-2</v>
      </c>
      <c r="N27" s="96">
        <f t="shared" si="1"/>
        <v>3.7296845231686124E-2</v>
      </c>
      <c r="O27" s="96">
        <f t="shared" si="2"/>
        <v>8.4533854399312366E-2</v>
      </c>
      <c r="P27" s="96">
        <f t="shared" si="3"/>
        <v>9.3322778475268625E-2</v>
      </c>
      <c r="Q27" s="96">
        <f t="shared" si="4"/>
        <v>7.3917299261709563E-2</v>
      </c>
      <c r="R27" s="96">
        <f t="shared" si="5"/>
        <v>9.0114722674866476E-2</v>
      </c>
      <c r="S27" s="96">
        <f t="shared" si="6"/>
        <v>0.13475724821059781</v>
      </c>
      <c r="T27" s="96">
        <f t="shared" si="7"/>
        <v>0.18280806646184428</v>
      </c>
      <c r="U27" s="96">
        <f t="shared" si="8"/>
        <v>0.14189628684034783</v>
      </c>
      <c r="V27" s="96">
        <f t="shared" si="9"/>
        <v>0.10618215876086406</v>
      </c>
      <c r="W27" s="96"/>
      <c r="X27" s="96">
        <f t="shared" si="10"/>
        <v>0.19708290518304525</v>
      </c>
      <c r="Y27" s="96">
        <f t="shared" si="13"/>
        <v>3.1118041236979361</v>
      </c>
      <c r="Z27" s="96">
        <f t="shared" si="13"/>
        <v>15.1384222921234</v>
      </c>
      <c r="AA27" s="96">
        <f t="shared" si="13"/>
        <v>4.683542997615108</v>
      </c>
      <c r="AB27" s="96">
        <f t="shared" si="13"/>
        <v>3.8984384458531149</v>
      </c>
      <c r="AC27" s="96">
        <f t="shared" si="13"/>
        <v>18.875252785001202</v>
      </c>
      <c r="AD27" s="96">
        <f t="shared" si="13"/>
        <v>26.248306932348669</v>
      </c>
      <c r="AE27" s="96">
        <f t="shared" si="13"/>
        <v>23.002571346875804</v>
      </c>
      <c r="AF27" s="96">
        <f t="shared" si="13"/>
        <v>4.8445781713017002</v>
      </c>
      <c r="AG27" s="96">
        <f t="shared" si="13"/>
        <v>100</v>
      </c>
    </row>
    <row r="28" spans="1:33" x14ac:dyDescent="0.2">
      <c r="A28" s="10" t="str">
        <f>name!D24</f>
        <v>71 Sales occupations</v>
      </c>
      <c r="B28" s="68">
        <f>'Basic T2'!D28</f>
        <v>0.29517858274623621</v>
      </c>
      <c r="C28" s="68">
        <f>'Basic T2'!O28</f>
        <v>4.3344988675076701</v>
      </c>
      <c r="D28" s="68">
        <f>'Basic T2'!Z28</f>
        <v>19.396145375662364</v>
      </c>
      <c r="E28" s="68">
        <f>'Basic T2'!AK28</f>
        <v>6.8027622999505928</v>
      </c>
      <c r="F28" s="68">
        <f>'Basic T2'!AV28</f>
        <v>5.7702374678472674</v>
      </c>
      <c r="G28" s="68">
        <f>'Basic T2'!BG28</f>
        <v>43.884896345316463</v>
      </c>
      <c r="H28" s="68">
        <f>'Basic T2'!BR28</f>
        <v>41.686139986289888</v>
      </c>
      <c r="I28" s="68">
        <f>'Basic T2'!CC28</f>
        <v>27.729304361046662</v>
      </c>
      <c r="J28" s="68">
        <f>'Basic T2'!CN28</f>
        <v>8.2722120469202967</v>
      </c>
      <c r="K28" s="309">
        <f t="shared" si="12"/>
        <v>158.17137533328744</v>
      </c>
      <c r="L28" s="96"/>
      <c r="M28" s="96">
        <f t="shared" si="0"/>
        <v>0.95360221650569232</v>
      </c>
      <c r="N28" s="96">
        <f t="shared" si="1"/>
        <v>2.035024923567776</v>
      </c>
      <c r="O28" s="96">
        <f t="shared" si="2"/>
        <v>4.2426428937718947</v>
      </c>
      <c r="P28" s="96">
        <f t="shared" si="3"/>
        <v>5.3096933167812841</v>
      </c>
      <c r="Q28" s="96">
        <f t="shared" si="4"/>
        <v>4.2856834303392493</v>
      </c>
      <c r="R28" s="96">
        <f t="shared" si="5"/>
        <v>8.2070871116226396</v>
      </c>
      <c r="S28" s="96">
        <f t="shared" si="6"/>
        <v>8.3832711457854003</v>
      </c>
      <c r="T28" s="96">
        <f t="shared" si="7"/>
        <v>8.6323479163276353</v>
      </c>
      <c r="U28" s="96">
        <f t="shared" si="8"/>
        <v>9.4909069092369851</v>
      </c>
      <c r="V28" s="96">
        <f t="shared" si="9"/>
        <v>6.5788568075788172</v>
      </c>
      <c r="W28" s="96"/>
      <c r="X28" s="96">
        <f t="shared" si="10"/>
        <v>0.18661947025766004</v>
      </c>
      <c r="Y28" s="96">
        <f t="shared" si="13"/>
        <v>2.7403813479994867</v>
      </c>
      <c r="Z28" s="96">
        <f t="shared" si="13"/>
        <v>12.262740546317049</v>
      </c>
      <c r="AA28" s="96">
        <f t="shared" si="13"/>
        <v>4.3008807918729266</v>
      </c>
      <c r="AB28" s="96">
        <f t="shared" si="13"/>
        <v>3.6480921125511072</v>
      </c>
      <c r="AC28" s="96">
        <f t="shared" si="13"/>
        <v>27.745156955767335</v>
      </c>
      <c r="AD28" s="96">
        <f t="shared" si="13"/>
        <v>26.355046795573362</v>
      </c>
      <c r="AE28" s="96">
        <f t="shared" si="13"/>
        <v>17.531177371769989</v>
      </c>
      <c r="AF28" s="96">
        <f t="shared" si="13"/>
        <v>5.2299046078910809</v>
      </c>
      <c r="AG28" s="96">
        <f t="shared" si="13"/>
        <v>100</v>
      </c>
    </row>
    <row r="29" spans="1:33" x14ac:dyDescent="0.2">
      <c r="A29" s="10" t="str">
        <f>name!D25</f>
        <v>72 Customer service occupations</v>
      </c>
      <c r="B29" s="68">
        <f>'Basic T2'!D29</f>
        <v>0.12262500167612882</v>
      </c>
      <c r="C29" s="68">
        <f>'Basic T2'!O29</f>
        <v>1.4958958623126226</v>
      </c>
      <c r="D29" s="68">
        <f>'Basic T2'!Z29</f>
        <v>6.0756074672339908</v>
      </c>
      <c r="E29" s="68">
        <f>'Basic T2'!AK29</f>
        <v>2.1818636362212995</v>
      </c>
      <c r="F29" s="68">
        <f>'Basic T2'!AV29</f>
        <v>2.5970430589070714</v>
      </c>
      <c r="G29" s="68">
        <f>'Basic T2'!BG29</f>
        <v>10.863742079530279</v>
      </c>
      <c r="H29" s="68">
        <f>'Basic T2'!BR29</f>
        <v>10.449338915103173</v>
      </c>
      <c r="I29" s="68">
        <f>'Basic T2'!CC29</f>
        <v>4.8694243217999551</v>
      </c>
      <c r="J29" s="68">
        <f>'Basic T2'!CN29</f>
        <v>1.3551899694452725</v>
      </c>
      <c r="K29" s="309">
        <f t="shared" si="12"/>
        <v>40.010730312229789</v>
      </c>
      <c r="L29" s="96"/>
      <c r="M29" s="96">
        <f t="shared" si="0"/>
        <v>0.39615161882493216</v>
      </c>
      <c r="N29" s="96">
        <f t="shared" si="1"/>
        <v>0.70231541313529033</v>
      </c>
      <c r="O29" s="96">
        <f t="shared" si="2"/>
        <v>1.3289564677397918</v>
      </c>
      <c r="P29" s="96">
        <f t="shared" si="3"/>
        <v>1.702988617940757</v>
      </c>
      <c r="Q29" s="96">
        <f t="shared" si="4"/>
        <v>1.9288815178672289</v>
      </c>
      <c r="R29" s="96">
        <f t="shared" si="5"/>
        <v>2.0316711449728855</v>
      </c>
      <c r="S29" s="96">
        <f t="shared" si="6"/>
        <v>2.1014092801187036</v>
      </c>
      <c r="T29" s="96">
        <f t="shared" si="7"/>
        <v>1.5158896289174102</v>
      </c>
      <c r="U29" s="96">
        <f t="shared" si="8"/>
        <v>1.5548418937260253</v>
      </c>
      <c r="V29" s="96">
        <f t="shared" si="9"/>
        <v>1.6641751071340465</v>
      </c>
      <c r="W29" s="96"/>
      <c r="X29" s="96">
        <f t="shared" si="10"/>
        <v>0.30648028846063557</v>
      </c>
      <c r="Y29" s="96">
        <f t="shared" si="13"/>
        <v>3.7387367104753473</v>
      </c>
      <c r="Z29" s="96">
        <f t="shared" si="13"/>
        <v>15.18494518800849</v>
      </c>
      <c r="AA29" s="96">
        <f t="shared" si="13"/>
        <v>5.4531962280988031</v>
      </c>
      <c r="AB29" s="96">
        <f t="shared" si="13"/>
        <v>6.4908664216840144</v>
      </c>
      <c r="AC29" s="96">
        <f t="shared" si="13"/>
        <v>27.152071443718782</v>
      </c>
      <c r="AD29" s="96">
        <f t="shared" si="13"/>
        <v>26.116341375326506</v>
      </c>
      <c r="AE29" s="96">
        <f t="shared" si="13"/>
        <v>12.170296027592261</v>
      </c>
      <c r="AF29" s="96">
        <f t="shared" si="13"/>
        <v>3.3870663166351687</v>
      </c>
      <c r="AG29" s="96">
        <f t="shared" si="13"/>
        <v>100</v>
      </c>
    </row>
    <row r="30" spans="1:33" x14ac:dyDescent="0.2">
      <c r="A30" s="10" t="str">
        <f>name!D26</f>
        <v>81 Process, plant and machine operatives</v>
      </c>
      <c r="B30" s="68">
        <f>'Basic T2'!D30</f>
        <v>0.13811839000991052</v>
      </c>
      <c r="C30" s="68">
        <f>'Basic T2'!O30</f>
        <v>0.98471031701039824</v>
      </c>
      <c r="D30" s="68">
        <f>'Basic T2'!Z30</f>
        <v>2.9909682054105065</v>
      </c>
      <c r="E30" s="68">
        <f>'Basic T2'!AK30</f>
        <v>1.4024058135445052</v>
      </c>
      <c r="F30" s="68">
        <f>'Basic T2'!AV30</f>
        <v>3.1583501287851861</v>
      </c>
      <c r="G30" s="68">
        <f>'Basic T2'!BG30</f>
        <v>20.687463794629419</v>
      </c>
      <c r="H30" s="68">
        <f>'Basic T2'!BR30</f>
        <v>25.906685251828858</v>
      </c>
      <c r="I30" s="68">
        <f>'Basic T2'!CC30</f>
        <v>21.310007740614683</v>
      </c>
      <c r="J30" s="68">
        <f>'Basic T2'!CN30</f>
        <v>6.4022523677677654</v>
      </c>
      <c r="K30" s="309">
        <f t="shared" si="12"/>
        <v>82.980962009601228</v>
      </c>
      <c r="L30" s="96"/>
      <c r="M30" s="96">
        <f t="shared" si="0"/>
        <v>0.44620446926828311</v>
      </c>
      <c r="N30" s="96">
        <f t="shared" si="1"/>
        <v>0.46231642892612668</v>
      </c>
      <c r="O30" s="96">
        <f t="shared" si="2"/>
        <v>0.65423359932665082</v>
      </c>
      <c r="P30" s="96">
        <f t="shared" si="3"/>
        <v>1.094606050787128</v>
      </c>
      <c r="Q30" s="96">
        <f t="shared" si="4"/>
        <v>2.3457767361512656</v>
      </c>
      <c r="R30" s="96">
        <f t="shared" si="5"/>
        <v>3.8688439900845966</v>
      </c>
      <c r="S30" s="96">
        <f t="shared" si="6"/>
        <v>5.2099514856983653</v>
      </c>
      <c r="T30" s="96">
        <f t="shared" si="7"/>
        <v>6.6339709976654255</v>
      </c>
      <c r="U30" s="96">
        <f t="shared" si="8"/>
        <v>7.3454574045339855</v>
      </c>
      <c r="V30" s="96">
        <f t="shared" si="9"/>
        <v>3.4514454063889928</v>
      </c>
      <c r="W30" s="96"/>
      <c r="X30" s="96">
        <f t="shared" si="10"/>
        <v>0.16644587706024627</v>
      </c>
      <c r="Y30" s="96">
        <f t="shared" si="13"/>
        <v>1.1866701628458625</v>
      </c>
      <c r="Z30" s="96">
        <f t="shared" si="13"/>
        <v>3.6044029051681026</v>
      </c>
      <c r="AA30" s="96">
        <f t="shared" si="13"/>
        <v>1.6900332071135078</v>
      </c>
      <c r="AB30" s="96">
        <f t="shared" si="13"/>
        <v>3.8061141402768417</v>
      </c>
      <c r="AC30" s="96">
        <f t="shared" si="13"/>
        <v>24.930373538253022</v>
      </c>
      <c r="AD30" s="96">
        <f t="shared" si="13"/>
        <v>31.22003484224653</v>
      </c>
      <c r="AE30" s="96">
        <f t="shared" si="13"/>
        <v>25.680598566872519</v>
      </c>
      <c r="AF30" s="96">
        <f t="shared" si="13"/>
        <v>7.7153267601633724</v>
      </c>
      <c r="AG30" s="96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8">
        <f>'Basic T2'!D31</f>
        <v>0.19160184284593068</v>
      </c>
      <c r="C31" s="68">
        <f>'Basic T2'!O31</f>
        <v>1.1967932697344292</v>
      </c>
      <c r="D31" s="68">
        <f>'Basic T2'!Z31</f>
        <v>4.8901124652382819</v>
      </c>
      <c r="E31" s="68">
        <f>'Basic T2'!AK31</f>
        <v>2.5178314851103836</v>
      </c>
      <c r="F31" s="68">
        <f>'Basic T2'!AV31</f>
        <v>3.6398916078554402</v>
      </c>
      <c r="G31" s="68">
        <f>'Basic T2'!BG31</f>
        <v>21.822078955781254</v>
      </c>
      <c r="H31" s="68">
        <f>'Basic T2'!BR31</f>
        <v>32.628981522939021</v>
      </c>
      <c r="I31" s="68">
        <f>'Basic T2'!CC31</f>
        <v>28.124361974389828</v>
      </c>
      <c r="J31" s="68">
        <f>'Basic T2'!CN31</f>
        <v>10.1550861727697</v>
      </c>
      <c r="K31" s="309">
        <f t="shared" si="12"/>
        <v>105.16673929666426</v>
      </c>
      <c r="L31" s="96"/>
      <c r="M31" s="96">
        <f t="shared" si="0"/>
        <v>0.61898780163712452</v>
      </c>
      <c r="N31" s="96">
        <f t="shared" si="1"/>
        <v>0.56188828437003291</v>
      </c>
      <c r="O31" s="96">
        <f t="shared" si="2"/>
        <v>1.0696455660938282</v>
      </c>
      <c r="P31" s="96">
        <f t="shared" si="3"/>
        <v>1.9652183068882465</v>
      </c>
      <c r="Q31" s="96">
        <f t="shared" si="4"/>
        <v>2.7034282798480223</v>
      </c>
      <c r="R31" s="96">
        <f t="shared" si="5"/>
        <v>4.081032835022695</v>
      </c>
      <c r="S31" s="96">
        <f t="shared" si="6"/>
        <v>6.5618356462743526</v>
      </c>
      <c r="T31" s="96">
        <f t="shared" si="7"/>
        <v>8.7553324211305359</v>
      </c>
      <c r="U31" s="96">
        <f t="shared" si="8"/>
        <v>11.651173467793184</v>
      </c>
      <c r="V31" s="96">
        <f t="shared" si="9"/>
        <v>4.374223321349092</v>
      </c>
      <c r="W31" s="96"/>
      <c r="X31" s="96">
        <f t="shared" si="10"/>
        <v>0.18218863124152029</v>
      </c>
      <c r="Y31" s="96">
        <f t="shared" si="13"/>
        <v>1.1379959840329383</v>
      </c>
      <c r="Z31" s="96">
        <f t="shared" si="13"/>
        <v>4.6498660108152556</v>
      </c>
      <c r="AA31" s="96">
        <f t="shared" si="13"/>
        <v>2.3941328807464943</v>
      </c>
      <c r="AB31" s="96">
        <f t="shared" si="13"/>
        <v>3.4610672843889265</v>
      </c>
      <c r="AC31" s="96">
        <f t="shared" si="13"/>
        <v>20.749981507198274</v>
      </c>
      <c r="AD31" s="96">
        <f t="shared" si="13"/>
        <v>31.02595149488862</v>
      </c>
      <c r="AE31" s="96">
        <f t="shared" si="13"/>
        <v>26.742639509868205</v>
      </c>
      <c r="AF31" s="96">
        <f t="shared" si="13"/>
        <v>9.6561766968197755</v>
      </c>
      <c r="AG31" s="96">
        <f t="shared" si="13"/>
        <v>100</v>
      </c>
    </row>
    <row r="32" spans="1:33" x14ac:dyDescent="0.2">
      <c r="A32" s="10" t="str">
        <f>name!D28</f>
        <v>91 Elementary trades and related occupations</v>
      </c>
      <c r="B32" s="68">
        <f>'Basic T2'!D32</f>
        <v>1.6719106833800984E-3</v>
      </c>
      <c r="C32" s="68">
        <f>'Basic T2'!O32</f>
        <v>0.55380605832537921</v>
      </c>
      <c r="D32" s="68">
        <f>'Basic T2'!Z32</f>
        <v>2.091169290854936</v>
      </c>
      <c r="E32" s="68">
        <f>'Basic T2'!AK32</f>
        <v>1.5244610398831835</v>
      </c>
      <c r="F32" s="68">
        <f>'Basic T2'!AV32</f>
        <v>1.6734431361935971</v>
      </c>
      <c r="G32" s="68">
        <f>'Basic T2'!BG32</f>
        <v>6.783133276656474</v>
      </c>
      <c r="H32" s="68">
        <f>'Basic T2'!BR32</f>
        <v>10.849296829772342</v>
      </c>
      <c r="I32" s="68">
        <f>'Basic T2'!CC32</f>
        <v>15.235790674416139</v>
      </c>
      <c r="J32" s="68">
        <f>'Basic T2'!CN32</f>
        <v>5.7208586718439234</v>
      </c>
      <c r="K32" s="309">
        <f t="shared" si="12"/>
        <v>44.433630888629352</v>
      </c>
      <c r="L32" s="96"/>
      <c r="M32" s="96">
        <f t="shared" si="0"/>
        <v>5.4012649516697962E-3</v>
      </c>
      <c r="N32" s="96">
        <f t="shared" si="1"/>
        <v>0.26000909585264342</v>
      </c>
      <c r="O32" s="96">
        <f t="shared" si="2"/>
        <v>0.45741482958011354</v>
      </c>
      <c r="P32" s="96">
        <f t="shared" si="3"/>
        <v>1.1898726191300222</v>
      </c>
      <c r="Q32" s="96">
        <f t="shared" si="4"/>
        <v>1.2429033571603569</v>
      </c>
      <c r="R32" s="96">
        <f t="shared" si="5"/>
        <v>1.2685404393625108</v>
      </c>
      <c r="S32" s="96">
        <f t="shared" si="6"/>
        <v>2.181842624311217</v>
      </c>
      <c r="T32" s="96">
        <f t="shared" si="7"/>
        <v>4.7430200256540385</v>
      </c>
      <c r="U32" s="96">
        <f t="shared" si="8"/>
        <v>6.5636781053727926</v>
      </c>
      <c r="V32" s="96">
        <f t="shared" si="9"/>
        <v>1.8481377837244097</v>
      </c>
      <c r="W32" s="96"/>
      <c r="X32" s="96">
        <f t="shared" si="10"/>
        <v>3.7627145248846712E-3</v>
      </c>
      <c r="Y32" s="96">
        <f t="shared" si="13"/>
        <v>1.2463668785327628</v>
      </c>
      <c r="Z32" s="96">
        <f t="shared" si="13"/>
        <v>4.7062759649247345</v>
      </c>
      <c r="AA32" s="96">
        <f t="shared" si="13"/>
        <v>3.4308720880905903</v>
      </c>
      <c r="AB32" s="96">
        <f t="shared" si="13"/>
        <v>3.7661633828394478</v>
      </c>
      <c r="AC32" s="96">
        <f t="shared" si="13"/>
        <v>15.265764109302825</v>
      </c>
      <c r="AD32" s="96">
        <f t="shared" si="13"/>
        <v>24.416858610914684</v>
      </c>
      <c r="AE32" s="96">
        <f t="shared" si="13"/>
        <v>34.288871671558589</v>
      </c>
      <c r="AF32" s="96">
        <f t="shared" si="13"/>
        <v>12.875064579311482</v>
      </c>
      <c r="AG32" s="96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8">
        <f>'Basic T2'!D33</f>
        <v>0.14642683525865008</v>
      </c>
      <c r="C33" s="68">
        <f>'Basic T2'!O33</f>
        <v>3.4892072112308559</v>
      </c>
      <c r="D33" s="68">
        <f>'Basic T2'!Z33</f>
        <v>15.060198091183464</v>
      </c>
      <c r="E33" s="68">
        <f>'Basic T2'!AK33</f>
        <v>7.2285210446503578</v>
      </c>
      <c r="F33" s="68">
        <f>'Basic T2'!AV33</f>
        <v>6.4752225667903476</v>
      </c>
      <c r="G33" s="68">
        <f>'Basic T2'!BG33</f>
        <v>38.384937970705565</v>
      </c>
      <c r="H33" s="68">
        <f>'Basic T2'!BR33</f>
        <v>62.57427141915057</v>
      </c>
      <c r="I33" s="68">
        <f>'Basic T2'!CC33</f>
        <v>56.746439080394438</v>
      </c>
      <c r="J33" s="68">
        <f>'Basic T2'!CN33</f>
        <v>15.452925460792875</v>
      </c>
      <c r="K33" s="309">
        <f>SUM(B33:J33)</f>
        <v>205.5581496801571</v>
      </c>
      <c r="L33" s="96"/>
      <c r="M33" s="96">
        <f t="shared" si="0"/>
        <v>0.47304568427515092</v>
      </c>
      <c r="N33" s="96">
        <f t="shared" si="1"/>
        <v>1.6381648387487187</v>
      </c>
      <c r="O33" s="96">
        <f t="shared" si="2"/>
        <v>3.2942134209062974</v>
      </c>
      <c r="P33" s="96">
        <f t="shared" si="3"/>
        <v>5.6420066127066679</v>
      </c>
      <c r="Q33" s="96">
        <f t="shared" si="4"/>
        <v>4.8092915095581485</v>
      </c>
      <c r="R33" s="96">
        <f t="shared" si="5"/>
        <v>7.1785182587866121</v>
      </c>
      <c r="S33" s="96">
        <f t="shared" si="6"/>
        <v>12.583968777853663</v>
      </c>
      <c r="T33" s="96">
        <f t="shared" si="7"/>
        <v>17.665607430195415</v>
      </c>
      <c r="U33" s="96">
        <f t="shared" si="8"/>
        <v>17.729511307482117</v>
      </c>
      <c r="V33" s="96">
        <f t="shared" si="9"/>
        <v>8.549825336771951</v>
      </c>
      <c r="W33" s="96"/>
      <c r="X33" s="96">
        <f>IF($K33&gt;0,B33/$K33*100,0)</f>
        <v>7.1233777637367462E-2</v>
      </c>
      <c r="Y33" s="96">
        <f t="shared" ref="Y33" si="14">IF($K33&gt;0,C33/$K33*100,0)</f>
        <v>1.6974307351277327</v>
      </c>
      <c r="Z33" s="96">
        <f t="shared" ref="Z33" si="15">IF($K33&gt;0,D33/$K33*100,0)</f>
        <v>7.326490394380726</v>
      </c>
      <c r="AA33" s="96">
        <f t="shared" ref="AA33" si="16">IF($K33&gt;0,E33/$K33*100,0)</f>
        <v>3.5165334266229484</v>
      </c>
      <c r="AB33" s="96">
        <f t="shared" ref="AB33" si="17">IF($K33&gt;0,F33/$K33*100,0)</f>
        <v>3.1500685216643647</v>
      </c>
      <c r="AC33" s="96">
        <f t="shared" ref="AC33" si="18">IF($K33&gt;0,G33/$K33*100,0)</f>
        <v>18.673517946348266</v>
      </c>
      <c r="AD33" s="96">
        <f t="shared" ref="AD33" si="19">IF($K33&gt;0,H33/$K33*100,0)</f>
        <v>30.44115327780214</v>
      </c>
      <c r="AE33" s="96">
        <f t="shared" ref="AE33" si="20">IF($K33&gt;0,I33/$K33*100,0)</f>
        <v>27.606027378963255</v>
      </c>
      <c r="AF33" s="96">
        <f>IF($K33&gt;0,J33/$K33*100,0)</f>
        <v>7.517544541453212</v>
      </c>
      <c r="AG33" s="96">
        <f t="shared" ref="AG33" si="21">IF($K33&gt;0,K33/$K33*100,0)</f>
        <v>100</v>
      </c>
    </row>
    <row r="34" spans="1:33" x14ac:dyDescent="0.2">
      <c r="B34" s="309"/>
      <c r="C34" s="309"/>
      <c r="D34" s="309"/>
      <c r="E34" s="68"/>
      <c r="F34" s="68"/>
      <c r="G34" s="68"/>
      <c r="H34" s="68"/>
      <c r="I34" s="68"/>
      <c r="J34" s="68"/>
      <c r="K34" s="309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</row>
    <row r="35" spans="1:33" x14ac:dyDescent="0.2">
      <c r="A35" s="107" t="str">
        <f>name!D3</f>
        <v>All occupations</v>
      </c>
      <c r="B35" s="310">
        <f>SUM(B8:B33)</f>
        <v>30.954057953835957</v>
      </c>
      <c r="C35" s="310">
        <f t="shared" ref="C35:K35" si="22">SUM(C8:C33)</f>
        <v>212.99487870195171</v>
      </c>
      <c r="D35" s="310">
        <f t="shared" si="22"/>
        <v>457.17129301962871</v>
      </c>
      <c r="E35" s="310">
        <f t="shared" si="22"/>
        <v>128.11968402111785</v>
      </c>
      <c r="F35" s="310">
        <f t="shared" si="22"/>
        <v>134.63984360110572</v>
      </c>
      <c r="G35" s="310">
        <f t="shared" si="22"/>
        <v>534.71951434715425</v>
      </c>
      <c r="H35" s="310">
        <f t="shared" si="22"/>
        <v>497.25386739097837</v>
      </c>
      <c r="I35" s="310">
        <f t="shared" si="22"/>
        <v>321.22551859382463</v>
      </c>
      <c r="J35" s="310">
        <f t="shared" si="22"/>
        <v>87.159342368740354</v>
      </c>
      <c r="K35" s="310">
        <f t="shared" si="22"/>
        <v>2404.2379999983377</v>
      </c>
      <c r="L35" s="310"/>
      <c r="M35" s="97">
        <f>B35/B$35*100</f>
        <v>100</v>
      </c>
      <c r="N35" s="97">
        <f>C35/C$35*100</f>
        <v>100</v>
      </c>
      <c r="O35" s="97">
        <f>D35/D$35*100</f>
        <v>100</v>
      </c>
      <c r="P35" s="97">
        <f t="shared" ref="P35:U35" si="23">E35/E$35*100</f>
        <v>100</v>
      </c>
      <c r="Q35" s="97">
        <f t="shared" si="23"/>
        <v>100</v>
      </c>
      <c r="R35" s="97">
        <f t="shared" si="23"/>
        <v>100</v>
      </c>
      <c r="S35" s="97">
        <f t="shared" si="23"/>
        <v>100</v>
      </c>
      <c r="T35" s="97">
        <f t="shared" si="23"/>
        <v>100</v>
      </c>
      <c r="U35" s="97">
        <f t="shared" si="23"/>
        <v>100</v>
      </c>
      <c r="V35" s="97">
        <f>K35/K$35*100</f>
        <v>100</v>
      </c>
      <c r="W35" s="97"/>
      <c r="X35" s="97">
        <f>IF($K35&gt;0,B35/$K35*100,0)</f>
        <v>1.2874789415131678</v>
      </c>
      <c r="Y35" s="97">
        <f t="shared" ref="Y35:AG35" si="24">IF($K35&gt;0,C35/$K35*100,0)</f>
        <v>8.8591428428507903</v>
      </c>
      <c r="Z35" s="97">
        <f t="shared" si="24"/>
        <v>19.015226155644523</v>
      </c>
      <c r="AA35" s="97">
        <f t="shared" si="24"/>
        <v>5.3289102002882585</v>
      </c>
      <c r="AB35" s="97">
        <f t="shared" si="24"/>
        <v>5.6001046319540251</v>
      </c>
      <c r="AC35" s="97">
        <f t="shared" si="24"/>
        <v>22.240706383790787</v>
      </c>
      <c r="AD35" s="97">
        <f t="shared" si="24"/>
        <v>20.682389488533257</v>
      </c>
      <c r="AE35" s="97">
        <f t="shared" si="24"/>
        <v>13.360803655630047</v>
      </c>
      <c r="AF35" s="97">
        <f t="shared" si="24"/>
        <v>3.6252376997951377</v>
      </c>
      <c r="AG35" s="97">
        <f t="shared" si="24"/>
        <v>100</v>
      </c>
    </row>
    <row r="37" spans="1:33" x14ac:dyDescent="0.2">
      <c r="A37" s="90" t="str">
        <f ca="1">CELL("filename")</f>
        <v>M:\IE\Projects\Nuffield via NFER AI and automation\Data\Results\Workbooks\EM\[EM_MainTables.Main.xlsm]Manager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0" customWidth="1"/>
    <col min="2" max="2" width="5.7109375" style="90" customWidth="1"/>
    <col min="3" max="3" width="11.7109375" style="90" customWidth="1"/>
    <col min="4" max="4" width="7.85546875" style="90" customWidth="1"/>
    <col min="5" max="5" width="9.85546875" style="90" customWidth="1"/>
    <col min="6" max="6" width="10" style="90" customWidth="1"/>
    <col min="7" max="7" width="2.7109375" style="90" customWidth="1"/>
    <col min="8" max="8" width="5.7109375" style="90" customWidth="1"/>
    <col min="9" max="9" width="10.7109375" style="90" customWidth="1"/>
    <col min="10" max="12" width="8.7109375" style="90" customWidth="1"/>
    <col min="13" max="13" width="2.7109375" style="90" customWidth="1"/>
    <col min="14" max="14" width="5.7109375" style="90" customWidth="1"/>
    <col min="15" max="15" width="10.7109375" style="90" customWidth="1"/>
    <col min="16" max="18" width="8.7109375" style="90" customWidth="1"/>
    <col min="19" max="19" width="2.7109375" style="90" customWidth="1"/>
    <col min="20" max="20" width="5.7109375" style="90" customWidth="1"/>
    <col min="21" max="21" width="10.7109375" style="90" customWidth="1"/>
    <col min="22" max="24" width="8.7109375" style="90" customWidth="1"/>
    <col min="25" max="25" width="33.7109375" style="90" customWidth="1"/>
    <col min="26" max="26" width="5.7109375" style="90" customWidth="1"/>
    <col min="27" max="27" width="11.7109375" style="90" customWidth="1"/>
    <col min="28" max="28" width="7.42578125" style="90" customWidth="1"/>
    <col min="29" max="30" width="8.7109375" style="90" customWidth="1"/>
    <col min="31" max="31" width="2.7109375" style="90" customWidth="1"/>
    <col min="32" max="32" width="5.7109375" style="90" customWidth="1"/>
    <col min="33" max="33" width="10.7109375" style="90" customWidth="1"/>
    <col min="34" max="36" width="8.7109375" style="90" customWidth="1"/>
    <col min="37" max="37" width="2.7109375" style="90" customWidth="1"/>
    <col min="38" max="38" width="5.7109375" style="90" customWidth="1"/>
    <col min="39" max="39" width="10.7109375" style="90" customWidth="1"/>
    <col min="40" max="42" width="8.7109375" style="90" customWidth="1"/>
    <col min="43" max="43" width="2.7109375" style="90" customWidth="1"/>
    <col min="44" max="44" width="5.7109375" style="90" customWidth="1"/>
    <col min="45" max="45" width="10.7109375" style="90" customWidth="1"/>
    <col min="46" max="48" width="8.7109375" style="90" customWidth="1"/>
    <col min="49" max="49" width="33.7109375" style="90" customWidth="1"/>
    <col min="50" max="50" width="5.7109375" style="90" customWidth="1"/>
    <col min="51" max="51" width="11.7109375" style="90" customWidth="1"/>
    <col min="52" max="52" width="7.42578125" style="90" customWidth="1"/>
    <col min="53" max="54" width="8.7109375" style="90" customWidth="1"/>
    <col min="55" max="55" width="2.7109375" style="90" customWidth="1"/>
    <col min="56" max="56" width="5.7109375" style="90" customWidth="1"/>
    <col min="57" max="57" width="10.7109375" style="90" customWidth="1"/>
    <col min="58" max="60" width="8.7109375" style="90" customWidth="1"/>
    <col min="61" max="61" width="2.7109375" style="90" customWidth="1"/>
    <col min="62" max="62" width="5.7109375" style="90" customWidth="1"/>
    <col min="63" max="63" width="10.7109375" style="90" customWidth="1"/>
    <col min="64" max="66" width="8.7109375" style="90" customWidth="1"/>
    <col min="67" max="67" width="2.7109375" style="90" customWidth="1"/>
    <col min="68" max="68" width="5.7109375" style="90" customWidth="1"/>
    <col min="69" max="69" width="10.7109375" style="90" customWidth="1"/>
    <col min="70" max="72" width="8.7109375" style="90" customWidth="1"/>
    <col min="73" max="73" width="33.7109375" style="90" customWidth="1"/>
    <col min="74" max="74" width="5.7109375" style="90" customWidth="1"/>
    <col min="75" max="75" width="11.7109375" style="90" customWidth="1"/>
    <col min="76" max="76" width="7.42578125" style="90" customWidth="1"/>
    <col min="77" max="78" width="8.7109375" style="90" customWidth="1"/>
    <col min="79" max="79" width="2.7109375" style="90" customWidth="1"/>
    <col min="80" max="80" width="5.7109375" style="90" customWidth="1"/>
    <col min="81" max="81" width="10.7109375" style="90" customWidth="1"/>
    <col min="82" max="84" width="8.7109375" style="90" customWidth="1"/>
    <col min="85" max="85" width="2.7109375" style="90" customWidth="1"/>
    <col min="86" max="86" width="5.7109375" style="90" customWidth="1"/>
    <col min="87" max="87" width="10.7109375" style="90" customWidth="1"/>
    <col min="88" max="90" width="8.7109375" style="90" customWidth="1"/>
    <col min="91" max="91" width="2.7109375" style="90" customWidth="1"/>
    <col min="92" max="92" width="5.7109375" style="90" customWidth="1"/>
    <col min="93" max="93" width="10.7109375" style="90" customWidth="1"/>
    <col min="94" max="96" width="8.7109375" style="90" customWidth="1"/>
    <col min="97" max="97" width="33.7109375" style="90" customWidth="1"/>
    <col min="98" max="98" width="5.7109375" style="90" customWidth="1"/>
    <col min="99" max="99" width="11.7109375" style="90" customWidth="1"/>
    <col min="100" max="100" width="7.42578125" style="90" customWidth="1"/>
    <col min="101" max="102" width="8.7109375" style="90" customWidth="1"/>
    <col min="103" max="103" width="2.7109375" style="90" customWidth="1"/>
    <col min="104" max="104" width="5.7109375" style="90" customWidth="1"/>
    <col min="105" max="105" width="10.7109375" style="90" customWidth="1"/>
    <col min="106" max="108" width="8.7109375" style="90" customWidth="1"/>
    <col min="109" max="109" width="2.7109375" style="90" customWidth="1"/>
    <col min="110" max="110" width="5.7109375" style="90" customWidth="1"/>
    <col min="111" max="111" width="10.7109375" style="90" customWidth="1"/>
    <col min="112" max="114" width="8.7109375" style="90" customWidth="1"/>
    <col min="115" max="115" width="2.7109375" style="90" customWidth="1"/>
    <col min="116" max="116" width="5.7109375" style="90" customWidth="1"/>
    <col min="117" max="117" width="10.7109375" style="90" customWidth="1"/>
    <col min="118" max="120" width="8.7109375" style="90" customWidth="1"/>
    <col min="121" max="16384" width="9.140625" style="90"/>
  </cols>
  <sheetData>
    <row r="1" spans="1:120" ht="15.75" x14ac:dyDescent="0.25">
      <c r="A1" s="18" t="str">
        <f>CONCATENATE("Basic Table 5  Replacement Demand, ",A100,"-",A101,", by Industry and Qualification for ",name!$H$3)</f>
        <v>Basic Table 5  Replacement Demand, 2015-2025, by Industry and Qualification for M</v>
      </c>
      <c r="Y1" s="18" t="str">
        <f>CONCATENATE("Basic Table 5  Replacement Demand, ",A100,"-",A101,", by Industry and Qualification for ",name!$H$4)</f>
        <v>Basic Table 5  Replacement Demand, 2015-2025, by Industry and Qualification for F</v>
      </c>
      <c r="AW1" s="18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8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8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8"/>
      <c r="Y2" s="18"/>
      <c r="AW2" s="18"/>
      <c r="BU2" s="18"/>
      <c r="CS2" s="18"/>
    </row>
    <row r="3" spans="1:120" x14ac:dyDescent="0.2"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115" t="s">
        <v>35</v>
      </c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115" t="str">
        <f>$X$3</f>
        <v>thousands</v>
      </c>
      <c r="AX3" s="91"/>
      <c r="AY3" s="91"/>
      <c r="AZ3" s="91"/>
      <c r="BA3" s="91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115" t="str">
        <f>$X$3</f>
        <v>thousands</v>
      </c>
      <c r="BV3" s="91"/>
      <c r="BW3" s="91"/>
      <c r="BX3" s="91"/>
      <c r="BY3" s="91"/>
      <c r="BZ3" s="91"/>
      <c r="CA3" s="91"/>
      <c r="CB3" s="91"/>
      <c r="CC3" s="91"/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115" t="str">
        <f>$X$3</f>
        <v>thousands</v>
      </c>
      <c r="CT3" s="91"/>
      <c r="CU3" s="91"/>
      <c r="CV3" s="91"/>
      <c r="CW3" s="91"/>
      <c r="CX3" s="91"/>
      <c r="CY3" s="91"/>
      <c r="CZ3" s="91"/>
      <c r="DA3" s="91"/>
      <c r="DB3" s="91"/>
      <c r="DC3" s="91"/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115" t="str">
        <f>$X$3</f>
        <v>thousands</v>
      </c>
    </row>
    <row r="4" spans="1:120" x14ac:dyDescent="0.2">
      <c r="A4" s="95"/>
      <c r="B4" s="381" t="str">
        <f>name!F3</f>
        <v>All qualifications</v>
      </c>
      <c r="C4" s="381"/>
      <c r="D4" s="381"/>
      <c r="E4" s="381"/>
      <c r="F4" s="381"/>
      <c r="G4" s="102"/>
      <c r="H4" s="381" t="str">
        <f>name!F4</f>
        <v>RQF8 Doctorate</v>
      </c>
      <c r="I4" s="381"/>
      <c r="J4" s="381"/>
      <c r="K4" s="381"/>
      <c r="L4" s="381"/>
      <c r="N4" s="382" t="str">
        <f>name!F5</f>
        <v>RQF7 Other higher degree</v>
      </c>
      <c r="O4" s="382"/>
      <c r="P4" s="382"/>
      <c r="Q4" s="382"/>
      <c r="R4" s="382"/>
      <c r="S4" s="110"/>
      <c r="T4" s="382" t="str">
        <f>name!F6</f>
        <v>RQF6 First degree</v>
      </c>
      <c r="U4" s="382"/>
      <c r="V4" s="382"/>
      <c r="W4" s="382"/>
      <c r="X4" s="382"/>
      <c r="Y4" s="95"/>
      <c r="Z4" s="381" t="str">
        <f>$B$4</f>
        <v>All qualifications</v>
      </c>
      <c r="AA4" s="381"/>
      <c r="AB4" s="381"/>
      <c r="AC4" s="381"/>
      <c r="AD4" s="381"/>
      <c r="AE4" s="102"/>
      <c r="AF4" s="381" t="str">
        <f>$H$4</f>
        <v>RQF8 Doctorate</v>
      </c>
      <c r="AG4" s="381"/>
      <c r="AH4" s="381"/>
      <c r="AI4" s="381"/>
      <c r="AJ4" s="381"/>
      <c r="AL4" s="382" t="str">
        <f>$N$4</f>
        <v>RQF7 Other higher degree</v>
      </c>
      <c r="AM4" s="382"/>
      <c r="AN4" s="382"/>
      <c r="AO4" s="382"/>
      <c r="AP4" s="382"/>
      <c r="AQ4" s="110"/>
      <c r="AR4" s="382" t="str">
        <f>$T$4</f>
        <v>RQF6 First degree</v>
      </c>
      <c r="AS4" s="382"/>
      <c r="AT4" s="382"/>
      <c r="AU4" s="382"/>
      <c r="AV4" s="382"/>
      <c r="AW4" s="95"/>
      <c r="AX4" s="381" t="str">
        <f>$B$4</f>
        <v>All qualifications</v>
      </c>
      <c r="AY4" s="381"/>
      <c r="AZ4" s="381"/>
      <c r="BA4" s="381"/>
      <c r="BB4" s="381"/>
      <c r="BC4" s="102"/>
      <c r="BD4" s="381" t="str">
        <f>$H$4</f>
        <v>RQF8 Doctorate</v>
      </c>
      <c r="BE4" s="381"/>
      <c r="BF4" s="381"/>
      <c r="BG4" s="381"/>
      <c r="BH4" s="381"/>
      <c r="BJ4" s="382" t="str">
        <f>$N$4</f>
        <v>RQF7 Other higher degree</v>
      </c>
      <c r="BK4" s="382"/>
      <c r="BL4" s="382"/>
      <c r="BM4" s="382"/>
      <c r="BN4" s="382"/>
      <c r="BO4" s="110"/>
      <c r="BP4" s="382" t="str">
        <f>$T$4</f>
        <v>RQF6 First degree</v>
      </c>
      <c r="BQ4" s="382"/>
      <c r="BR4" s="382"/>
      <c r="BS4" s="382"/>
      <c r="BT4" s="382"/>
      <c r="BU4" s="95"/>
      <c r="BV4" s="381" t="str">
        <f>$B$4</f>
        <v>All qualifications</v>
      </c>
      <c r="BW4" s="381"/>
      <c r="BX4" s="381"/>
      <c r="BY4" s="381"/>
      <c r="BZ4" s="381"/>
      <c r="CA4" s="102"/>
      <c r="CB4" s="381" t="str">
        <f>$H$4</f>
        <v>RQF8 Doctorate</v>
      </c>
      <c r="CC4" s="381"/>
      <c r="CD4" s="381"/>
      <c r="CE4" s="381"/>
      <c r="CF4" s="381"/>
      <c r="CH4" s="382" t="str">
        <f>$N$4</f>
        <v>RQF7 Other higher degree</v>
      </c>
      <c r="CI4" s="382"/>
      <c r="CJ4" s="382"/>
      <c r="CK4" s="382"/>
      <c r="CL4" s="382"/>
      <c r="CM4" s="110"/>
      <c r="CN4" s="382" t="str">
        <f>$T$4</f>
        <v>RQF6 First degree</v>
      </c>
      <c r="CO4" s="382"/>
      <c r="CP4" s="382"/>
      <c r="CQ4" s="382"/>
      <c r="CR4" s="382"/>
      <c r="CS4" s="95"/>
      <c r="CT4" s="381" t="str">
        <f>$B$4</f>
        <v>All qualifications</v>
      </c>
      <c r="CU4" s="381"/>
      <c r="CV4" s="381"/>
      <c r="CW4" s="381"/>
      <c r="CX4" s="381"/>
      <c r="CY4" s="102"/>
      <c r="CZ4" s="381" t="str">
        <f>$H$4</f>
        <v>RQF8 Doctorate</v>
      </c>
      <c r="DA4" s="381"/>
      <c r="DB4" s="381"/>
      <c r="DC4" s="381"/>
      <c r="DD4" s="381"/>
      <c r="DF4" s="382" t="str">
        <f>$N$4</f>
        <v>RQF7 Other higher degree</v>
      </c>
      <c r="DG4" s="382"/>
      <c r="DH4" s="382"/>
      <c r="DI4" s="382"/>
      <c r="DJ4" s="382"/>
      <c r="DK4" s="110"/>
      <c r="DL4" s="382" t="str">
        <f>$T$4</f>
        <v>RQF6 First degree</v>
      </c>
      <c r="DM4" s="382"/>
      <c r="DN4" s="382"/>
      <c r="DO4" s="382"/>
      <c r="DP4" s="382"/>
    </row>
    <row r="6" spans="1:120" s="101" customFormat="1" ht="38.25" x14ac:dyDescent="0.2">
      <c r="A6" s="100"/>
      <c r="B6" s="105" t="s">
        <v>42</v>
      </c>
      <c r="C6" s="114" t="str">
        <f>CONCATENATE($A$100," Level")</f>
        <v>2015 Level</v>
      </c>
      <c r="D6" s="104" t="s">
        <v>40</v>
      </c>
      <c r="E6" s="114" t="s">
        <v>43</v>
      </c>
      <c r="F6" s="114" t="s">
        <v>44</v>
      </c>
      <c r="G6" s="103"/>
      <c r="H6" s="104" t="str">
        <f>B6</f>
        <v>RD p.a%</v>
      </c>
      <c r="I6" s="104" t="str">
        <f>C6</f>
        <v>2015 Level</v>
      </c>
      <c r="J6" s="104" t="str">
        <f>D6</f>
        <v>Net Change</v>
      </c>
      <c r="K6" s="104" t="str">
        <f>E6</f>
        <v>Replace-ment Demand</v>
      </c>
      <c r="L6" s="104" t="str">
        <f>F6</f>
        <v>Total Require-ment</v>
      </c>
      <c r="M6" s="103"/>
      <c r="N6" s="105" t="str">
        <f>H6</f>
        <v>RD p.a%</v>
      </c>
      <c r="O6" s="105" t="str">
        <f>I6</f>
        <v>2015 Level</v>
      </c>
      <c r="P6" s="105" t="str">
        <f>J6</f>
        <v>Net Change</v>
      </c>
      <c r="Q6" s="105" t="str">
        <f>K6</f>
        <v>Replace-ment Demand</v>
      </c>
      <c r="R6" s="105" t="str">
        <f>L6</f>
        <v>Total Require-ment</v>
      </c>
      <c r="S6" s="103"/>
      <c r="T6" s="105" t="str">
        <f>N6</f>
        <v>RD p.a%</v>
      </c>
      <c r="U6" s="105" t="str">
        <f>O6</f>
        <v>2015 Level</v>
      </c>
      <c r="V6" s="105" t="str">
        <f>P6</f>
        <v>Net Change</v>
      </c>
      <c r="W6" s="105" t="str">
        <f>Q6</f>
        <v>Replace-ment Demand</v>
      </c>
      <c r="X6" s="105" t="str">
        <f>R6</f>
        <v>Total Require-ment</v>
      </c>
      <c r="Y6" s="100"/>
      <c r="Z6" s="105" t="s">
        <v>42</v>
      </c>
      <c r="AA6" s="114" t="str">
        <f>CONCATENATE($A$100," Level")</f>
        <v>2015 Level</v>
      </c>
      <c r="AB6" s="104" t="s">
        <v>40</v>
      </c>
      <c r="AC6" s="114" t="s">
        <v>43</v>
      </c>
      <c r="AD6" s="114" t="s">
        <v>44</v>
      </c>
      <c r="AE6" s="103"/>
      <c r="AF6" s="104" t="str">
        <f>Z6</f>
        <v>RD p.a%</v>
      </c>
      <c r="AG6" s="104" t="str">
        <f>AA6</f>
        <v>2015 Level</v>
      </c>
      <c r="AH6" s="104" t="str">
        <f>AB6</f>
        <v>Net Change</v>
      </c>
      <c r="AI6" s="104" t="str">
        <f>AC6</f>
        <v>Replace-ment Demand</v>
      </c>
      <c r="AJ6" s="104" t="str">
        <f>AD6</f>
        <v>Total Require-ment</v>
      </c>
      <c r="AK6" s="103"/>
      <c r="AL6" s="105" t="str">
        <f>AF6</f>
        <v>RD p.a%</v>
      </c>
      <c r="AM6" s="105" t="str">
        <f>AG6</f>
        <v>2015 Level</v>
      </c>
      <c r="AN6" s="105" t="str">
        <f>AH6</f>
        <v>Net Change</v>
      </c>
      <c r="AO6" s="105" t="str">
        <f>AI6</f>
        <v>Replace-ment Demand</v>
      </c>
      <c r="AP6" s="105" t="str">
        <f>AJ6</f>
        <v>Total Require-ment</v>
      </c>
      <c r="AQ6" s="103"/>
      <c r="AR6" s="105" t="str">
        <f>AL6</f>
        <v>RD p.a%</v>
      </c>
      <c r="AS6" s="105" t="str">
        <f>AM6</f>
        <v>2015 Level</v>
      </c>
      <c r="AT6" s="105" t="str">
        <f>AN6</f>
        <v>Net Change</v>
      </c>
      <c r="AU6" s="105" t="str">
        <f>AO6</f>
        <v>Replace-ment Demand</v>
      </c>
      <c r="AV6" s="105" t="str">
        <f>AP6</f>
        <v>Total Require-ment</v>
      </c>
      <c r="AW6" s="100"/>
      <c r="AX6" s="105" t="s">
        <v>42</v>
      </c>
      <c r="AY6" s="114" t="str">
        <f>CONCATENATE($A$100," Level")</f>
        <v>2015 Level</v>
      </c>
      <c r="AZ6" s="104" t="s">
        <v>40</v>
      </c>
      <c r="BA6" s="114" t="s">
        <v>43</v>
      </c>
      <c r="BB6" s="114" t="s">
        <v>44</v>
      </c>
      <c r="BC6" s="103"/>
      <c r="BD6" s="104" t="str">
        <f>AX6</f>
        <v>RD p.a%</v>
      </c>
      <c r="BE6" s="104" t="str">
        <f>AY6</f>
        <v>2015 Level</v>
      </c>
      <c r="BF6" s="104" t="str">
        <f>AZ6</f>
        <v>Net Change</v>
      </c>
      <c r="BG6" s="104" t="str">
        <f>BA6</f>
        <v>Replace-ment Demand</v>
      </c>
      <c r="BH6" s="104" t="str">
        <f>BB6</f>
        <v>Total Require-ment</v>
      </c>
      <c r="BI6" s="103"/>
      <c r="BJ6" s="105" t="str">
        <f>BD6</f>
        <v>RD p.a%</v>
      </c>
      <c r="BK6" s="105" t="str">
        <f>BE6</f>
        <v>2015 Level</v>
      </c>
      <c r="BL6" s="105" t="str">
        <f>BF6</f>
        <v>Net Change</v>
      </c>
      <c r="BM6" s="105" t="str">
        <f>BG6</f>
        <v>Replace-ment Demand</v>
      </c>
      <c r="BN6" s="105" t="str">
        <f>BH6</f>
        <v>Total Require-ment</v>
      </c>
      <c r="BO6" s="103"/>
      <c r="BP6" s="105" t="str">
        <f>BJ6</f>
        <v>RD p.a%</v>
      </c>
      <c r="BQ6" s="105" t="str">
        <f>BK6</f>
        <v>2015 Level</v>
      </c>
      <c r="BR6" s="105" t="str">
        <f>BL6</f>
        <v>Net Change</v>
      </c>
      <c r="BS6" s="105" t="str">
        <f>BM6</f>
        <v>Replace-ment Demand</v>
      </c>
      <c r="BT6" s="105" t="str">
        <f>BN6</f>
        <v>Total Require-ment</v>
      </c>
      <c r="BU6" s="100"/>
      <c r="BV6" s="105" t="s">
        <v>42</v>
      </c>
      <c r="BW6" s="114" t="str">
        <f>CONCATENATE($A$100," Level")</f>
        <v>2015 Level</v>
      </c>
      <c r="BX6" s="104" t="s">
        <v>40</v>
      </c>
      <c r="BY6" s="114" t="s">
        <v>43</v>
      </c>
      <c r="BZ6" s="114" t="s">
        <v>44</v>
      </c>
      <c r="CA6" s="103"/>
      <c r="CB6" s="104" t="str">
        <f>BV6</f>
        <v>RD p.a%</v>
      </c>
      <c r="CC6" s="104" t="str">
        <f>BW6</f>
        <v>2015 Level</v>
      </c>
      <c r="CD6" s="104" t="str">
        <f>BX6</f>
        <v>Net Change</v>
      </c>
      <c r="CE6" s="104" t="str">
        <f>BY6</f>
        <v>Replace-ment Demand</v>
      </c>
      <c r="CF6" s="104" t="str">
        <f>BZ6</f>
        <v>Total Require-ment</v>
      </c>
      <c r="CG6" s="103"/>
      <c r="CH6" s="105" t="str">
        <f>CB6</f>
        <v>RD p.a%</v>
      </c>
      <c r="CI6" s="105" t="str">
        <f>CC6</f>
        <v>2015 Level</v>
      </c>
      <c r="CJ6" s="105" t="str">
        <f>CD6</f>
        <v>Net Change</v>
      </c>
      <c r="CK6" s="105" t="str">
        <f>CE6</f>
        <v>Replace-ment Demand</v>
      </c>
      <c r="CL6" s="105" t="str">
        <f>CF6</f>
        <v>Total Require-ment</v>
      </c>
      <c r="CM6" s="103"/>
      <c r="CN6" s="105" t="str">
        <f>CH6</f>
        <v>RD p.a%</v>
      </c>
      <c r="CO6" s="105" t="str">
        <f>CI6</f>
        <v>2015 Level</v>
      </c>
      <c r="CP6" s="105" t="str">
        <f>CJ6</f>
        <v>Net Change</v>
      </c>
      <c r="CQ6" s="105" t="str">
        <f>CK6</f>
        <v>Replace-ment Demand</v>
      </c>
      <c r="CR6" s="105" t="str">
        <f>CL6</f>
        <v>Total Require-ment</v>
      </c>
      <c r="CS6" s="100"/>
      <c r="CT6" s="105" t="s">
        <v>42</v>
      </c>
      <c r="CU6" s="114" t="str">
        <f>CONCATENATE($A$100," Level")</f>
        <v>2015 Level</v>
      </c>
      <c r="CV6" s="104" t="s">
        <v>40</v>
      </c>
      <c r="CW6" s="114" t="s">
        <v>43</v>
      </c>
      <c r="CX6" s="114" t="s">
        <v>44</v>
      </c>
      <c r="CY6" s="103"/>
      <c r="CZ6" s="104" t="str">
        <f>CT6</f>
        <v>RD p.a%</v>
      </c>
      <c r="DA6" s="104" t="str">
        <f>CU6</f>
        <v>2015 Level</v>
      </c>
      <c r="DB6" s="104" t="str">
        <f>CV6</f>
        <v>Net Change</v>
      </c>
      <c r="DC6" s="104" t="str">
        <f>CW6</f>
        <v>Replace-ment Demand</v>
      </c>
      <c r="DD6" s="104" t="str">
        <f>CX6</f>
        <v>Total Require-ment</v>
      </c>
      <c r="DE6" s="103"/>
      <c r="DF6" s="105" t="str">
        <f>CZ6</f>
        <v>RD p.a%</v>
      </c>
      <c r="DG6" s="105" t="str">
        <f>DA6</f>
        <v>2015 Level</v>
      </c>
      <c r="DH6" s="105" t="str">
        <f>DB6</f>
        <v>Net Change</v>
      </c>
      <c r="DI6" s="105" t="str">
        <f>DC6</f>
        <v>Replace-ment Demand</v>
      </c>
      <c r="DJ6" s="105" t="str">
        <f>DD6</f>
        <v>Total Require-ment</v>
      </c>
      <c r="DK6" s="103"/>
      <c r="DL6" s="105" t="str">
        <f>DF6</f>
        <v>RD p.a%</v>
      </c>
      <c r="DM6" s="105" t="str">
        <f>DG6</f>
        <v>2015 Level</v>
      </c>
      <c r="DN6" s="105" t="str">
        <f>DH6</f>
        <v>Net Change</v>
      </c>
      <c r="DO6" s="105" t="str">
        <f>DI6</f>
        <v>Replace-ment Demand</v>
      </c>
      <c r="DP6" s="105" t="str">
        <f>DJ6</f>
        <v>Total Require-ment</v>
      </c>
    </row>
    <row r="8" spans="1:120" x14ac:dyDescent="0.2">
      <c r="A8" s="90" t="str">
        <f>name!B4</f>
        <v>Agriculture</v>
      </c>
      <c r="B8" s="39">
        <f>IF(C8&gt;0,((1+(E8/C8))^(1/($A$101-$A$100))-1)*100,0)</f>
        <v>3.6286528043839583</v>
      </c>
      <c r="C8" s="11">
        <v>55.936999999999848</v>
      </c>
      <c r="D8" s="93">
        <v>-6.9799999999999773</v>
      </c>
      <c r="E8" s="93">
        <v>23.953969842292668</v>
      </c>
      <c r="F8" s="93">
        <f>SUM(D8:E8)</f>
        <v>16.973969842292689</v>
      </c>
      <c r="G8" s="93"/>
      <c r="H8" s="39">
        <f>IF(I8&gt;0,((1+(K8/I8))^(1/($A$101-$A$100))-1)*100,0)</f>
        <v>3.5263839839017708</v>
      </c>
      <c r="I8" s="93">
        <v>17.246149343314809</v>
      </c>
      <c r="J8" s="93">
        <v>-6.8895887133768028</v>
      </c>
      <c r="K8" s="93">
        <v>7.1433335785126539</v>
      </c>
      <c r="L8" s="93">
        <f>SUM(J8:K8)</f>
        <v>0.25374486513585115</v>
      </c>
      <c r="N8" s="39">
        <f>IF(O8&gt;0,((1+(Q8/O8))^(1/($A$101-$A$100))-1)*100,0)</f>
        <v>3.688575763403712</v>
      </c>
      <c r="O8" s="93">
        <v>26.89476620234856</v>
      </c>
      <c r="P8" s="93">
        <v>-1.7755328024279793</v>
      </c>
      <c r="Q8" s="93">
        <v>11.739873371498375</v>
      </c>
      <c r="R8" s="93">
        <f>SUM(P8:Q8)</f>
        <v>9.9643405690703943</v>
      </c>
      <c r="S8" s="106"/>
      <c r="T8" s="39">
        <f>IF(U8&gt;0,((1+(W8/U8))^(1/($A$101-$A$100))-1)*100,0)</f>
        <v>3.6405249613346236</v>
      </c>
      <c r="U8" s="93">
        <v>11.79608445433648</v>
      </c>
      <c r="V8" s="93">
        <v>1.6851215158048036</v>
      </c>
      <c r="W8" s="93">
        <v>5.0707628922816417</v>
      </c>
      <c r="X8" s="93">
        <f>SUM(V8:W8)</f>
        <v>6.7558844080864455</v>
      </c>
      <c r="Y8" s="90" t="str">
        <f t="shared" ref="Y8:Y48" si="0">A8</f>
        <v>Agriculture</v>
      </c>
      <c r="Z8" s="39">
        <f>IF(AA8&gt;0,((1+(AC8/AA8))^(1/($A$101-$A$100))-1)*100,0)</f>
        <v>3.2278133961415545</v>
      </c>
      <c r="AA8" s="11">
        <v>4.3826960714462242</v>
      </c>
      <c r="AB8" s="93">
        <v>3.8928451595904385</v>
      </c>
      <c r="AC8" s="93">
        <v>1.6388586204918438</v>
      </c>
      <c r="AD8" s="93">
        <f>SUM(AB8:AC8)</f>
        <v>5.5317037800822826</v>
      </c>
      <c r="AE8" s="93"/>
      <c r="AF8" s="39">
        <f>IF(AG8&gt;0,((1+(AI8/AG8))^(1/($A$101-$A$100))-1)*100,0)</f>
        <v>3.7281488295962228</v>
      </c>
      <c r="AG8" s="93">
        <v>0.36786575366769064</v>
      </c>
      <c r="AH8" s="93">
        <v>0.72586367094203585</v>
      </c>
      <c r="AI8" s="93">
        <v>0.16259790102888269</v>
      </c>
      <c r="AJ8" s="93">
        <f>SUM(AH8:AI8)</f>
        <v>0.88846157197091857</v>
      </c>
      <c r="AL8" s="39">
        <f>IF(AM8&gt;0,((1+(AO8/AM8))^(1/($A$101-$A$100))-1)*100,0)</f>
        <v>3.4098436752145078</v>
      </c>
      <c r="AM8" s="93">
        <v>1.6324139933768864</v>
      </c>
      <c r="AN8" s="93">
        <v>2.2923856880061342</v>
      </c>
      <c r="AO8" s="93">
        <v>0.65028751093123516</v>
      </c>
      <c r="AP8" s="93">
        <f>SUM(AN8:AO8)</f>
        <v>2.9426731989373693</v>
      </c>
      <c r="AQ8" s="106"/>
      <c r="AR8" s="39">
        <f>IF(AS8&gt;0,((1+(AU8/AS8))^(1/($A$101-$A$100))-1)*100,0)</f>
        <v>3.0212804601292831</v>
      </c>
      <c r="AS8" s="93">
        <v>2.382416324401647</v>
      </c>
      <c r="AT8" s="93">
        <v>0.87459580064226849</v>
      </c>
      <c r="AU8" s="93">
        <v>0.82597320853172596</v>
      </c>
      <c r="AV8" s="93">
        <f>SUM(AT8:AU8)</f>
        <v>1.7005690091739945</v>
      </c>
      <c r="AW8" s="90" t="str">
        <f>Y8</f>
        <v>Agriculture</v>
      </c>
      <c r="AX8" s="39">
        <f>IF(AY8&gt;0,((1+(BA8/AY8))^(1/($A$101-$A$100))-1)*100,0)</f>
        <v>2.6560490695816119</v>
      </c>
      <c r="AY8" s="11">
        <v>1.9992749386487922</v>
      </c>
      <c r="AZ8" s="93">
        <v>0.50024802314102146</v>
      </c>
      <c r="BA8" s="93">
        <v>0.59919667769333007</v>
      </c>
      <c r="BB8" s="93">
        <f>SUM(AZ8:BA8)</f>
        <v>1.0994447008343515</v>
      </c>
      <c r="BC8" s="93"/>
      <c r="BD8" s="39">
        <f>IF(BE8&gt;0,((1+(BG8/BE8))^(1/($A$101-$A$100))-1)*100,0)</f>
        <v>2.5886964610706498</v>
      </c>
      <c r="BE8" s="93">
        <v>0.35374225719986674</v>
      </c>
      <c r="BF8" s="93">
        <v>0.49967527486298247</v>
      </c>
      <c r="BG8" s="93">
        <v>0.1030114256045692</v>
      </c>
      <c r="BH8" s="93">
        <f>SUM(BF8:BG8)</f>
        <v>0.60268670046755168</v>
      </c>
      <c r="BJ8" s="39">
        <f>IF(BK8&gt;0,((1+(BM8/BK8))^(1/($A$101-$A$100))-1)*100,0)</f>
        <v>2.6156756899814892</v>
      </c>
      <c r="BK8" s="93">
        <v>0.79083739900797367</v>
      </c>
      <c r="BL8" s="93">
        <v>8.9741026511377109E-2</v>
      </c>
      <c r="BM8" s="93">
        <v>0.2329842080987119</v>
      </c>
      <c r="BN8" s="93">
        <f>SUM(BL8:BM8)</f>
        <v>0.32272523461008901</v>
      </c>
      <c r="BO8" s="106"/>
      <c r="BP8" s="39">
        <f>IF(BQ8&gt;0,((1+(BS8/BQ8))^(1/($A$101-$A$100))-1)*100,0)</f>
        <v>2.7209488084197098</v>
      </c>
      <c r="BQ8" s="93">
        <v>0.85469528244095183</v>
      </c>
      <c r="BR8" s="93">
        <v>-8.91682782333382E-2</v>
      </c>
      <c r="BS8" s="93">
        <v>0.26320104399004901</v>
      </c>
      <c r="BT8" s="93">
        <f>SUM(BR8:BS8)</f>
        <v>0.17403276575671081</v>
      </c>
      <c r="BU8" s="90" t="str">
        <f>AW8</f>
        <v>Agriculture</v>
      </c>
      <c r="BV8" s="39">
        <f>IF(BW8&gt;0,((1+(BY8/BW8))^(1/($A$101-$A$100))-1)*100,0)</f>
        <v>4.0147443282656514</v>
      </c>
      <c r="BW8" s="11">
        <v>39.351032099647234</v>
      </c>
      <c r="BX8" s="93">
        <v>-10.192568070379561</v>
      </c>
      <c r="BY8" s="93">
        <v>18.980742173027217</v>
      </c>
      <c r="BZ8" s="93">
        <f>SUM(BX8:BY8)</f>
        <v>8.7881741026476554</v>
      </c>
      <c r="CA8" s="93"/>
      <c r="CB8" s="39">
        <f>IF(CC8&gt;0,((1+(CE8/CC8))^(1/($A$101-$A$100))-1)*100,0)</f>
        <v>3.9264502862225381</v>
      </c>
      <c r="CC8" s="93">
        <v>12.261822191887621</v>
      </c>
      <c r="CD8" s="93">
        <v>-6.5032966118226403</v>
      </c>
      <c r="CE8" s="93">
        <v>5.7607158890505197</v>
      </c>
      <c r="CF8" s="93">
        <f>SUM(CD8:CE8)</f>
        <v>-0.74258072277212062</v>
      </c>
      <c r="CH8" s="39">
        <f>IF(CI8&gt;0,((1+(CK8/CI8))^(1/($A$101-$A$100))-1)*100,0)</f>
        <v>3.9924360846625317</v>
      </c>
      <c r="CI8" s="93">
        <v>20.383214444648981</v>
      </c>
      <c r="CJ8" s="93">
        <v>-4.2877513599355161</v>
      </c>
      <c r="CK8" s="93">
        <v>9.7669852444241734</v>
      </c>
      <c r="CL8" s="93">
        <f>SUM(CJ8:CK8)</f>
        <v>5.4792338844886572</v>
      </c>
      <c r="CM8" s="106"/>
      <c r="CN8" s="39">
        <f>IF(CO8&gt;0,((1+(CQ8/CO8))^(1/($A$101-$A$100))-1)*100,0)</f>
        <v>4.2410858263209894</v>
      </c>
      <c r="CO8" s="93">
        <v>6.7059954631106375</v>
      </c>
      <c r="CP8" s="93">
        <v>0.59847990137859675</v>
      </c>
      <c r="CQ8" s="93">
        <v>3.4530410395525251</v>
      </c>
      <c r="CR8" s="93">
        <f>SUM(CP8:CQ8)</f>
        <v>4.0515209409311215</v>
      </c>
      <c r="CS8" s="90" t="str">
        <f>BU8</f>
        <v>Agriculture</v>
      </c>
      <c r="CT8" s="39">
        <f>IF(CU8&gt;0,((1+(CW8/CU8))^(1/($A$101-$A$100))-1)*100,0)</f>
        <v>2.4032187492160517</v>
      </c>
      <c r="CU8" s="11">
        <v>10.203996890257596</v>
      </c>
      <c r="CV8" s="93">
        <v>-1.1805251123518785</v>
      </c>
      <c r="CW8" s="93">
        <v>2.7351723710802771</v>
      </c>
      <c r="CX8" s="93">
        <f>SUM(CV8:CW8)</f>
        <v>1.5546472587283986</v>
      </c>
      <c r="CY8" s="93"/>
      <c r="CZ8" s="39">
        <f>IF(DA8&gt;0,((1+(DC8/DA8))^(1/($A$101-$A$100))-1)*100,0)</f>
        <v>2.3545977595102796</v>
      </c>
      <c r="DA8" s="93">
        <v>4.2627191405596321</v>
      </c>
      <c r="DB8" s="93">
        <v>-1.6118310473591806</v>
      </c>
      <c r="DC8" s="93">
        <v>1.1170083628286818</v>
      </c>
      <c r="DD8" s="93">
        <f>SUM(DB8:DC8)</f>
        <v>-0.49482268453049882</v>
      </c>
      <c r="DF8" s="39">
        <f>IF(DG8&gt;0,((1+(DI8/DG8))^(1/($A$101-$A$100))-1)*100,0)</f>
        <v>2.3908685473913449</v>
      </c>
      <c r="DG8" s="93">
        <v>4.088300365314721</v>
      </c>
      <c r="DH8" s="93">
        <v>0.13009184299002535</v>
      </c>
      <c r="DI8" s="93">
        <v>1.0896164080442534</v>
      </c>
      <c r="DJ8" s="93">
        <f>SUM(DH8:DI8)</f>
        <v>1.2197082510342787</v>
      </c>
      <c r="DK8" s="106"/>
      <c r="DL8" s="39">
        <f>IF(DM8&gt;0,((1+(DO8/DM8))^(1/($A$101-$A$100))-1)*100,0)</f>
        <v>2.5412252196502561</v>
      </c>
      <c r="DM8" s="93">
        <v>1.8529773843832451</v>
      </c>
      <c r="DN8" s="93">
        <v>0.30121409201727667</v>
      </c>
      <c r="DO8" s="93">
        <v>0.52854760020734193</v>
      </c>
      <c r="DP8" s="93">
        <f>SUM(DN8:DO8)</f>
        <v>0.8297616922246186</v>
      </c>
    </row>
    <row r="9" spans="1:120" x14ac:dyDescent="0.2">
      <c r="A9" s="90" t="str">
        <f>name!B5</f>
        <v>Mining and quarrying</v>
      </c>
      <c r="B9" s="39">
        <f t="shared" ref="B9:B50" si="1">IF(C9&gt;0,((1+(E9/C9))^(1/($A$101-$A$100))-1)*100,0)</f>
        <v>2.5879456250919697</v>
      </c>
      <c r="C9" s="11">
        <v>2.8879999999999906</v>
      </c>
      <c r="D9" s="93">
        <v>0.31300000000000278</v>
      </c>
      <c r="E9" s="93">
        <v>0.84072640567762824</v>
      </c>
      <c r="F9" s="93">
        <f t="shared" ref="F9:F50" si="2">SUM(D9:E9)</f>
        <v>1.1537264056776311</v>
      </c>
      <c r="G9" s="93"/>
      <c r="H9" s="39">
        <f t="shared" ref="H9:H50" si="3">IF(I9&gt;0,((1+(K9/I9))^(1/($A$101-$A$100))-1)*100,0)</f>
        <v>2.4436532378282472</v>
      </c>
      <c r="I9" s="93">
        <v>0.56134327419487429</v>
      </c>
      <c r="J9" s="93">
        <v>-0.21770904065899815</v>
      </c>
      <c r="K9" s="93">
        <v>0.15328319439040927</v>
      </c>
      <c r="L9" s="93">
        <f t="shared" ref="L9:L48" si="4">SUM(J9:K9)</f>
        <v>-6.4425846268588882E-2</v>
      </c>
      <c r="N9" s="39">
        <f t="shared" ref="N9:N50" si="5">IF(O9&gt;0,((1+(Q9/O9))^(1/($A$101-$A$100))-1)*100,0)</f>
        <v>2.5068914334568815</v>
      </c>
      <c r="O9" s="93">
        <v>1.5400906331410087</v>
      </c>
      <c r="P9" s="93">
        <v>0.28375808682996728</v>
      </c>
      <c r="Q9" s="93">
        <v>0.43268145633424426</v>
      </c>
      <c r="R9" s="93">
        <f t="shared" ref="R9:R48" si="6">SUM(P9:Q9)</f>
        <v>0.71643954316421155</v>
      </c>
      <c r="S9" s="106"/>
      <c r="T9" s="39">
        <f t="shared" ref="T9:T50" si="7">IF(U9&gt;0,((1+(W9/U9))^(1/($A$101-$A$100))-1)*100,0)</f>
        <v>2.8454839589988623</v>
      </c>
      <c r="U9" s="93">
        <v>0.78656609266410804</v>
      </c>
      <c r="V9" s="93">
        <v>0.24695095382903356</v>
      </c>
      <c r="W9" s="93">
        <v>0.25476175495297482</v>
      </c>
      <c r="X9" s="93">
        <f t="shared" ref="X9:X48" si="8">SUM(V9:W9)</f>
        <v>0.50171270878200835</v>
      </c>
      <c r="Y9" s="90" t="str">
        <f t="shared" si="0"/>
        <v>Mining and quarrying</v>
      </c>
      <c r="Z9" s="39">
        <f t="shared" ref="Z9:Z48" si="9">IF(AA9&gt;0,((1+(AC9/AA9))^(1/($A$101-$A$100))-1)*100,0)</f>
        <v>2.8484964339744012</v>
      </c>
      <c r="AA9" s="11">
        <v>0.91916274125036446</v>
      </c>
      <c r="AB9" s="93">
        <v>0.31532613098932155</v>
      </c>
      <c r="AC9" s="93">
        <v>0.29806511305958167</v>
      </c>
      <c r="AD9" s="93">
        <f t="shared" ref="AD9:AD48" si="10">SUM(AB9:AC9)</f>
        <v>0.61339124404890322</v>
      </c>
      <c r="AE9" s="93"/>
      <c r="AF9" s="39">
        <f t="shared" ref="AF9:AF48" si="11">IF(AG9&gt;0,((1+(AI9/AG9))^(1/($A$101-$A$100))-1)*100,0)</f>
        <v>2.5647482470575023</v>
      </c>
      <c r="AG9" s="93">
        <v>6.0971942881735838E-2</v>
      </c>
      <c r="AH9" s="93">
        <v>-2.5168577316816716E-2</v>
      </c>
      <c r="AI9" s="93">
        <v>1.7571732105538661E-2</v>
      </c>
      <c r="AJ9" s="93">
        <f t="shared" ref="AJ9:AJ48" si="12">SUM(AH9:AI9)</f>
        <v>-7.5968452112780555E-3</v>
      </c>
      <c r="AL9" s="39">
        <f t="shared" ref="AL9:AL48" si="13">IF(AM9&gt;0,((1+(AO9/AM9))^(1/($A$101-$A$100))-1)*100,0)</f>
        <v>2.6969613560046124</v>
      </c>
      <c r="AM9" s="93">
        <v>0.23935227172586462</v>
      </c>
      <c r="AN9" s="93">
        <v>0.14142536362746669</v>
      </c>
      <c r="AO9" s="93">
        <v>7.2977576857019638E-2</v>
      </c>
      <c r="AP9" s="93">
        <f t="shared" ref="AP9:AP48" si="14">SUM(AN9:AO9)</f>
        <v>0.21440294048448633</v>
      </c>
      <c r="AQ9" s="106"/>
      <c r="AR9" s="39">
        <f t="shared" ref="AR9:AR48" si="15">IF(AS9&gt;0,((1+(AU9/AS9))^(1/($A$101-$A$100))-1)*100,0)</f>
        <v>2.9340110632854799</v>
      </c>
      <c r="AS9" s="93">
        <v>0.61883852664276406</v>
      </c>
      <c r="AT9" s="93">
        <v>0.19906934467867154</v>
      </c>
      <c r="AU9" s="93">
        <v>0.20751580409702336</v>
      </c>
      <c r="AV9" s="93">
        <f t="shared" ref="AV9:AV48" si="16">SUM(AT9:AU9)</f>
        <v>0.4065851487756949</v>
      </c>
      <c r="AW9" s="90" t="str">
        <f t="shared" ref="AW9:AW48" si="17">Y9</f>
        <v>Mining and quarrying</v>
      </c>
      <c r="AX9" s="39">
        <f t="shared" ref="AX9:AX48" si="18">IF(AY9&gt;0,((1+(BA9/AY9))^(1/($A$101-$A$100))-1)*100,0)</f>
        <v>2.6726206587082579</v>
      </c>
      <c r="AY9" s="11">
        <v>0.3067194252346826</v>
      </c>
      <c r="AZ9" s="93">
        <v>6.8760264538259452E-2</v>
      </c>
      <c r="BA9" s="93">
        <v>9.2569950318502167E-2</v>
      </c>
      <c r="BB9" s="93">
        <f t="shared" ref="BB9:BB48" si="19">SUM(AZ9:BA9)</f>
        <v>0.16133021485676163</v>
      </c>
      <c r="BC9" s="93"/>
      <c r="BD9" s="39">
        <f t="shared" ref="BD9:BD48" si="20">IF(BE9&gt;0,((1+(BG9/BE9))^(1/($A$101-$A$100))-1)*100,0)</f>
        <v>2.5499994113037161</v>
      </c>
      <c r="BE9" s="93">
        <v>4.8330458353493297E-2</v>
      </c>
      <c r="BF9" s="93">
        <v>1.4245064889474328E-2</v>
      </c>
      <c r="BG9" s="93">
        <v>1.3839064758290531E-2</v>
      </c>
      <c r="BH9" s="93">
        <f t="shared" ref="BH9:BH48" si="21">SUM(BF9:BG9)</f>
        <v>2.8084129647764858E-2</v>
      </c>
      <c r="BJ9" s="39">
        <f t="shared" ref="BJ9:BJ48" si="22">IF(BK9&gt;0,((1+(BM9/BK9))^(1/($A$101-$A$100))-1)*100,0)</f>
        <v>2.6327433470687112</v>
      </c>
      <c r="BK9" s="93">
        <v>0.1678509941154788</v>
      </c>
      <c r="BL9" s="93">
        <v>9.5539598382306211E-3</v>
      </c>
      <c r="BM9" s="93">
        <v>4.9811346068916303E-2</v>
      </c>
      <c r="BN9" s="93">
        <f t="shared" ref="BN9:BN48" si="23">SUM(BL9:BM9)</f>
        <v>5.936530590714692E-2</v>
      </c>
      <c r="BO9" s="106"/>
      <c r="BP9" s="39">
        <f t="shared" ref="BP9:BP48" si="24">IF(BQ9&gt;0,((1+(BS9/BQ9))^(1/($A$101-$A$100))-1)*100,0)</f>
        <v>2.8106890888395686</v>
      </c>
      <c r="BQ9" s="93">
        <v>9.0537972765710545E-2</v>
      </c>
      <c r="BR9" s="93">
        <v>4.4961239810554506E-2</v>
      </c>
      <c r="BS9" s="93">
        <v>2.8919539491295328E-2</v>
      </c>
      <c r="BT9" s="93">
        <f t="shared" ref="BT9:BT48" si="25">SUM(BR9:BS9)</f>
        <v>7.388077930184983E-2</v>
      </c>
      <c r="BU9" s="90" t="str">
        <f t="shared" ref="BU9:BU48" si="26">AW9</f>
        <v>Mining and quarrying</v>
      </c>
      <c r="BV9" s="39">
        <f t="shared" ref="BV9:BV48" si="27">IF(BW9&gt;0,((1+(BY9/BW9))^(1/($A$101-$A$100))-1)*100,0)</f>
        <v>2.4107447061383347</v>
      </c>
      <c r="BW9" s="11">
        <v>1.5632668821604008</v>
      </c>
      <c r="BX9" s="93">
        <v>-0.15103332096346828</v>
      </c>
      <c r="BY9" s="93">
        <v>0.42048964990866566</v>
      </c>
      <c r="BZ9" s="93">
        <f t="shared" ref="BZ9:BZ48" si="28">SUM(BX9:BY9)</f>
        <v>0.26945632894519739</v>
      </c>
      <c r="CA9" s="93"/>
      <c r="CB9" s="39">
        <f t="shared" ref="CB9:CB48" si="29">IF(CC9&gt;0,((1+(CE9/CC9))^(1/($A$101-$A$100))-1)*100,0)</f>
        <v>2.407525741530181</v>
      </c>
      <c r="CC9" s="93">
        <v>0.42499848743780899</v>
      </c>
      <c r="CD9" s="93">
        <v>-0.17974314270981959</v>
      </c>
      <c r="CE9" s="93">
        <v>0.11414717753563779</v>
      </c>
      <c r="CF9" s="93">
        <f t="shared" ref="CF9:CF48" si="30">SUM(CD9:CE9)</f>
        <v>-6.55959651741818E-2</v>
      </c>
      <c r="CH9" s="39">
        <f t="shared" ref="CH9:CH48" si="31">IF(CI9&gt;0,((1+(CK9/CI9))^(1/($A$101-$A$100))-1)*100,0)</f>
        <v>2.4305453687403666</v>
      </c>
      <c r="CI9" s="93">
        <v>1.0610788014669583</v>
      </c>
      <c r="CJ9" s="93">
        <v>2.578945240654381E-2</v>
      </c>
      <c r="CK9" s="93">
        <v>0.28801606100837185</v>
      </c>
      <c r="CL9" s="93">
        <f t="shared" ref="CL9:CL48" si="32">SUM(CJ9:CK9)</f>
        <v>0.31380551341491564</v>
      </c>
      <c r="CM9" s="106"/>
      <c r="CN9" s="39">
        <f t="shared" ref="CN9:CN48" si="33">IF(CO9&gt;0,((1+(CQ9/CO9))^(1/($A$101-$A$100))-1)*100,0)</f>
        <v>2.1531444581060377</v>
      </c>
      <c r="CO9" s="93">
        <v>7.7189593255633515E-2</v>
      </c>
      <c r="CP9" s="93">
        <v>2.9203693398075089E-3</v>
      </c>
      <c r="CQ9" s="93">
        <v>1.8326411364656129E-2</v>
      </c>
      <c r="CR9" s="93">
        <f t="shared" ref="CR9:CR48" si="34">SUM(CP9:CQ9)</f>
        <v>2.1246780704463637E-2</v>
      </c>
      <c r="CS9" s="90" t="str">
        <f t="shared" ref="CS9:CS48" si="35">BU9</f>
        <v>Mining and quarrying</v>
      </c>
      <c r="CT9" s="39">
        <f t="shared" ref="CT9:CT48" si="36">IF(CU9&gt;0,((1+(CW9/CU9))^(1/($A$101-$A$100))-1)*100,0)</f>
        <v>2.6540810004833215</v>
      </c>
      <c r="CU9" s="11">
        <v>9.8850951354543179E-2</v>
      </c>
      <c r="CV9" s="93">
        <v>7.9946925435890021E-2</v>
      </c>
      <c r="CW9" s="93">
        <v>2.9601692390878832E-2</v>
      </c>
      <c r="CX9" s="93">
        <f t="shared" ref="CX9:CX48" si="37">SUM(CV9:CW9)</f>
        <v>0.10954861782676885</v>
      </c>
      <c r="CY9" s="93"/>
      <c r="CZ9" s="39">
        <f t="shared" ref="CZ9:CZ48" si="38">IF(DA9&gt;0,((1+(DC9/DA9))^(1/($A$101-$A$100))-1)*100,0)</f>
        <v>2.5446431599745356</v>
      </c>
      <c r="DA9" s="93">
        <v>2.7042385521836187E-2</v>
      </c>
      <c r="DB9" s="93">
        <v>-2.7042385521836187E-2</v>
      </c>
      <c r="DC9" s="93">
        <v>7.7252199909423136E-3</v>
      </c>
      <c r="DD9" s="93">
        <f t="shared" ref="DD9:DD48" si="39">SUM(DB9:DC9)</f>
        <v>-1.9317165530893875E-2</v>
      </c>
      <c r="DF9" s="39">
        <f t="shared" ref="DF9:DF48" si="40">IF(DG9&gt;0,((1+(DI9/DG9))^(1/($A$101-$A$100))-1)*100,0)</f>
        <v>2.695023478374603</v>
      </c>
      <c r="DG9" s="93">
        <v>7.1808565832706991E-2</v>
      </c>
      <c r="DH9" s="93">
        <v>0.10698931095772621</v>
      </c>
      <c r="DI9" s="93">
        <v>2.1876472399936519E-2</v>
      </c>
      <c r="DJ9" s="93">
        <f t="shared" ref="DJ9:DJ48" si="41">SUM(DH9:DI9)</f>
        <v>0.12886578335766272</v>
      </c>
      <c r="DK9" s="106"/>
      <c r="DL9" s="39">
        <f t="shared" ref="DL9:DL48" si="42">IF(DM9&gt;0,((1+(DO9/DM9))^(1/($A$101-$A$100))-1)*100,0)</f>
        <v>0</v>
      </c>
      <c r="DM9" s="93">
        <v>0</v>
      </c>
      <c r="DN9" s="93">
        <v>0</v>
      </c>
      <c r="DO9" s="93">
        <v>0</v>
      </c>
      <c r="DP9" s="93">
        <f t="shared" ref="DP9:DP48" si="43">SUM(DN9:DO9)</f>
        <v>0</v>
      </c>
    </row>
    <row r="10" spans="1:120" x14ac:dyDescent="0.2">
      <c r="A10" s="90" t="str">
        <f>name!B6</f>
        <v>Food drink and tobacco</v>
      </c>
      <c r="B10" s="39">
        <f t="shared" si="1"/>
        <v>2.4974565282579464</v>
      </c>
      <c r="C10" s="11">
        <v>95.045497362862733</v>
      </c>
      <c r="D10" s="93">
        <v>-5.3306461845042801</v>
      </c>
      <c r="E10" s="93">
        <v>26.590587472903774</v>
      </c>
      <c r="F10" s="93">
        <f t="shared" si="2"/>
        <v>21.259941288399496</v>
      </c>
      <c r="G10" s="93"/>
      <c r="H10" s="39">
        <f t="shared" si="3"/>
        <v>2.284281579929015</v>
      </c>
      <c r="I10" s="93">
        <v>28.557886141186682</v>
      </c>
      <c r="J10" s="93">
        <v>-7.0859124796803128</v>
      </c>
      <c r="K10" s="93">
        <v>7.2365107328119995</v>
      </c>
      <c r="L10" s="93">
        <f t="shared" si="4"/>
        <v>0.15059825313168673</v>
      </c>
      <c r="N10" s="39">
        <f t="shared" si="5"/>
        <v>2.4310099949182096</v>
      </c>
      <c r="O10" s="93">
        <v>47.02342038156808</v>
      </c>
      <c r="P10" s="93">
        <v>2.711005058419897</v>
      </c>
      <c r="Q10" s="93">
        <v>12.766608810353613</v>
      </c>
      <c r="R10" s="93">
        <f t="shared" si="6"/>
        <v>15.47761386877351</v>
      </c>
      <c r="S10" s="106"/>
      <c r="T10" s="39">
        <f t="shared" si="7"/>
        <v>2.9579537866369021</v>
      </c>
      <c r="U10" s="93">
        <v>19.464190840107968</v>
      </c>
      <c r="V10" s="93">
        <v>-0.95573876324386542</v>
      </c>
      <c r="W10" s="93">
        <v>6.5874679297381604</v>
      </c>
      <c r="X10" s="93">
        <f t="shared" si="8"/>
        <v>5.6317291664942948</v>
      </c>
      <c r="Y10" s="90" t="str">
        <f t="shared" si="0"/>
        <v>Food drink and tobacco</v>
      </c>
      <c r="Z10" s="39">
        <f t="shared" si="9"/>
        <v>3.1266976916814349</v>
      </c>
      <c r="AA10" s="11">
        <v>21.34292323603459</v>
      </c>
      <c r="AB10" s="93">
        <v>-5.4147809911053627E-2</v>
      </c>
      <c r="AC10" s="93">
        <v>7.6949639013979727</v>
      </c>
      <c r="AD10" s="93">
        <f t="shared" si="10"/>
        <v>7.6408160914869194</v>
      </c>
      <c r="AE10" s="93"/>
      <c r="AF10" s="39">
        <f t="shared" si="11"/>
        <v>3.009575633743844</v>
      </c>
      <c r="AG10" s="93">
        <v>1.8592043302087065</v>
      </c>
      <c r="AH10" s="93">
        <v>-0.39908371390288427</v>
      </c>
      <c r="AI10" s="93">
        <v>0.64173468922880073</v>
      </c>
      <c r="AJ10" s="93">
        <f t="shared" si="12"/>
        <v>0.24265097532591645</v>
      </c>
      <c r="AL10" s="39">
        <f t="shared" si="13"/>
        <v>3.0478152738149689</v>
      </c>
      <c r="AM10" s="93">
        <v>7.0494146420033079</v>
      </c>
      <c r="AN10" s="93">
        <v>0.77249580975616283</v>
      </c>
      <c r="AO10" s="93">
        <v>2.4684810982893786</v>
      </c>
      <c r="AP10" s="93">
        <f t="shared" si="14"/>
        <v>3.2409769080455413</v>
      </c>
      <c r="AQ10" s="106"/>
      <c r="AR10" s="39">
        <f t="shared" si="15"/>
        <v>3.1885211674371972</v>
      </c>
      <c r="AS10" s="93">
        <v>12.434304263822574</v>
      </c>
      <c r="AT10" s="93">
        <v>-0.42755990576433228</v>
      </c>
      <c r="AU10" s="93">
        <v>4.5847481138797939</v>
      </c>
      <c r="AV10" s="93">
        <f t="shared" si="16"/>
        <v>4.1571882081154614</v>
      </c>
      <c r="AW10" s="90" t="str">
        <f t="shared" si="17"/>
        <v>Food drink and tobacco</v>
      </c>
      <c r="AX10" s="39">
        <f t="shared" si="18"/>
        <v>2.5235241914950635</v>
      </c>
      <c r="AY10" s="11">
        <v>17.336358924907866</v>
      </c>
      <c r="AZ10" s="93">
        <v>-0.12728232767007444</v>
      </c>
      <c r="BA10" s="93">
        <v>4.9066304279196737</v>
      </c>
      <c r="BB10" s="93">
        <f t="shared" si="19"/>
        <v>4.7793481002495994</v>
      </c>
      <c r="BC10" s="93"/>
      <c r="BD10" s="39">
        <f t="shared" si="20"/>
        <v>2.4363702313833224</v>
      </c>
      <c r="BE10" s="93">
        <v>3.9959783673326772</v>
      </c>
      <c r="BF10" s="93">
        <v>-0.83348086360043461</v>
      </c>
      <c r="BG10" s="93">
        <v>1.0875463509002989</v>
      </c>
      <c r="BH10" s="93">
        <f t="shared" si="21"/>
        <v>0.25406548729986433</v>
      </c>
      <c r="BJ10" s="39">
        <f t="shared" si="22"/>
        <v>2.5027216432235821</v>
      </c>
      <c r="BK10" s="93">
        <v>10.073083832716854</v>
      </c>
      <c r="BL10" s="93">
        <v>1.512717786678091</v>
      </c>
      <c r="BM10" s="93">
        <v>2.8247393034036694</v>
      </c>
      <c r="BN10" s="93">
        <f t="shared" si="23"/>
        <v>4.3374570900817604</v>
      </c>
      <c r="BO10" s="106"/>
      <c r="BP10" s="39">
        <f t="shared" si="24"/>
        <v>2.6925252680388922</v>
      </c>
      <c r="BQ10" s="93">
        <v>3.2672967248583333</v>
      </c>
      <c r="BR10" s="93">
        <v>-0.80651925074773079</v>
      </c>
      <c r="BS10" s="93">
        <v>0.9943447736157055</v>
      </c>
      <c r="BT10" s="93">
        <f t="shared" si="25"/>
        <v>0.18782552286797471</v>
      </c>
      <c r="BU10" s="90" t="str">
        <f t="shared" si="26"/>
        <v>Food drink and tobacco</v>
      </c>
      <c r="BV10" s="39">
        <f t="shared" si="27"/>
        <v>2.2441836744385046</v>
      </c>
      <c r="BW10" s="11">
        <v>49.598564072912936</v>
      </c>
      <c r="BX10" s="93">
        <v>-3.6306790931946717</v>
      </c>
      <c r="BY10" s="93">
        <v>12.324896934512662</v>
      </c>
      <c r="BZ10" s="93">
        <f t="shared" si="28"/>
        <v>8.6942178413179896</v>
      </c>
      <c r="CA10" s="93"/>
      <c r="CB10" s="39">
        <f t="shared" si="29"/>
        <v>2.1888664422200721</v>
      </c>
      <c r="CC10" s="93">
        <v>19.525240563492041</v>
      </c>
      <c r="CD10" s="93">
        <v>-4.8301674544914821</v>
      </c>
      <c r="CE10" s="93">
        <v>4.7203188998071877</v>
      </c>
      <c r="CF10" s="93">
        <f t="shared" si="30"/>
        <v>-0.10984855468429444</v>
      </c>
      <c r="CH10" s="39">
        <f t="shared" si="31"/>
        <v>2.2613705769742198</v>
      </c>
      <c r="CI10" s="93">
        <v>26.537310513901321</v>
      </c>
      <c r="CJ10" s="93">
        <v>0.90730570853380754</v>
      </c>
      <c r="CK10" s="93">
        <v>6.6500717395964477</v>
      </c>
      <c r="CL10" s="93">
        <f t="shared" si="32"/>
        <v>7.5573774481302554</v>
      </c>
      <c r="CM10" s="106"/>
      <c r="CN10" s="39">
        <f t="shared" si="33"/>
        <v>2.4184670868230285</v>
      </c>
      <c r="CO10" s="93">
        <v>3.5360129955195734</v>
      </c>
      <c r="CP10" s="93">
        <v>0.29218265276300265</v>
      </c>
      <c r="CQ10" s="93">
        <v>0.95450629510902829</v>
      </c>
      <c r="CR10" s="93">
        <f t="shared" si="34"/>
        <v>1.2466889478720309</v>
      </c>
      <c r="CS10" s="90" t="str">
        <f t="shared" si="35"/>
        <v>Food drink and tobacco</v>
      </c>
      <c r="CT10" s="39">
        <f t="shared" si="36"/>
        <v>2.2228446109720412</v>
      </c>
      <c r="CU10" s="11">
        <v>6.7676511290073389</v>
      </c>
      <c r="CV10" s="93">
        <v>-1.5185369537284803</v>
      </c>
      <c r="CW10" s="93">
        <v>1.6640962090734628</v>
      </c>
      <c r="CX10" s="93">
        <f t="shared" si="37"/>
        <v>0.14555925534498249</v>
      </c>
      <c r="CY10" s="93"/>
      <c r="CZ10" s="39">
        <f t="shared" si="38"/>
        <v>2.2373089799467394</v>
      </c>
      <c r="DA10" s="93">
        <v>3.1774628801532612</v>
      </c>
      <c r="DB10" s="93">
        <v>-1.0231804476855118</v>
      </c>
      <c r="DC10" s="93">
        <v>0.78691079287571253</v>
      </c>
      <c r="DD10" s="93">
        <f t="shared" si="39"/>
        <v>-0.23626965480979922</v>
      </c>
      <c r="DF10" s="39">
        <f t="shared" si="40"/>
        <v>2.2136668085149358</v>
      </c>
      <c r="DG10" s="93">
        <v>3.3636113929465901</v>
      </c>
      <c r="DH10" s="93">
        <v>-0.48151424654816377</v>
      </c>
      <c r="DI10" s="93">
        <v>0.82331666906411805</v>
      </c>
      <c r="DJ10" s="93">
        <f t="shared" si="41"/>
        <v>0.34180242251595427</v>
      </c>
      <c r="DK10" s="106"/>
      <c r="DL10" s="39">
        <f t="shared" si="42"/>
        <v>2.1558658032539757</v>
      </c>
      <c r="DM10" s="93">
        <v>0.22657685590748641</v>
      </c>
      <c r="DN10" s="93">
        <v>-1.3842259494804953E-2</v>
      </c>
      <c r="DO10" s="93">
        <v>5.3868747133632294E-2</v>
      </c>
      <c r="DP10" s="93">
        <f t="shared" si="43"/>
        <v>4.0026487638827338E-2</v>
      </c>
    </row>
    <row r="11" spans="1:120" x14ac:dyDescent="0.2">
      <c r="A11" s="90" t="str">
        <f>name!B7</f>
        <v>Engineering</v>
      </c>
      <c r="B11" s="39">
        <f t="shared" si="1"/>
        <v>2.3974240716110096</v>
      </c>
      <c r="C11" s="11">
        <v>26.682999999999964</v>
      </c>
      <c r="D11" s="93">
        <v>2.1359999999999681</v>
      </c>
      <c r="E11" s="93">
        <v>7.1332131341977885</v>
      </c>
      <c r="F11" s="93">
        <f t="shared" si="2"/>
        <v>9.2692131341977557</v>
      </c>
      <c r="G11" s="93"/>
      <c r="H11" s="39">
        <f t="shared" si="3"/>
        <v>2.1428388473321736</v>
      </c>
      <c r="I11" s="93">
        <v>7.7290127378228242</v>
      </c>
      <c r="J11" s="93">
        <v>-0.85964814638885922</v>
      </c>
      <c r="K11" s="93">
        <v>1.8253838239565419</v>
      </c>
      <c r="L11" s="93">
        <f t="shared" si="4"/>
        <v>0.96573567756768264</v>
      </c>
      <c r="N11" s="39">
        <f t="shared" si="5"/>
        <v>2.2704847424125818</v>
      </c>
      <c r="O11" s="93">
        <v>12.694060205112665</v>
      </c>
      <c r="P11" s="93">
        <v>1.750762648197131</v>
      </c>
      <c r="Q11" s="93">
        <v>3.1952007619921963</v>
      </c>
      <c r="R11" s="93">
        <f t="shared" si="6"/>
        <v>4.9459634101893268</v>
      </c>
      <c r="S11" s="106"/>
      <c r="T11" s="39">
        <f t="shared" si="7"/>
        <v>2.9505987528880562</v>
      </c>
      <c r="U11" s="93">
        <v>6.2599270570644734</v>
      </c>
      <c r="V11" s="93">
        <v>1.2448854981916966</v>
      </c>
      <c r="W11" s="93">
        <v>2.112628548249051</v>
      </c>
      <c r="X11" s="93">
        <f t="shared" si="8"/>
        <v>3.3575140464407474</v>
      </c>
      <c r="Y11" s="90" t="str">
        <f t="shared" si="0"/>
        <v>Engineering</v>
      </c>
      <c r="Z11" s="39">
        <f t="shared" si="9"/>
        <v>2.9893837262348733</v>
      </c>
      <c r="AA11" s="11">
        <v>6.5504971882441936</v>
      </c>
      <c r="AB11" s="93">
        <v>0.7414598842641813</v>
      </c>
      <c r="AC11" s="93">
        <v>2.243753846340574</v>
      </c>
      <c r="AD11" s="93">
        <f t="shared" si="10"/>
        <v>2.9852137306047553</v>
      </c>
      <c r="AE11" s="93"/>
      <c r="AF11" s="39">
        <f t="shared" si="11"/>
        <v>2.6484123810696314</v>
      </c>
      <c r="AG11" s="93">
        <v>0.62605054755772271</v>
      </c>
      <c r="AH11" s="93">
        <v>-4.0708044204614172E-2</v>
      </c>
      <c r="AI11" s="93">
        <v>0.18702662236296508</v>
      </c>
      <c r="AJ11" s="93">
        <f t="shared" si="12"/>
        <v>0.14631857815835092</v>
      </c>
      <c r="AL11" s="39">
        <f t="shared" si="13"/>
        <v>2.8200029669356086</v>
      </c>
      <c r="AM11" s="93">
        <v>1.9725323922654858</v>
      </c>
      <c r="AN11" s="93">
        <v>5.7186726837409781E-2</v>
      </c>
      <c r="AO11" s="93">
        <v>0.63242284192617815</v>
      </c>
      <c r="AP11" s="93">
        <f t="shared" si="14"/>
        <v>0.68960956876358792</v>
      </c>
      <c r="AQ11" s="106"/>
      <c r="AR11" s="39">
        <f t="shared" si="15"/>
        <v>3.1257074628290971</v>
      </c>
      <c r="AS11" s="93">
        <v>3.9519142484209846</v>
      </c>
      <c r="AT11" s="93">
        <v>0.72498120163138557</v>
      </c>
      <c r="AU11" s="93">
        <v>1.4243043820514307</v>
      </c>
      <c r="AV11" s="93">
        <f t="shared" si="16"/>
        <v>2.1492855836828162</v>
      </c>
      <c r="AW11" s="90" t="str">
        <f t="shared" si="17"/>
        <v>Engineering</v>
      </c>
      <c r="AX11" s="39">
        <f t="shared" si="18"/>
        <v>2.6610076636430335</v>
      </c>
      <c r="AY11" s="11">
        <v>3.2443503982662985</v>
      </c>
      <c r="AZ11" s="93">
        <v>0.14772454699359541</v>
      </c>
      <c r="BA11" s="93">
        <v>0.97439173559588765</v>
      </c>
      <c r="BB11" s="93">
        <f t="shared" si="19"/>
        <v>1.122116282589483</v>
      </c>
      <c r="BC11" s="93"/>
      <c r="BD11" s="39">
        <f t="shared" si="20"/>
        <v>2.5177966298219889</v>
      </c>
      <c r="BE11" s="93">
        <v>0.76061810370622518</v>
      </c>
      <c r="BF11" s="93">
        <v>-8.6613615501482388E-2</v>
      </c>
      <c r="BG11" s="93">
        <v>0.21472921204151713</v>
      </c>
      <c r="BH11" s="93">
        <f t="shared" si="21"/>
        <v>0.12811559654003474</v>
      </c>
      <c r="BJ11" s="39">
        <f t="shared" si="22"/>
        <v>2.6414518363808703</v>
      </c>
      <c r="BK11" s="93">
        <v>1.3612202522776553</v>
      </c>
      <c r="BL11" s="93">
        <v>-9.1457270541903425E-3</v>
      </c>
      <c r="BM11" s="93">
        <v>0.40545313032121294</v>
      </c>
      <c r="BN11" s="93">
        <f t="shared" si="23"/>
        <v>0.39630740326702257</v>
      </c>
      <c r="BO11" s="106"/>
      <c r="BP11" s="39">
        <f t="shared" si="24"/>
        <v>2.7805073211446985</v>
      </c>
      <c r="BQ11" s="93">
        <v>1.122512042282418</v>
      </c>
      <c r="BR11" s="93">
        <v>0.24348388954926817</v>
      </c>
      <c r="BS11" s="93">
        <v>0.35420939323315764</v>
      </c>
      <c r="BT11" s="93">
        <f t="shared" si="25"/>
        <v>0.59769328278242584</v>
      </c>
      <c r="BU11" s="90" t="str">
        <f t="shared" si="26"/>
        <v>Engineering</v>
      </c>
      <c r="BV11" s="39">
        <f t="shared" si="27"/>
        <v>2.0986442989320508</v>
      </c>
      <c r="BW11" s="11">
        <v>15.307841962071205</v>
      </c>
      <c r="BX11" s="93">
        <v>0.41022057712335003</v>
      </c>
      <c r="BY11" s="93">
        <v>3.5335820893340286</v>
      </c>
      <c r="BZ11" s="93">
        <f t="shared" si="28"/>
        <v>3.9438026664573789</v>
      </c>
      <c r="CA11" s="93"/>
      <c r="CB11" s="39">
        <f t="shared" si="29"/>
        <v>2.0210770566263747</v>
      </c>
      <c r="CC11" s="93">
        <v>5.8033468392667986</v>
      </c>
      <c r="CD11" s="93">
        <v>-0.34664652297871712</v>
      </c>
      <c r="CE11" s="93">
        <v>1.2855322454287512</v>
      </c>
      <c r="CF11" s="93">
        <f t="shared" si="30"/>
        <v>0.9388857224500341</v>
      </c>
      <c r="CH11" s="39">
        <f t="shared" si="31"/>
        <v>2.0955416811876404</v>
      </c>
      <c r="CI11" s="93">
        <v>8.3881190579667813</v>
      </c>
      <c r="CJ11" s="93">
        <v>0.46878350843430538</v>
      </c>
      <c r="CK11" s="93">
        <v>1.9331324937867693</v>
      </c>
      <c r="CL11" s="93">
        <f t="shared" si="32"/>
        <v>2.4019160022210748</v>
      </c>
      <c r="CM11" s="106"/>
      <c r="CN11" s="39">
        <f t="shared" si="33"/>
        <v>2.5160385347847258</v>
      </c>
      <c r="CO11" s="93">
        <v>1.1163760648376253</v>
      </c>
      <c r="CP11" s="93">
        <v>0.28808359166776182</v>
      </c>
      <c r="CQ11" s="93">
        <v>0.31491735011850813</v>
      </c>
      <c r="CR11" s="93">
        <f t="shared" si="34"/>
        <v>0.60300094178626995</v>
      </c>
      <c r="CS11" s="90" t="str">
        <f t="shared" si="35"/>
        <v>Engineering</v>
      </c>
      <c r="CT11" s="39">
        <f t="shared" si="36"/>
        <v>2.1859392974191483</v>
      </c>
      <c r="CU11" s="11">
        <v>1.5803104514182647</v>
      </c>
      <c r="CV11" s="93">
        <v>0.83659499161884154</v>
      </c>
      <c r="CW11" s="93">
        <v>0.38148546292729896</v>
      </c>
      <c r="CX11" s="93">
        <f t="shared" si="37"/>
        <v>1.2180804545461406</v>
      </c>
      <c r="CY11" s="93"/>
      <c r="CZ11" s="39">
        <f t="shared" si="38"/>
        <v>2.307194889511166</v>
      </c>
      <c r="DA11" s="93">
        <v>0.53899724729207821</v>
      </c>
      <c r="DB11" s="93">
        <v>-0.3856799637040455</v>
      </c>
      <c r="DC11" s="93">
        <v>0.13809574412330866</v>
      </c>
      <c r="DD11" s="93">
        <f t="shared" si="39"/>
        <v>-0.24758421958073684</v>
      </c>
      <c r="DF11" s="39">
        <f t="shared" si="40"/>
        <v>2.0967447677556317</v>
      </c>
      <c r="DG11" s="93">
        <v>0.97218850260274148</v>
      </c>
      <c r="DH11" s="93">
        <v>1.2339381399796061</v>
      </c>
      <c r="DI11" s="93">
        <v>0.22419229595803594</v>
      </c>
      <c r="DJ11" s="93">
        <f t="shared" si="41"/>
        <v>1.4581304359376421</v>
      </c>
      <c r="DK11" s="106"/>
      <c r="DL11" s="39">
        <f t="shared" si="42"/>
        <v>2.4810635165479544</v>
      </c>
      <c r="DM11" s="93">
        <v>6.9124701523444784E-2</v>
      </c>
      <c r="DN11" s="93">
        <v>-1.1663184656719028E-2</v>
      </c>
      <c r="DO11" s="93">
        <v>1.9197422845954378E-2</v>
      </c>
      <c r="DP11" s="93">
        <f t="shared" si="43"/>
        <v>7.53423818923535E-3</v>
      </c>
    </row>
    <row r="12" spans="1:120" x14ac:dyDescent="0.2">
      <c r="A12" s="90" t="str">
        <f>name!B8</f>
        <v>Rest of manufacturing</v>
      </c>
      <c r="B12" s="39">
        <f t="shared" si="1"/>
        <v>2.6164350010096316</v>
      </c>
      <c r="C12" s="11">
        <v>42.15199999999993</v>
      </c>
      <c r="D12" s="93">
        <v>-3.3299999999999712</v>
      </c>
      <c r="E12" s="93">
        <v>12.422204390941479</v>
      </c>
      <c r="F12" s="93">
        <f t="shared" si="2"/>
        <v>9.0922043909415073</v>
      </c>
      <c r="G12" s="93"/>
      <c r="H12" s="39">
        <f t="shared" si="3"/>
        <v>2.4469808961299799</v>
      </c>
      <c r="I12" s="93">
        <v>9.6089439679508644</v>
      </c>
      <c r="J12" s="93">
        <v>-2.1975561779706503</v>
      </c>
      <c r="K12" s="93">
        <v>2.6278403106316235</v>
      </c>
      <c r="L12" s="93">
        <f t="shared" si="4"/>
        <v>0.43028413266097321</v>
      </c>
      <c r="N12" s="39">
        <f t="shared" si="5"/>
        <v>2.5333579555699037</v>
      </c>
      <c r="O12" s="93">
        <v>22.575808590792999</v>
      </c>
      <c r="P12" s="93">
        <v>-0.95500589125711122</v>
      </c>
      <c r="Q12" s="93">
        <v>6.4173226387381153</v>
      </c>
      <c r="R12" s="93">
        <f t="shared" si="6"/>
        <v>5.4623167474810037</v>
      </c>
      <c r="S12" s="106"/>
      <c r="T12" s="39">
        <f t="shared" si="7"/>
        <v>2.9608263556274439</v>
      </c>
      <c r="U12" s="93">
        <v>9.9672474412560668</v>
      </c>
      <c r="V12" s="93">
        <v>-0.17743793077220946</v>
      </c>
      <c r="W12" s="93">
        <v>3.3770414415717394</v>
      </c>
      <c r="X12" s="93">
        <f t="shared" si="8"/>
        <v>3.19960351079953</v>
      </c>
      <c r="Y12" s="90" t="str">
        <f t="shared" si="0"/>
        <v>Rest of manufacturing</v>
      </c>
      <c r="Z12" s="39">
        <f t="shared" si="9"/>
        <v>2.9763942733826543</v>
      </c>
      <c r="AA12" s="11">
        <v>10.498945664126412</v>
      </c>
      <c r="AB12" s="93">
        <v>0.34529888283838883</v>
      </c>
      <c r="AC12" s="93">
        <v>3.5784558313106598</v>
      </c>
      <c r="AD12" s="93">
        <f t="shared" si="10"/>
        <v>3.9237547141490485</v>
      </c>
      <c r="AE12" s="93"/>
      <c r="AF12" s="39">
        <f t="shared" si="11"/>
        <v>2.7040649618628176</v>
      </c>
      <c r="AG12" s="93">
        <v>0.75816764967198691</v>
      </c>
      <c r="AH12" s="93">
        <v>-0.14426412804349217</v>
      </c>
      <c r="AI12" s="93">
        <v>0.23184690614128767</v>
      </c>
      <c r="AJ12" s="93">
        <f t="shared" si="12"/>
        <v>8.7582778097795494E-2</v>
      </c>
      <c r="AL12" s="39">
        <f t="shared" si="13"/>
        <v>2.8324908960291717</v>
      </c>
      <c r="AM12" s="93">
        <v>3.7458067354035878</v>
      </c>
      <c r="AN12" s="93">
        <v>-2.1430511128079324E-2</v>
      </c>
      <c r="AO12" s="93">
        <v>1.2069719734322446</v>
      </c>
      <c r="AP12" s="93">
        <f t="shared" si="14"/>
        <v>1.1855414623041653</v>
      </c>
      <c r="AQ12" s="106"/>
      <c r="AR12" s="39">
        <f t="shared" si="15"/>
        <v>3.0991188393576063</v>
      </c>
      <c r="AS12" s="93">
        <v>5.9949712790508363</v>
      </c>
      <c r="AT12" s="93">
        <v>0.51099352200996029</v>
      </c>
      <c r="AU12" s="93">
        <v>2.1396369517371276</v>
      </c>
      <c r="AV12" s="93">
        <f t="shared" si="16"/>
        <v>2.6506304737470878</v>
      </c>
      <c r="AW12" s="90" t="str">
        <f t="shared" si="17"/>
        <v>Rest of manufacturing</v>
      </c>
      <c r="AX12" s="39">
        <f t="shared" si="18"/>
        <v>2.667464938337738</v>
      </c>
      <c r="AY12" s="11">
        <v>4.3775371772570599</v>
      </c>
      <c r="AZ12" s="93">
        <v>-1.2645538867862174</v>
      </c>
      <c r="BA12" s="93">
        <v>1.3183086935944921</v>
      </c>
      <c r="BB12" s="93">
        <f t="shared" si="19"/>
        <v>5.3754806808274713E-2</v>
      </c>
      <c r="BC12" s="93"/>
      <c r="BD12" s="39">
        <f t="shared" si="20"/>
        <v>2.5806373974742502</v>
      </c>
      <c r="BE12" s="93">
        <v>0.50445012564800362</v>
      </c>
      <c r="BF12" s="93">
        <v>-0.13667993756951582</v>
      </c>
      <c r="BG12" s="93">
        <v>0.14638677364194702</v>
      </c>
      <c r="BH12" s="93">
        <f t="shared" si="21"/>
        <v>9.7068360724311964E-3</v>
      </c>
      <c r="BJ12" s="39">
        <f t="shared" si="22"/>
        <v>2.6049115123564892</v>
      </c>
      <c r="BK12" s="93">
        <v>2.2466979729709307</v>
      </c>
      <c r="BL12" s="93">
        <v>-0.58280055442252565</v>
      </c>
      <c r="BM12" s="93">
        <v>0.65883758800710124</v>
      </c>
      <c r="BN12" s="93">
        <f t="shared" si="23"/>
        <v>7.6037033584575586E-2</v>
      </c>
      <c r="BO12" s="106"/>
      <c r="BP12" s="39">
        <f t="shared" si="24"/>
        <v>2.779912687566588</v>
      </c>
      <c r="BQ12" s="93">
        <v>1.6263890786381248</v>
      </c>
      <c r="BR12" s="93">
        <v>-0.54507339479417605</v>
      </c>
      <c r="BS12" s="93">
        <v>0.51308433194544378</v>
      </c>
      <c r="BT12" s="93">
        <f t="shared" si="25"/>
        <v>-3.1989062848732264E-2</v>
      </c>
      <c r="BU12" s="90" t="str">
        <f t="shared" si="26"/>
        <v>Rest of manufacturing</v>
      </c>
      <c r="BV12" s="39">
        <f t="shared" si="27"/>
        <v>2.4731834060013336</v>
      </c>
      <c r="BW12" s="11">
        <v>26.112763020344723</v>
      </c>
      <c r="BX12" s="93">
        <v>-1.8174984546461121</v>
      </c>
      <c r="BY12" s="93">
        <v>7.2264319158956178</v>
      </c>
      <c r="BZ12" s="93">
        <f t="shared" si="28"/>
        <v>5.4089334612495055</v>
      </c>
      <c r="CA12" s="93"/>
      <c r="CB12" s="39">
        <f t="shared" si="29"/>
        <v>2.4168124747555364</v>
      </c>
      <c r="CC12" s="93">
        <v>7.7759473470029352</v>
      </c>
      <c r="CD12" s="93">
        <v>-1.7158164744931881</v>
      </c>
      <c r="CE12" s="93">
        <v>2.0974328886080462</v>
      </c>
      <c r="CF12" s="93">
        <f t="shared" si="30"/>
        <v>0.38161641411485814</v>
      </c>
      <c r="CH12" s="39">
        <f t="shared" si="31"/>
        <v>2.4638206980051702</v>
      </c>
      <c r="CI12" s="93">
        <v>16.01397145403611</v>
      </c>
      <c r="CJ12" s="93">
        <v>5.414488253187176E-2</v>
      </c>
      <c r="CK12" s="93">
        <v>4.4130248025048795</v>
      </c>
      <c r="CL12" s="93">
        <f t="shared" si="32"/>
        <v>4.467169685036751</v>
      </c>
      <c r="CM12" s="106"/>
      <c r="CN12" s="39">
        <f t="shared" si="33"/>
        <v>2.7231827177615964</v>
      </c>
      <c r="CO12" s="93">
        <v>2.3228442193056784</v>
      </c>
      <c r="CP12" s="93">
        <v>-0.15582686268479601</v>
      </c>
      <c r="CQ12" s="93">
        <v>0.71597422478269179</v>
      </c>
      <c r="CR12" s="93">
        <f t="shared" si="34"/>
        <v>0.56014736209789584</v>
      </c>
      <c r="CS12" s="90" t="str">
        <f t="shared" si="35"/>
        <v>Rest of manufacturing</v>
      </c>
      <c r="CT12" s="39">
        <f t="shared" si="36"/>
        <v>2.3148990339762587</v>
      </c>
      <c r="CU12" s="11">
        <v>1.1627541382717359</v>
      </c>
      <c r="CV12" s="93">
        <v>-0.59324654140603028</v>
      </c>
      <c r="CW12" s="93">
        <v>0.2990079501407093</v>
      </c>
      <c r="CX12" s="93">
        <f t="shared" si="37"/>
        <v>-0.29423859126532098</v>
      </c>
      <c r="CY12" s="93"/>
      <c r="CZ12" s="39">
        <f t="shared" si="38"/>
        <v>2.3930795875785948</v>
      </c>
      <c r="DA12" s="93">
        <v>0.57037884562794017</v>
      </c>
      <c r="DB12" s="93">
        <v>-0.20079563786445448</v>
      </c>
      <c r="DC12" s="93">
        <v>0.15217374224034305</v>
      </c>
      <c r="DD12" s="93">
        <f t="shared" si="39"/>
        <v>-4.8621895624111428E-2</v>
      </c>
      <c r="DF12" s="39">
        <f t="shared" si="40"/>
        <v>2.201138550303483</v>
      </c>
      <c r="DG12" s="93">
        <v>0.56933242838237019</v>
      </c>
      <c r="DH12" s="93">
        <v>-0.40491970823837808</v>
      </c>
      <c r="DI12" s="93">
        <v>0.13848827479389025</v>
      </c>
      <c r="DJ12" s="93">
        <f t="shared" si="41"/>
        <v>-0.26643143344448783</v>
      </c>
      <c r="DK12" s="106"/>
      <c r="DL12" s="39">
        <f t="shared" si="42"/>
        <v>3.1392149650770529</v>
      </c>
      <c r="DM12" s="93">
        <v>2.3042864261425509E-2</v>
      </c>
      <c r="DN12" s="93">
        <v>1.2468804696802241E-2</v>
      </c>
      <c r="DO12" s="93">
        <v>8.3459331064760084E-3</v>
      </c>
      <c r="DP12" s="93">
        <f t="shared" si="43"/>
        <v>2.0814737803278249E-2</v>
      </c>
    </row>
    <row r="13" spans="1:120" x14ac:dyDescent="0.2">
      <c r="A13" s="90" t="str">
        <f>name!B9</f>
        <v>Electricity and gas</v>
      </c>
      <c r="B13" s="39">
        <f t="shared" si="1"/>
        <v>2.751547529508569</v>
      </c>
      <c r="C13" s="11">
        <v>5.0589999999999913</v>
      </c>
      <c r="D13" s="93">
        <v>2.0489999999999946</v>
      </c>
      <c r="E13" s="93">
        <v>1.5776420433154477</v>
      </c>
      <c r="F13" s="93">
        <f t="shared" si="2"/>
        <v>3.6266420433154423</v>
      </c>
      <c r="G13" s="93"/>
      <c r="H13" s="39">
        <f t="shared" si="3"/>
        <v>2.5733600826927994</v>
      </c>
      <c r="I13" s="93">
        <v>0.31361419735656709</v>
      </c>
      <c r="J13" s="93">
        <v>7.8773033073184756E-2</v>
      </c>
      <c r="K13" s="93">
        <v>9.0720990468516644E-2</v>
      </c>
      <c r="L13" s="93">
        <f t="shared" si="4"/>
        <v>0.1694940235417014</v>
      </c>
      <c r="N13" s="39">
        <f t="shared" si="5"/>
        <v>2.5323926518590278</v>
      </c>
      <c r="O13" s="93">
        <v>1.1279969424904663</v>
      </c>
      <c r="P13" s="93">
        <v>0.17361487914005555</v>
      </c>
      <c r="Q13" s="93">
        <v>0.32050420132079388</v>
      </c>
      <c r="R13" s="93">
        <f t="shared" si="6"/>
        <v>0.4941190804608494</v>
      </c>
      <c r="S13" s="106"/>
      <c r="T13" s="39">
        <f t="shared" si="7"/>
        <v>2.8342615174113073</v>
      </c>
      <c r="U13" s="93">
        <v>3.6173888601529574</v>
      </c>
      <c r="V13" s="93">
        <v>1.7966120877867537</v>
      </c>
      <c r="W13" s="93">
        <v>1.1664168515261377</v>
      </c>
      <c r="X13" s="93">
        <f t="shared" si="8"/>
        <v>2.9630289393128915</v>
      </c>
      <c r="Y13" s="90" t="str">
        <f t="shared" si="0"/>
        <v>Electricity and gas</v>
      </c>
      <c r="Z13" s="39">
        <f t="shared" si="9"/>
        <v>2.8458192992028453</v>
      </c>
      <c r="AA13" s="11">
        <v>3.4150679378844369</v>
      </c>
      <c r="AB13" s="93">
        <v>1.4840300025780557</v>
      </c>
      <c r="AC13" s="93">
        <v>1.1062575228637768</v>
      </c>
      <c r="AD13" s="93">
        <f t="shared" si="10"/>
        <v>2.5902875254418323</v>
      </c>
      <c r="AE13" s="93"/>
      <c r="AF13" s="39">
        <f t="shared" si="11"/>
        <v>2.7430555154363878</v>
      </c>
      <c r="AG13" s="93">
        <v>0.11612647673624334</v>
      </c>
      <c r="AH13" s="93">
        <v>0.11035323287716786</v>
      </c>
      <c r="AI13" s="93">
        <v>3.6088022100809053E-2</v>
      </c>
      <c r="AJ13" s="93">
        <f t="shared" si="12"/>
        <v>0.14644125497797691</v>
      </c>
      <c r="AL13" s="39">
        <f t="shared" si="13"/>
        <v>2.6040221070196878</v>
      </c>
      <c r="AM13" s="93">
        <v>0.78807550212350175</v>
      </c>
      <c r="AN13" s="93">
        <v>0.1640515512066609</v>
      </c>
      <c r="AO13" s="93">
        <v>0.23101248718210923</v>
      </c>
      <c r="AP13" s="93">
        <f t="shared" si="14"/>
        <v>0.39506403838877013</v>
      </c>
      <c r="AQ13" s="106"/>
      <c r="AR13" s="39">
        <f t="shared" si="15"/>
        <v>2.9253673336995467</v>
      </c>
      <c r="AS13" s="93">
        <v>2.510865959024692</v>
      </c>
      <c r="AT13" s="93">
        <v>1.2096252184942269</v>
      </c>
      <c r="AU13" s="93">
        <v>0.83915701358085859</v>
      </c>
      <c r="AV13" s="93">
        <f t="shared" si="16"/>
        <v>2.0487822320750855</v>
      </c>
      <c r="AW13" s="90" t="str">
        <f t="shared" si="17"/>
        <v>Electricity and gas</v>
      </c>
      <c r="AX13" s="39">
        <f t="shared" si="18"/>
        <v>2.7527088286745105</v>
      </c>
      <c r="AY13" s="11">
        <v>0.957602688269793</v>
      </c>
      <c r="AZ13" s="93">
        <v>0.25026458116444267</v>
      </c>
      <c r="BA13" s="93">
        <v>0.29876903958455009</v>
      </c>
      <c r="BB13" s="93">
        <f t="shared" si="19"/>
        <v>0.54903362074899276</v>
      </c>
      <c r="BC13" s="93"/>
      <c r="BD13" s="39">
        <f t="shared" si="20"/>
        <v>2.6027440742423469</v>
      </c>
      <c r="BE13" s="93">
        <v>6.6675648433861312E-2</v>
      </c>
      <c r="BF13" s="93">
        <v>1.2223965695389253E-2</v>
      </c>
      <c r="BG13" s="93">
        <v>1.953422506429308E-2</v>
      </c>
      <c r="BH13" s="93">
        <f t="shared" si="21"/>
        <v>3.1758190759682337E-2</v>
      </c>
      <c r="BJ13" s="39">
        <f t="shared" si="22"/>
        <v>2.595302754086215</v>
      </c>
      <c r="BK13" s="93">
        <v>0.10025366029317774</v>
      </c>
      <c r="BL13" s="93">
        <v>-4.2143802914000279E-2</v>
      </c>
      <c r="BM13" s="93">
        <v>2.9277725477586596E-2</v>
      </c>
      <c r="BN13" s="93">
        <f t="shared" si="23"/>
        <v>-1.2866077436413683E-2</v>
      </c>
      <c r="BO13" s="106"/>
      <c r="BP13" s="39">
        <f t="shared" si="24"/>
        <v>2.7850477621075731</v>
      </c>
      <c r="BQ13" s="93">
        <v>0.79067337954275396</v>
      </c>
      <c r="BR13" s="93">
        <v>0.28018441838305369</v>
      </c>
      <c r="BS13" s="93">
        <v>0.24995708904267042</v>
      </c>
      <c r="BT13" s="93">
        <f t="shared" si="25"/>
        <v>0.53014150742572408</v>
      </c>
      <c r="BU13" s="90" t="str">
        <f t="shared" si="26"/>
        <v>Electricity and gas</v>
      </c>
      <c r="BV13" s="39">
        <f t="shared" si="27"/>
        <v>2.30166568848158</v>
      </c>
      <c r="BW13" s="11">
        <v>0.58372112403374876</v>
      </c>
      <c r="BX13" s="93">
        <v>0.29400518186205293</v>
      </c>
      <c r="BY13" s="93">
        <v>0.14915818412575702</v>
      </c>
      <c r="BZ13" s="93">
        <f t="shared" si="28"/>
        <v>0.44316336598780992</v>
      </c>
      <c r="CA13" s="93"/>
      <c r="CB13" s="39">
        <f t="shared" si="29"/>
        <v>2.5209593858770862</v>
      </c>
      <c r="CC13" s="93">
        <v>7.9538399802440748E-2</v>
      </c>
      <c r="CD13" s="93">
        <v>-3.8996824091237468E-2</v>
      </c>
      <c r="CE13" s="93">
        <v>2.2485863083774052E-2</v>
      </c>
      <c r="CF13" s="93">
        <f t="shared" si="30"/>
        <v>-1.6510961007463416E-2</v>
      </c>
      <c r="CH13" s="39">
        <f t="shared" si="31"/>
        <v>2.2948013168675008</v>
      </c>
      <c r="CI13" s="93">
        <v>0.22333516849225249</v>
      </c>
      <c r="CJ13" s="93">
        <v>4.7374479843118752E-2</v>
      </c>
      <c r="CK13" s="93">
        <v>5.6880714680897067E-2</v>
      </c>
      <c r="CL13" s="93">
        <f t="shared" si="32"/>
        <v>0.10425519452401583</v>
      </c>
      <c r="CM13" s="106"/>
      <c r="CN13" s="39">
        <f t="shared" si="33"/>
        <v>2.2442696745849977</v>
      </c>
      <c r="CO13" s="93">
        <v>0.28084755573905562</v>
      </c>
      <c r="CP13" s="93">
        <v>0.28562752611017167</v>
      </c>
      <c r="CQ13" s="93">
        <v>6.9791606361085889E-2</v>
      </c>
      <c r="CR13" s="93">
        <f t="shared" si="34"/>
        <v>0.35541913247125756</v>
      </c>
      <c r="CS13" s="90" t="str">
        <f t="shared" si="35"/>
        <v>Electricity and gas</v>
      </c>
      <c r="CT13" s="39">
        <f t="shared" si="36"/>
        <v>2.0801766936642485</v>
      </c>
      <c r="CU13" s="11">
        <v>0.10260824981201205</v>
      </c>
      <c r="CV13" s="93">
        <v>2.0700234395443017E-2</v>
      </c>
      <c r="CW13" s="93">
        <v>2.3457296741363907E-2</v>
      </c>
      <c r="CX13" s="93">
        <f t="shared" si="37"/>
        <v>4.4157531136806927E-2</v>
      </c>
      <c r="CY13" s="93"/>
      <c r="CZ13" s="39">
        <f t="shared" si="38"/>
        <v>2.2236780417191238</v>
      </c>
      <c r="DA13" s="93">
        <v>5.1273672384021723E-2</v>
      </c>
      <c r="DB13" s="93">
        <v>-4.8073414081348711E-3</v>
      </c>
      <c r="DC13" s="93">
        <v>1.2612880219640452E-2</v>
      </c>
      <c r="DD13" s="93">
        <f t="shared" si="39"/>
        <v>7.8055388115055805E-3</v>
      </c>
      <c r="DF13" s="39">
        <f t="shared" si="40"/>
        <v>1.8745697006633089</v>
      </c>
      <c r="DG13" s="93">
        <v>1.6332611581534422E-2</v>
      </c>
      <c r="DH13" s="93">
        <v>4.3326510042762225E-3</v>
      </c>
      <c r="DI13" s="93">
        <v>3.3332739802009429E-3</v>
      </c>
      <c r="DJ13" s="93">
        <f t="shared" si="41"/>
        <v>7.6659249844771658E-3</v>
      </c>
      <c r="DK13" s="106"/>
      <c r="DL13" s="39">
        <f t="shared" si="42"/>
        <v>1.9631026785993377</v>
      </c>
      <c r="DM13" s="93">
        <v>3.5001965846455901E-2</v>
      </c>
      <c r="DN13" s="93">
        <v>2.1174924799301664E-2</v>
      </c>
      <c r="DO13" s="93">
        <v>7.5111425415225128E-3</v>
      </c>
      <c r="DP13" s="93">
        <f t="shared" si="43"/>
        <v>2.8686067340824177E-2</v>
      </c>
    </row>
    <row r="14" spans="1:120" x14ac:dyDescent="0.2">
      <c r="A14" s="90" t="str">
        <f>name!B10</f>
        <v>Water and sewerage</v>
      </c>
      <c r="B14" s="39">
        <f t="shared" si="1"/>
        <v>2.6630267727114409</v>
      </c>
      <c r="C14" s="11">
        <v>34.689999999999941</v>
      </c>
      <c r="D14" s="93">
        <v>3.4039999999999937</v>
      </c>
      <c r="E14" s="93">
        <v>10.427491197200341</v>
      </c>
      <c r="F14" s="93">
        <f t="shared" si="2"/>
        <v>13.831491197200336</v>
      </c>
      <c r="G14" s="93"/>
      <c r="H14" s="39">
        <f t="shared" si="3"/>
        <v>2.3746340922261355</v>
      </c>
      <c r="I14" s="93">
        <v>2.9582746497764263</v>
      </c>
      <c r="J14" s="93">
        <v>-1.2426718264022578</v>
      </c>
      <c r="K14" s="93">
        <v>0.78250491573356684</v>
      </c>
      <c r="L14" s="93">
        <f t="shared" si="4"/>
        <v>-0.46016691066869098</v>
      </c>
      <c r="N14" s="39">
        <f t="shared" si="5"/>
        <v>2.45146859998846</v>
      </c>
      <c r="O14" s="93">
        <v>15.931406757331569</v>
      </c>
      <c r="P14" s="93">
        <v>2.6141692288467828</v>
      </c>
      <c r="Q14" s="93">
        <v>4.3657875010183442</v>
      </c>
      <c r="R14" s="93">
        <f t="shared" si="6"/>
        <v>6.9799567298651271</v>
      </c>
      <c r="S14" s="106"/>
      <c r="T14" s="39">
        <f t="shared" si="7"/>
        <v>2.9246696914869474</v>
      </c>
      <c r="U14" s="93">
        <v>15.800318592891939</v>
      </c>
      <c r="V14" s="93">
        <v>2.0325025975554691</v>
      </c>
      <c r="W14" s="93">
        <v>5.2791987804484268</v>
      </c>
      <c r="X14" s="93">
        <f t="shared" si="8"/>
        <v>7.311701378003896</v>
      </c>
      <c r="Y14" s="90" t="str">
        <f t="shared" si="0"/>
        <v>Water and sewerage</v>
      </c>
      <c r="Z14" s="39">
        <f t="shared" si="9"/>
        <v>2.8935452968317898</v>
      </c>
      <c r="AA14" s="11">
        <v>20.179018387941738</v>
      </c>
      <c r="AB14" s="93">
        <v>3.7043393079638052</v>
      </c>
      <c r="AC14" s="93">
        <v>6.6609099076503337</v>
      </c>
      <c r="AD14" s="93">
        <f t="shared" si="10"/>
        <v>10.365249215614138</v>
      </c>
      <c r="AE14" s="93"/>
      <c r="AF14" s="39">
        <f t="shared" si="11"/>
        <v>2.7725711511966233</v>
      </c>
      <c r="AG14" s="93">
        <v>0.72465647374450293</v>
      </c>
      <c r="AH14" s="93">
        <v>-0.21196589918901296</v>
      </c>
      <c r="AI14" s="93">
        <v>0.227929964406863</v>
      </c>
      <c r="AJ14" s="93">
        <f t="shared" si="12"/>
        <v>1.5964065217850043E-2</v>
      </c>
      <c r="AL14" s="39">
        <f t="shared" si="13"/>
        <v>2.6836776039042443</v>
      </c>
      <c r="AM14" s="93">
        <v>7.1689586080821419</v>
      </c>
      <c r="AN14" s="93">
        <v>1.9626686993660245</v>
      </c>
      <c r="AO14" s="93">
        <v>2.1736943685039085</v>
      </c>
      <c r="AP14" s="93">
        <f t="shared" si="14"/>
        <v>4.136363067869933</v>
      </c>
      <c r="AQ14" s="106"/>
      <c r="AR14" s="39">
        <f t="shared" si="15"/>
        <v>3.0212745785094253</v>
      </c>
      <c r="AS14" s="93">
        <v>12.285403306115091</v>
      </c>
      <c r="AT14" s="93">
        <v>1.9536365077867941</v>
      </c>
      <c r="AU14" s="93">
        <v>4.2592855747395628</v>
      </c>
      <c r="AV14" s="93">
        <f t="shared" si="16"/>
        <v>6.2129220825263571</v>
      </c>
      <c r="AW14" s="90" t="str">
        <f t="shared" si="17"/>
        <v>Water and sewerage</v>
      </c>
      <c r="AX14" s="39">
        <f t="shared" si="18"/>
        <v>2.6934634376716282</v>
      </c>
      <c r="AY14" s="11">
        <v>3.8772019161776843</v>
      </c>
      <c r="AZ14" s="93">
        <v>-0.76962711358062519</v>
      </c>
      <c r="BA14" s="93">
        <v>1.1804208080754564</v>
      </c>
      <c r="BB14" s="93">
        <f t="shared" si="19"/>
        <v>0.41079369449483116</v>
      </c>
      <c r="BC14" s="93"/>
      <c r="BD14" s="39">
        <f t="shared" si="20"/>
        <v>2.5916879181504093</v>
      </c>
      <c r="BE14" s="93">
        <v>0.39518397605304539</v>
      </c>
      <c r="BF14" s="93">
        <v>-0.11728323585066727</v>
      </c>
      <c r="BG14" s="93">
        <v>0.11522826186981429</v>
      </c>
      <c r="BH14" s="93">
        <f t="shared" si="21"/>
        <v>-2.0549739808529838E-3</v>
      </c>
      <c r="BJ14" s="39">
        <f t="shared" si="22"/>
        <v>2.6108631762737033</v>
      </c>
      <c r="BK14" s="93">
        <v>1.6388021332720251</v>
      </c>
      <c r="BL14" s="93">
        <v>-0.45140915346675231</v>
      </c>
      <c r="BM14" s="93">
        <v>0.48180359544498619</v>
      </c>
      <c r="BN14" s="93">
        <f t="shared" si="23"/>
        <v>3.0394441978233877E-2</v>
      </c>
      <c r="BO14" s="106"/>
      <c r="BP14" s="39">
        <f t="shared" si="24"/>
        <v>2.7879692353027563</v>
      </c>
      <c r="BQ14" s="93">
        <v>1.8432158068526141</v>
      </c>
      <c r="BR14" s="93">
        <v>-0.20093472426320558</v>
      </c>
      <c r="BS14" s="93">
        <v>0.58338895076065578</v>
      </c>
      <c r="BT14" s="93">
        <f t="shared" si="25"/>
        <v>0.3824542264974502</v>
      </c>
      <c r="BU14" s="90" t="str">
        <f t="shared" si="26"/>
        <v>Water and sewerage</v>
      </c>
      <c r="BV14" s="39">
        <f t="shared" si="27"/>
        <v>2.1639959971873068</v>
      </c>
      <c r="BW14" s="11">
        <v>9.217599475239167</v>
      </c>
      <c r="BX14" s="93">
        <v>0.61442646269312895</v>
      </c>
      <c r="BY14" s="93">
        <v>2.2005716372862962</v>
      </c>
      <c r="BZ14" s="93">
        <f t="shared" si="28"/>
        <v>2.8149980999794253</v>
      </c>
      <c r="CA14" s="93"/>
      <c r="CB14" s="39">
        <f t="shared" si="29"/>
        <v>2.1322524388695197</v>
      </c>
      <c r="CC14" s="93">
        <v>1.3746236467462931</v>
      </c>
      <c r="CD14" s="93">
        <v>-0.6797332330802186</v>
      </c>
      <c r="CE14" s="93">
        <v>0.32288857798608317</v>
      </c>
      <c r="CF14" s="93">
        <f t="shared" si="30"/>
        <v>-0.35684465509413543</v>
      </c>
      <c r="CH14" s="39">
        <f t="shared" si="31"/>
        <v>2.1183476609150542</v>
      </c>
      <c r="CI14" s="93">
        <v>6.2987020393754678</v>
      </c>
      <c r="CJ14" s="93">
        <v>1.0586789669999686</v>
      </c>
      <c r="CK14" s="93">
        <v>1.4689337630531381</v>
      </c>
      <c r="CL14" s="93">
        <f t="shared" si="32"/>
        <v>2.5276127300531064</v>
      </c>
      <c r="CM14" s="106"/>
      <c r="CN14" s="39">
        <f t="shared" si="33"/>
        <v>2.3760355283215739</v>
      </c>
      <c r="CO14" s="93">
        <v>1.5442737891174063</v>
      </c>
      <c r="CP14" s="93">
        <v>0.23548072877337922</v>
      </c>
      <c r="CQ14" s="93">
        <v>0.40874929624707479</v>
      </c>
      <c r="CR14" s="93">
        <f t="shared" si="34"/>
        <v>0.64423002502045401</v>
      </c>
      <c r="CS14" s="90" t="str">
        <f t="shared" si="35"/>
        <v>Water and sewerage</v>
      </c>
      <c r="CT14" s="39">
        <f t="shared" si="36"/>
        <v>2.4372851811505392</v>
      </c>
      <c r="CU14" s="11">
        <v>1.4161802206413483</v>
      </c>
      <c r="CV14" s="93">
        <v>-0.14513865707631529</v>
      </c>
      <c r="CW14" s="93">
        <v>0.38558884418825223</v>
      </c>
      <c r="CX14" s="93">
        <f t="shared" si="37"/>
        <v>0.24045018711193694</v>
      </c>
      <c r="CY14" s="93"/>
      <c r="CZ14" s="39">
        <f t="shared" si="38"/>
        <v>2.2654301118374853</v>
      </c>
      <c r="DA14" s="93">
        <v>0.46381055323258502</v>
      </c>
      <c r="DB14" s="93">
        <v>-0.23368945828235915</v>
      </c>
      <c r="DC14" s="93">
        <v>0.11645811147080638</v>
      </c>
      <c r="DD14" s="93">
        <f t="shared" si="39"/>
        <v>-0.11723134681155277</v>
      </c>
      <c r="DF14" s="39">
        <f t="shared" si="40"/>
        <v>2.5995569001085794</v>
      </c>
      <c r="DG14" s="93">
        <v>0.82494397660193552</v>
      </c>
      <c r="DH14" s="93">
        <v>4.4230715947542278E-2</v>
      </c>
      <c r="DI14" s="93">
        <v>0.24135577401631172</v>
      </c>
      <c r="DJ14" s="93">
        <f t="shared" si="41"/>
        <v>0.285586489963854</v>
      </c>
      <c r="DK14" s="106"/>
      <c r="DL14" s="39">
        <f t="shared" si="42"/>
        <v>1.9914236116268524</v>
      </c>
      <c r="DM14" s="93">
        <v>0.12742569080682786</v>
      </c>
      <c r="DN14" s="93">
        <v>4.4320085258501563E-2</v>
      </c>
      <c r="DO14" s="93">
        <v>2.7774958701134087E-2</v>
      </c>
      <c r="DP14" s="93">
        <f t="shared" si="43"/>
        <v>7.2095043959635646E-2</v>
      </c>
    </row>
    <row r="15" spans="1:120" x14ac:dyDescent="0.2">
      <c r="A15" s="90" t="str">
        <f>name!B11</f>
        <v>Construction</v>
      </c>
      <c r="B15" s="39">
        <f t="shared" si="1"/>
        <v>2.6332713124259444</v>
      </c>
      <c r="C15" s="11">
        <v>24.70699999999993</v>
      </c>
      <c r="D15" s="93">
        <v>2.4850000000000203</v>
      </c>
      <c r="E15" s="93">
        <v>7.3336805968811847</v>
      </c>
      <c r="F15" s="93">
        <f t="shared" si="2"/>
        <v>9.8186805968812045</v>
      </c>
      <c r="G15" s="93"/>
      <c r="H15" s="39">
        <f t="shared" si="3"/>
        <v>2.4423074235861542</v>
      </c>
      <c r="I15" s="93">
        <v>2.0674298031287628</v>
      </c>
      <c r="J15" s="93">
        <v>-0.8828890757342569</v>
      </c>
      <c r="K15" s="93">
        <v>0.56419694936710085</v>
      </c>
      <c r="L15" s="93">
        <f t="shared" si="4"/>
        <v>-0.31869212636715605</v>
      </c>
      <c r="N15" s="39">
        <f t="shared" si="5"/>
        <v>2.3615173214244889</v>
      </c>
      <c r="O15" s="93">
        <v>11.395959885205716</v>
      </c>
      <c r="P15" s="93">
        <v>1.9703829749125323</v>
      </c>
      <c r="Q15" s="93">
        <v>2.9959377256495925</v>
      </c>
      <c r="R15" s="93">
        <f t="shared" si="6"/>
        <v>4.9663207005621253</v>
      </c>
      <c r="S15" s="106"/>
      <c r="T15" s="39">
        <f t="shared" si="7"/>
        <v>2.9362141326216173</v>
      </c>
      <c r="U15" s="93">
        <v>11.243610311665455</v>
      </c>
      <c r="V15" s="93">
        <v>1.3975061008217451</v>
      </c>
      <c r="W15" s="93">
        <v>3.7735459218644927</v>
      </c>
      <c r="X15" s="93">
        <f t="shared" si="8"/>
        <v>5.1710520226862382</v>
      </c>
      <c r="Y15" s="90" t="str">
        <f t="shared" si="0"/>
        <v>Construction</v>
      </c>
      <c r="Z15" s="39">
        <f t="shared" si="9"/>
        <v>2.9275517647755267</v>
      </c>
      <c r="AA15" s="11">
        <v>13.046434238680172</v>
      </c>
      <c r="AB15" s="93">
        <v>2.1329718598151204</v>
      </c>
      <c r="AC15" s="93">
        <v>4.3639460437985305</v>
      </c>
      <c r="AD15" s="93">
        <f t="shared" si="10"/>
        <v>6.4969179036136513</v>
      </c>
      <c r="AE15" s="93"/>
      <c r="AF15" s="39">
        <f t="shared" si="11"/>
        <v>2.9029598767563725</v>
      </c>
      <c r="AG15" s="93">
        <v>0.51780999831305174</v>
      </c>
      <c r="AH15" s="93">
        <v>-0.14508224440278034</v>
      </c>
      <c r="AI15" s="93">
        <v>0.17155479671456894</v>
      </c>
      <c r="AJ15" s="93">
        <f t="shared" si="12"/>
        <v>2.6472552311788605E-2</v>
      </c>
      <c r="AL15" s="39">
        <f t="shared" si="13"/>
        <v>2.7138731733564292</v>
      </c>
      <c r="AM15" s="93">
        <v>3.3696565084990735</v>
      </c>
      <c r="AN15" s="93">
        <v>0.87665708871403969</v>
      </c>
      <c r="AO15" s="93">
        <v>1.0346414621905302</v>
      </c>
      <c r="AP15" s="93">
        <f t="shared" si="14"/>
        <v>1.9112985509045699</v>
      </c>
      <c r="AQ15" s="106"/>
      <c r="AR15" s="39">
        <f t="shared" si="15"/>
        <v>3.0065508595138457</v>
      </c>
      <c r="AS15" s="93">
        <v>9.1589677318680476</v>
      </c>
      <c r="AT15" s="93">
        <v>1.4013970155038609</v>
      </c>
      <c r="AU15" s="93">
        <v>3.1577497848934315</v>
      </c>
      <c r="AV15" s="93">
        <f t="shared" si="16"/>
        <v>4.5591468003972926</v>
      </c>
      <c r="AW15" s="90" t="str">
        <f t="shared" si="17"/>
        <v>Construction</v>
      </c>
      <c r="AX15" s="39">
        <f t="shared" si="18"/>
        <v>2.6925526136312605</v>
      </c>
      <c r="AY15" s="11">
        <v>3.651919924567808</v>
      </c>
      <c r="AZ15" s="93">
        <v>-0.23040618198892773</v>
      </c>
      <c r="BA15" s="93">
        <v>1.1114108203418209</v>
      </c>
      <c r="BB15" s="93">
        <f t="shared" si="19"/>
        <v>0.88100463835289322</v>
      </c>
      <c r="BC15" s="93"/>
      <c r="BD15" s="39">
        <f t="shared" si="20"/>
        <v>2.6003566607783579</v>
      </c>
      <c r="BE15" s="93">
        <v>0.34954045938527362</v>
      </c>
      <c r="BF15" s="93">
        <v>-0.11400742632184735</v>
      </c>
      <c r="BG15" s="93">
        <v>0.10230108293418085</v>
      </c>
      <c r="BH15" s="93">
        <f t="shared" si="21"/>
        <v>-1.1706343387666504E-2</v>
      </c>
      <c r="BJ15" s="39">
        <f t="shared" si="22"/>
        <v>2.6391873139546718</v>
      </c>
      <c r="BK15" s="93">
        <v>2.0072722798125366</v>
      </c>
      <c r="BL15" s="93">
        <v>2.1946743765527334E-2</v>
      </c>
      <c r="BM15" s="93">
        <v>0.59731151369132662</v>
      </c>
      <c r="BN15" s="93">
        <f t="shared" si="23"/>
        <v>0.61925825745685392</v>
      </c>
      <c r="BO15" s="106"/>
      <c r="BP15" s="39">
        <f t="shared" si="24"/>
        <v>2.799351314050047</v>
      </c>
      <c r="BQ15" s="93">
        <v>1.2951071853699978</v>
      </c>
      <c r="BR15" s="93">
        <v>-0.13834549943260771</v>
      </c>
      <c r="BS15" s="93">
        <v>0.41179822371631336</v>
      </c>
      <c r="BT15" s="93">
        <f t="shared" si="25"/>
        <v>0.27345272428370565</v>
      </c>
      <c r="BU15" s="90" t="str">
        <f t="shared" si="26"/>
        <v>Construction</v>
      </c>
      <c r="BV15" s="39">
        <f t="shared" si="27"/>
        <v>2.0481137979190267</v>
      </c>
      <c r="BW15" s="11">
        <v>6.6723347132595512</v>
      </c>
      <c r="BX15" s="93">
        <v>0.63046525507421236</v>
      </c>
      <c r="BY15" s="93">
        <v>1.4996518315416651</v>
      </c>
      <c r="BZ15" s="93">
        <f t="shared" si="28"/>
        <v>2.1301170866158774</v>
      </c>
      <c r="CA15" s="93"/>
      <c r="CB15" s="39">
        <f t="shared" si="29"/>
        <v>1.885726525584519</v>
      </c>
      <c r="CC15" s="93">
        <v>0.79401322796632245</v>
      </c>
      <c r="CD15" s="93">
        <v>-0.42251424724113457</v>
      </c>
      <c r="CE15" s="93">
        <v>0.16309534060812603</v>
      </c>
      <c r="CF15" s="93">
        <f t="shared" si="30"/>
        <v>-0.25941890663300854</v>
      </c>
      <c r="CH15" s="39">
        <f t="shared" si="31"/>
        <v>2.0349710354922612</v>
      </c>
      <c r="CI15" s="93">
        <v>5.1117136268203991</v>
      </c>
      <c r="CJ15" s="93">
        <v>0.94026718064231962</v>
      </c>
      <c r="CK15" s="93">
        <v>1.1408334558665532</v>
      </c>
      <c r="CL15" s="93">
        <f t="shared" si="32"/>
        <v>2.0811006365088729</v>
      </c>
      <c r="CM15" s="106"/>
      <c r="CN15" s="39">
        <f t="shared" si="33"/>
        <v>2.2998780793422213</v>
      </c>
      <c r="CO15" s="93">
        <v>0.7666078584728292</v>
      </c>
      <c r="CP15" s="93">
        <v>0.11271232167302715</v>
      </c>
      <c r="CQ15" s="93">
        <v>0.19572303506698607</v>
      </c>
      <c r="CR15" s="93">
        <f t="shared" si="34"/>
        <v>0.30843535674001321</v>
      </c>
      <c r="CS15" s="90" t="str">
        <f t="shared" si="35"/>
        <v>Construction</v>
      </c>
      <c r="CT15" s="39">
        <f t="shared" si="36"/>
        <v>2.406088217429958</v>
      </c>
      <c r="CU15" s="11">
        <v>1.3363111234924001</v>
      </c>
      <c r="CV15" s="93">
        <v>-4.8030932900384203E-2</v>
      </c>
      <c r="CW15" s="93">
        <v>0.3586719011991692</v>
      </c>
      <c r="CX15" s="93">
        <f t="shared" si="37"/>
        <v>0.31064096829878501</v>
      </c>
      <c r="CY15" s="93"/>
      <c r="CZ15" s="39">
        <f t="shared" si="38"/>
        <v>2.7633959791856677</v>
      </c>
      <c r="DA15" s="93">
        <v>0.40606611746411458</v>
      </c>
      <c r="DB15" s="93">
        <v>-0.20128515776849468</v>
      </c>
      <c r="DC15" s="93">
        <v>0.12724572911022497</v>
      </c>
      <c r="DD15" s="93">
        <f t="shared" si="39"/>
        <v>-7.4039428658269707E-2</v>
      </c>
      <c r="DF15" s="39">
        <f t="shared" si="40"/>
        <v>2.2233076528841211</v>
      </c>
      <c r="DG15" s="93">
        <v>0.90731747007370689</v>
      </c>
      <c r="DH15" s="93">
        <v>0.1315119617906455</v>
      </c>
      <c r="DI15" s="93">
        <v>0.22315129390118218</v>
      </c>
      <c r="DJ15" s="93">
        <f t="shared" si="41"/>
        <v>0.35466325569182766</v>
      </c>
      <c r="DK15" s="106"/>
      <c r="DL15" s="39">
        <f t="shared" si="42"/>
        <v>3.1295401767871711</v>
      </c>
      <c r="DM15" s="93">
        <v>2.2927535954578668E-2</v>
      </c>
      <c r="DN15" s="93">
        <v>2.174226307746498E-2</v>
      </c>
      <c r="DO15" s="93">
        <v>8.2748781877620605E-3</v>
      </c>
      <c r="DP15" s="93">
        <f t="shared" si="43"/>
        <v>3.0017141265227039E-2</v>
      </c>
    </row>
    <row r="16" spans="1:120" x14ac:dyDescent="0.2">
      <c r="A16" s="90" t="str">
        <f>name!B12</f>
        <v>Wholesale and retail trade</v>
      </c>
      <c r="B16" s="39">
        <f t="shared" si="1"/>
        <v>2.48357468355489</v>
      </c>
      <c r="C16" s="11">
        <v>49.360999999999891</v>
      </c>
      <c r="D16" s="93">
        <v>-3.0089999999999963</v>
      </c>
      <c r="E16" s="93">
        <v>13.724072101712224</v>
      </c>
      <c r="F16" s="93">
        <f t="shared" si="2"/>
        <v>10.715072101712227</v>
      </c>
      <c r="G16" s="93"/>
      <c r="H16" s="39">
        <f t="shared" si="3"/>
        <v>2.319061330483807</v>
      </c>
      <c r="I16" s="93">
        <v>11.754763181562106</v>
      </c>
      <c r="J16" s="93">
        <v>-3.3383043230730345</v>
      </c>
      <c r="K16" s="93">
        <v>3.0288080072024135</v>
      </c>
      <c r="L16" s="93">
        <f t="shared" si="4"/>
        <v>-0.30949631587062099</v>
      </c>
      <c r="N16" s="39">
        <f t="shared" si="5"/>
        <v>2.3679923975928441</v>
      </c>
      <c r="O16" s="93">
        <v>27.464527750604109</v>
      </c>
      <c r="P16" s="93">
        <v>1.036637643813106</v>
      </c>
      <c r="Q16" s="93">
        <v>7.242226228936425</v>
      </c>
      <c r="R16" s="93">
        <f t="shared" si="6"/>
        <v>8.2788638727495307</v>
      </c>
      <c r="S16" s="106"/>
      <c r="T16" s="39">
        <f t="shared" si="7"/>
        <v>2.9736241479119574</v>
      </c>
      <c r="U16" s="93">
        <v>10.141709067833677</v>
      </c>
      <c r="V16" s="93">
        <v>-0.70733332074006794</v>
      </c>
      <c r="W16" s="93">
        <v>3.4530378655733838</v>
      </c>
      <c r="X16" s="93">
        <f t="shared" si="8"/>
        <v>2.7457045448333157</v>
      </c>
      <c r="Y16" s="90" t="str">
        <f t="shared" si="0"/>
        <v>Wholesale and retail trade</v>
      </c>
      <c r="Z16" s="39">
        <f t="shared" si="9"/>
        <v>2.9998517165961136</v>
      </c>
      <c r="AA16" s="11">
        <v>14.421904529312432</v>
      </c>
      <c r="AB16" s="93">
        <v>-7.9946079548302407E-2</v>
      </c>
      <c r="AC16" s="93">
        <v>4.9596501612339017</v>
      </c>
      <c r="AD16" s="93">
        <f t="shared" si="10"/>
        <v>4.879704081685599</v>
      </c>
      <c r="AE16" s="93"/>
      <c r="AF16" s="39">
        <f t="shared" si="11"/>
        <v>2.9265331251565607</v>
      </c>
      <c r="AG16" s="93">
        <v>1.7446046239912303</v>
      </c>
      <c r="AH16" s="93">
        <v>-0.27919872461291689</v>
      </c>
      <c r="AI16" s="93">
        <v>0.58332831832535181</v>
      </c>
      <c r="AJ16" s="93">
        <f t="shared" si="12"/>
        <v>0.30412959371243492</v>
      </c>
      <c r="AL16" s="39">
        <f t="shared" si="13"/>
        <v>2.8733806306549425</v>
      </c>
      <c r="AM16" s="93">
        <v>5.4383562760409712</v>
      </c>
      <c r="AN16" s="93">
        <v>0.60778084248681408</v>
      </c>
      <c r="AO16" s="93">
        <v>1.780988355750744</v>
      </c>
      <c r="AP16" s="93">
        <f t="shared" si="14"/>
        <v>2.3887691982375578</v>
      </c>
      <c r="AQ16" s="106"/>
      <c r="AR16" s="39">
        <f t="shared" si="15"/>
        <v>3.111409774959073</v>
      </c>
      <c r="AS16" s="93">
        <v>7.2389436292802296</v>
      </c>
      <c r="AT16" s="93">
        <v>-0.40852819742219959</v>
      </c>
      <c r="AU16" s="93">
        <v>2.5953334871578053</v>
      </c>
      <c r="AV16" s="93">
        <f t="shared" si="16"/>
        <v>2.1868052897356058</v>
      </c>
      <c r="AW16" s="90" t="str">
        <f t="shared" si="17"/>
        <v>Wholesale and retail trade</v>
      </c>
      <c r="AX16" s="39">
        <f t="shared" si="18"/>
        <v>2.6838321004912791</v>
      </c>
      <c r="AY16" s="11">
        <v>4.7602092359720407</v>
      </c>
      <c r="AZ16" s="93">
        <v>-1.3205133909931142</v>
      </c>
      <c r="BA16" s="93">
        <v>1.4434326816980343</v>
      </c>
      <c r="BB16" s="93">
        <f t="shared" si="19"/>
        <v>0.12291929070492014</v>
      </c>
      <c r="BC16" s="93"/>
      <c r="BD16" s="39">
        <f t="shared" si="20"/>
        <v>2.6307138684356079</v>
      </c>
      <c r="BE16" s="93">
        <v>0.55533861181731692</v>
      </c>
      <c r="BF16" s="93">
        <v>-0.19194769411417067</v>
      </c>
      <c r="BG16" s="93">
        <v>0.16465951691361003</v>
      </c>
      <c r="BH16" s="93">
        <f t="shared" si="21"/>
        <v>-2.7288177200560648E-2</v>
      </c>
      <c r="BJ16" s="39">
        <f t="shared" si="22"/>
        <v>2.6257921936491346</v>
      </c>
      <c r="BK16" s="93">
        <v>2.4972687404973635</v>
      </c>
      <c r="BL16" s="93">
        <v>-0.56905832335257489</v>
      </c>
      <c r="BM16" s="93">
        <v>0.73889514198640793</v>
      </c>
      <c r="BN16" s="93">
        <f t="shared" si="23"/>
        <v>0.16983681863383304</v>
      </c>
      <c r="BO16" s="106"/>
      <c r="BP16" s="39">
        <f t="shared" si="24"/>
        <v>2.7852790413730899</v>
      </c>
      <c r="BQ16" s="93">
        <v>1.7076018836573603</v>
      </c>
      <c r="BR16" s="93">
        <v>-0.55950737352636859</v>
      </c>
      <c r="BS16" s="93">
        <v>0.53987802279801622</v>
      </c>
      <c r="BT16" s="93">
        <f t="shared" si="25"/>
        <v>-1.9629350728352368E-2</v>
      </c>
      <c r="BU16" s="90" t="str">
        <f t="shared" si="26"/>
        <v>Wholesale and retail trade</v>
      </c>
      <c r="BV16" s="39">
        <f t="shared" si="27"/>
        <v>2.1993314042800582</v>
      </c>
      <c r="BW16" s="11">
        <v>28.021593521784599</v>
      </c>
      <c r="BX16" s="93">
        <v>-1.4714034279099568</v>
      </c>
      <c r="BY16" s="93">
        <v>6.8100025319772302</v>
      </c>
      <c r="BZ16" s="93">
        <f t="shared" si="28"/>
        <v>5.3385991040672733</v>
      </c>
      <c r="CA16" s="93"/>
      <c r="CB16" s="39">
        <f t="shared" si="29"/>
        <v>2.1988160207137231</v>
      </c>
      <c r="CC16" s="93">
        <v>8.4984348827263929</v>
      </c>
      <c r="CD16" s="93">
        <v>-2.4130544809912187</v>
      </c>
      <c r="CE16" s="93">
        <v>2.0648160354020404</v>
      </c>
      <c r="CF16" s="93">
        <f t="shared" si="30"/>
        <v>-0.34823844558917827</v>
      </c>
      <c r="CH16" s="39">
        <f t="shared" si="31"/>
        <v>2.1891934571730776</v>
      </c>
      <c r="CI16" s="93">
        <v>18.363284813948471</v>
      </c>
      <c r="CJ16" s="93">
        <v>0.79472514229380931</v>
      </c>
      <c r="CK16" s="93">
        <v>4.4401403431475641</v>
      </c>
      <c r="CL16" s="93">
        <f t="shared" si="32"/>
        <v>5.2348654854413734</v>
      </c>
      <c r="CM16" s="106"/>
      <c r="CN16" s="39">
        <f t="shared" si="33"/>
        <v>2.3623659563032362</v>
      </c>
      <c r="CO16" s="93">
        <v>1.1598738251097345</v>
      </c>
      <c r="CP16" s="93">
        <v>0.14692591078745226</v>
      </c>
      <c r="CQ16" s="93">
        <v>0.30504615342762553</v>
      </c>
      <c r="CR16" s="93">
        <f t="shared" si="34"/>
        <v>0.4519720642150778</v>
      </c>
      <c r="CS16" s="90" t="str">
        <f t="shared" si="35"/>
        <v>Wholesale and retail trade</v>
      </c>
      <c r="CT16" s="39">
        <f t="shared" si="36"/>
        <v>2.1485540302156547</v>
      </c>
      <c r="CU16" s="11">
        <v>2.1572927129308224</v>
      </c>
      <c r="CV16" s="93">
        <v>-0.13713710154862277</v>
      </c>
      <c r="CW16" s="93">
        <v>0.51098672680305779</v>
      </c>
      <c r="CX16" s="93">
        <f t="shared" si="37"/>
        <v>0.37384962525443499</v>
      </c>
      <c r="CY16" s="93"/>
      <c r="CZ16" s="39">
        <f t="shared" si="38"/>
        <v>2.0572595476436195</v>
      </c>
      <c r="DA16" s="93">
        <v>0.95638506302716597</v>
      </c>
      <c r="DB16" s="93">
        <v>-0.4541034233547282</v>
      </c>
      <c r="DC16" s="93">
        <v>0.2160041365614109</v>
      </c>
      <c r="DD16" s="93">
        <f t="shared" si="39"/>
        <v>-0.23809928679331729</v>
      </c>
      <c r="DF16" s="39">
        <f t="shared" si="40"/>
        <v>2.1917519950891196</v>
      </c>
      <c r="DG16" s="93">
        <v>1.1656179201173043</v>
      </c>
      <c r="DH16" s="93">
        <v>0.20318998238505742</v>
      </c>
      <c r="DI16" s="93">
        <v>0.28220238805171</v>
      </c>
      <c r="DJ16" s="93">
        <f t="shared" si="41"/>
        <v>0.48539237043676742</v>
      </c>
      <c r="DK16" s="106"/>
      <c r="DL16" s="39">
        <f t="shared" si="42"/>
        <v>3.1389052752660129</v>
      </c>
      <c r="DM16" s="93">
        <v>3.5289729786351975E-2</v>
      </c>
      <c r="DN16" s="93">
        <v>0.11377633942104799</v>
      </c>
      <c r="DO16" s="93">
        <v>1.2780202189936939E-2</v>
      </c>
      <c r="DP16" s="93">
        <f t="shared" si="43"/>
        <v>0.12655654161098492</v>
      </c>
    </row>
    <row r="17" spans="1:120" x14ac:dyDescent="0.2">
      <c r="A17" s="90" t="str">
        <f>name!B13</f>
        <v>Transport and storage</v>
      </c>
      <c r="B17" s="39">
        <f t="shared" si="1"/>
        <v>2.5826643707438812</v>
      </c>
      <c r="C17" s="11">
        <v>92.525231401581493</v>
      </c>
      <c r="D17" s="93">
        <v>4.8062010655220337</v>
      </c>
      <c r="E17" s="93">
        <v>26.873559144521298</v>
      </c>
      <c r="F17" s="93">
        <f t="shared" si="2"/>
        <v>31.679760210043334</v>
      </c>
      <c r="G17" s="93"/>
      <c r="H17" s="39">
        <f t="shared" si="3"/>
        <v>2.4248789617356659</v>
      </c>
      <c r="I17" s="93">
        <v>21.198729637120138</v>
      </c>
      <c r="J17" s="93">
        <v>-6.0725510822499817</v>
      </c>
      <c r="K17" s="93">
        <v>5.7392133920891153</v>
      </c>
      <c r="L17" s="93">
        <f t="shared" si="4"/>
        <v>-0.33333769016086645</v>
      </c>
      <c r="N17" s="39">
        <f t="shared" si="5"/>
        <v>2.5234952437853897</v>
      </c>
      <c r="O17" s="93">
        <v>52.658868908190932</v>
      </c>
      <c r="P17" s="93">
        <v>7.0048539847493405</v>
      </c>
      <c r="Q17" s="93">
        <v>14.903608217095815</v>
      </c>
      <c r="R17" s="93">
        <f t="shared" si="6"/>
        <v>21.908462201845154</v>
      </c>
      <c r="S17" s="106"/>
      <c r="T17" s="39">
        <f t="shared" si="7"/>
        <v>2.9219882284781784</v>
      </c>
      <c r="U17" s="93">
        <v>18.667632856270426</v>
      </c>
      <c r="V17" s="93">
        <v>3.8738981630226754</v>
      </c>
      <c r="W17" s="93">
        <v>6.230737535336365</v>
      </c>
      <c r="X17" s="93">
        <f t="shared" si="8"/>
        <v>10.10463569835904</v>
      </c>
      <c r="Y17" s="90" t="str">
        <f t="shared" si="0"/>
        <v>Transport and storage</v>
      </c>
      <c r="Z17" s="39">
        <f t="shared" si="9"/>
        <v>2.9241425329038728</v>
      </c>
      <c r="AA17" s="11">
        <v>29.870782206299452</v>
      </c>
      <c r="AB17" s="93">
        <v>4.3408339188767497</v>
      </c>
      <c r="AC17" s="93">
        <v>9.9783777687739459</v>
      </c>
      <c r="AD17" s="93">
        <f t="shared" si="10"/>
        <v>14.319211687650697</v>
      </c>
      <c r="AE17" s="93"/>
      <c r="AF17" s="39">
        <f t="shared" si="11"/>
        <v>2.7318686124567781</v>
      </c>
      <c r="AG17" s="93">
        <v>3.8081615228264192</v>
      </c>
      <c r="AH17" s="93">
        <v>-0.6689481531577417</v>
      </c>
      <c r="AI17" s="93">
        <v>1.1780102671881654</v>
      </c>
      <c r="AJ17" s="93">
        <f t="shared" si="12"/>
        <v>0.50906211403042367</v>
      </c>
      <c r="AL17" s="39">
        <f t="shared" si="13"/>
        <v>2.8609218734994002</v>
      </c>
      <c r="AM17" s="93">
        <v>13.572153033741255</v>
      </c>
      <c r="AN17" s="93">
        <v>3.0025944902352135</v>
      </c>
      <c r="AO17" s="93">
        <v>4.4228892241268012</v>
      </c>
      <c r="AP17" s="93">
        <f t="shared" si="14"/>
        <v>7.4254837143620147</v>
      </c>
      <c r="AQ17" s="106"/>
      <c r="AR17" s="39">
        <f t="shared" si="15"/>
        <v>3.0500840000298179</v>
      </c>
      <c r="AS17" s="93">
        <v>12.490467649731778</v>
      </c>
      <c r="AT17" s="93">
        <v>2.0071875817992777</v>
      </c>
      <c r="AU17" s="93">
        <v>4.3774782774589784</v>
      </c>
      <c r="AV17" s="93">
        <f t="shared" si="16"/>
        <v>6.3846658592582557</v>
      </c>
      <c r="AW17" s="90" t="str">
        <f t="shared" si="17"/>
        <v>Transport and storage</v>
      </c>
      <c r="AX17" s="39">
        <f t="shared" si="18"/>
        <v>2.6816272634551552</v>
      </c>
      <c r="AY17" s="11">
        <v>8.998417639409773</v>
      </c>
      <c r="AZ17" s="93">
        <v>0.46368333377022369</v>
      </c>
      <c r="BA17" s="93">
        <v>2.7260618724368122</v>
      </c>
      <c r="BB17" s="93">
        <f t="shared" si="19"/>
        <v>3.1897452062070357</v>
      </c>
      <c r="BC17" s="93"/>
      <c r="BD17" s="39">
        <f t="shared" si="20"/>
        <v>2.6174041078364407</v>
      </c>
      <c r="BE17" s="93">
        <v>1.0668407233699537</v>
      </c>
      <c r="BF17" s="93">
        <v>3.2513509332090844E-2</v>
      </c>
      <c r="BG17" s="93">
        <v>0.31452866341566049</v>
      </c>
      <c r="BH17" s="93">
        <f t="shared" si="21"/>
        <v>0.34704217274775134</v>
      </c>
      <c r="BJ17" s="39">
        <f t="shared" si="22"/>
        <v>2.6363264722116364</v>
      </c>
      <c r="BK17" s="93">
        <v>4.9047319312804847</v>
      </c>
      <c r="BL17" s="93">
        <v>0.14017890795839225</v>
      </c>
      <c r="BM17" s="93">
        <v>1.4577457375951082</v>
      </c>
      <c r="BN17" s="93">
        <f t="shared" si="23"/>
        <v>1.5979246455535003</v>
      </c>
      <c r="BO17" s="106"/>
      <c r="BP17" s="39">
        <f t="shared" si="24"/>
        <v>2.7770599340433355</v>
      </c>
      <c r="BQ17" s="93">
        <v>3.0268449847593342</v>
      </c>
      <c r="BR17" s="93">
        <v>0.29099091647974057</v>
      </c>
      <c r="BS17" s="93">
        <v>0.95378747142604337</v>
      </c>
      <c r="BT17" s="93">
        <f t="shared" si="25"/>
        <v>1.2447783879057839</v>
      </c>
      <c r="BU17" s="90" t="str">
        <f t="shared" si="26"/>
        <v>Transport and storage</v>
      </c>
      <c r="BV17" s="39">
        <f t="shared" si="27"/>
        <v>2.3754907319287089</v>
      </c>
      <c r="BW17" s="11">
        <v>50.110811503507264</v>
      </c>
      <c r="BX17" s="93">
        <v>0.37983071614327241</v>
      </c>
      <c r="BY17" s="93">
        <v>13.260311196398852</v>
      </c>
      <c r="BZ17" s="93">
        <f t="shared" si="28"/>
        <v>13.640141912542125</v>
      </c>
      <c r="CA17" s="93"/>
      <c r="CB17" s="39">
        <f t="shared" si="29"/>
        <v>2.3338534370635156</v>
      </c>
      <c r="CC17" s="93">
        <v>14.74166253806875</v>
      </c>
      <c r="CD17" s="93">
        <v>-4.5191002676533572</v>
      </c>
      <c r="CE17" s="93">
        <v>3.8252523053004484</v>
      </c>
      <c r="CF17" s="93">
        <f t="shared" si="30"/>
        <v>-0.6938479623529088</v>
      </c>
      <c r="CH17" s="39">
        <f t="shared" si="31"/>
        <v>2.3772663395688065</v>
      </c>
      <c r="CI17" s="93">
        <v>32.323025931939064</v>
      </c>
      <c r="CJ17" s="93">
        <v>3.459835793309614</v>
      </c>
      <c r="CK17" s="93">
        <v>8.5604017208804635</v>
      </c>
      <c r="CL17" s="93">
        <f t="shared" si="32"/>
        <v>12.020237514190077</v>
      </c>
      <c r="CM17" s="106"/>
      <c r="CN17" s="39">
        <f t="shared" si="33"/>
        <v>2.5563381424586806</v>
      </c>
      <c r="CO17" s="93">
        <v>3.0461230334994571</v>
      </c>
      <c r="CP17" s="93">
        <v>1.4390951904870155</v>
      </c>
      <c r="CQ17" s="93">
        <v>0.87465717021794065</v>
      </c>
      <c r="CR17" s="93">
        <f t="shared" si="34"/>
        <v>2.3137523607049562</v>
      </c>
      <c r="CS17" s="90" t="str">
        <f t="shared" si="35"/>
        <v>Transport and storage</v>
      </c>
      <c r="CT17" s="39">
        <f t="shared" si="36"/>
        <v>2.3083258626595438</v>
      </c>
      <c r="CU17" s="11">
        <v>3.5452200523650017</v>
      </c>
      <c r="CV17" s="93">
        <v>-0.37814690326821171</v>
      </c>
      <c r="CW17" s="93">
        <v>0.90880830691168701</v>
      </c>
      <c r="CX17" s="93">
        <f t="shared" si="37"/>
        <v>0.53066140364347536</v>
      </c>
      <c r="CY17" s="93"/>
      <c r="CZ17" s="39">
        <f t="shared" si="38"/>
        <v>2.3896892286912941</v>
      </c>
      <c r="DA17" s="93">
        <v>1.5820648528550136</v>
      </c>
      <c r="DB17" s="93">
        <v>-0.91701617077097408</v>
      </c>
      <c r="DC17" s="93">
        <v>0.42142215618484119</v>
      </c>
      <c r="DD17" s="93">
        <f t="shared" si="39"/>
        <v>-0.49559401458613289</v>
      </c>
      <c r="DF17" s="39">
        <f t="shared" si="40"/>
        <v>2.2469738978732945</v>
      </c>
      <c r="DG17" s="93">
        <v>1.8589580112301323</v>
      </c>
      <c r="DH17" s="93">
        <v>0.40224479324612111</v>
      </c>
      <c r="DI17" s="93">
        <v>0.4625715344934439</v>
      </c>
      <c r="DJ17" s="93">
        <f t="shared" si="41"/>
        <v>0.86481632773956507</v>
      </c>
      <c r="DK17" s="106"/>
      <c r="DL17" s="39">
        <f t="shared" si="42"/>
        <v>2.1591674565122787</v>
      </c>
      <c r="DM17" s="93">
        <v>0.10419718827985559</v>
      </c>
      <c r="DN17" s="93">
        <v>0.13662447425664134</v>
      </c>
      <c r="DO17" s="93">
        <v>2.4814616233402073E-2</v>
      </c>
      <c r="DP17" s="93">
        <f t="shared" si="43"/>
        <v>0.1614390904900434</v>
      </c>
    </row>
    <row r="18" spans="1:120" x14ac:dyDescent="0.2">
      <c r="A18" s="90" t="str">
        <f>name!B14</f>
        <v>Accommodation and food</v>
      </c>
      <c r="B18" s="39">
        <f t="shared" si="1"/>
        <v>2.7290326750703198</v>
      </c>
      <c r="C18" s="11">
        <v>12.952999999999982</v>
      </c>
      <c r="D18" s="93">
        <v>0.38799999999999019</v>
      </c>
      <c r="E18" s="93">
        <v>4.0021779615326993</v>
      </c>
      <c r="F18" s="93">
        <f t="shared" si="2"/>
        <v>4.3901779615326895</v>
      </c>
      <c r="G18" s="93"/>
      <c r="H18" s="39">
        <f t="shared" si="3"/>
        <v>2.439043046528111</v>
      </c>
      <c r="I18" s="93">
        <v>0.98180011788807253</v>
      </c>
      <c r="J18" s="93">
        <v>-0.31823538887421476</v>
      </c>
      <c r="K18" s="93">
        <v>0.26753287063716108</v>
      </c>
      <c r="L18" s="93">
        <f t="shared" si="4"/>
        <v>-5.0702518237053684E-2</v>
      </c>
      <c r="N18" s="39">
        <f t="shared" si="5"/>
        <v>2.4753153877203893</v>
      </c>
      <c r="O18" s="93">
        <v>4.3897999117505364</v>
      </c>
      <c r="P18" s="93">
        <v>-3.3729018992914917E-3</v>
      </c>
      <c r="Q18" s="93">
        <v>1.2159970209281907</v>
      </c>
      <c r="R18" s="93">
        <f t="shared" si="6"/>
        <v>1.2126241190288993</v>
      </c>
      <c r="S18" s="106"/>
      <c r="T18" s="39">
        <f t="shared" si="7"/>
        <v>2.9099584906887133</v>
      </c>
      <c r="U18" s="93">
        <v>7.5813999703613737</v>
      </c>
      <c r="V18" s="93">
        <v>0.70960829077349641</v>
      </c>
      <c r="W18" s="93">
        <v>2.5186480699673486</v>
      </c>
      <c r="X18" s="93">
        <f t="shared" si="8"/>
        <v>3.2282563607408452</v>
      </c>
      <c r="Y18" s="90" t="str">
        <f t="shared" si="0"/>
        <v>Accommodation and food</v>
      </c>
      <c r="Z18" s="39">
        <f t="shared" si="9"/>
        <v>2.9001988046052141</v>
      </c>
      <c r="AA18" s="11">
        <v>8.41715005869405</v>
      </c>
      <c r="AB18" s="93">
        <v>1.2401845545007941</v>
      </c>
      <c r="AC18" s="93">
        <v>2.7856660704349108</v>
      </c>
      <c r="AD18" s="93">
        <f t="shared" si="10"/>
        <v>4.0258506249357051</v>
      </c>
      <c r="AE18" s="93"/>
      <c r="AF18" s="39">
        <f t="shared" si="11"/>
        <v>2.6294544068126147</v>
      </c>
      <c r="AG18" s="93">
        <v>0.26152951231038224</v>
      </c>
      <c r="AH18" s="93">
        <v>-4.5405475739936016E-2</v>
      </c>
      <c r="AI18" s="93">
        <v>7.7502654523601097E-2</v>
      </c>
      <c r="AJ18" s="93">
        <f t="shared" si="12"/>
        <v>3.2097178783665081E-2</v>
      </c>
      <c r="AL18" s="39">
        <f t="shared" si="13"/>
        <v>2.7712915947119443</v>
      </c>
      <c r="AM18" s="93">
        <v>1.603753842229815</v>
      </c>
      <c r="AN18" s="93">
        <v>0.37014463186933377</v>
      </c>
      <c r="AO18" s="93">
        <v>0.50417456272407901</v>
      </c>
      <c r="AP18" s="93">
        <f t="shared" si="14"/>
        <v>0.87431919459341279</v>
      </c>
      <c r="AQ18" s="106"/>
      <c r="AR18" s="39">
        <f t="shared" si="15"/>
        <v>2.9421782199993585</v>
      </c>
      <c r="AS18" s="93">
        <v>6.5518667041538512</v>
      </c>
      <c r="AT18" s="93">
        <v>0.91544539837139627</v>
      </c>
      <c r="AU18" s="93">
        <v>2.2039888531872305</v>
      </c>
      <c r="AV18" s="93">
        <f t="shared" si="16"/>
        <v>3.1194342515586269</v>
      </c>
      <c r="AW18" s="90" t="str">
        <f t="shared" si="17"/>
        <v>Accommodation and food</v>
      </c>
      <c r="AX18" s="39">
        <f t="shared" si="18"/>
        <v>2.6824624047876666</v>
      </c>
      <c r="AY18" s="11">
        <v>1.5529698962248977</v>
      </c>
      <c r="AZ18" s="93">
        <v>-0.46999464299830562</v>
      </c>
      <c r="BA18" s="93">
        <v>0.47063529840578655</v>
      </c>
      <c r="BB18" s="93">
        <f t="shared" si="19"/>
        <v>6.4065540748092786E-4</v>
      </c>
      <c r="BC18" s="93"/>
      <c r="BD18" s="39">
        <f t="shared" si="20"/>
        <v>2.5523204536911814</v>
      </c>
      <c r="BE18" s="93">
        <v>0.13614442022126955</v>
      </c>
      <c r="BF18" s="93">
        <v>-6.3296157131409597E-2</v>
      </c>
      <c r="BG18" s="93">
        <v>3.9023576340022549E-2</v>
      </c>
      <c r="BH18" s="93">
        <f t="shared" si="21"/>
        <v>-2.4272580791387048E-2</v>
      </c>
      <c r="BJ18" s="39">
        <f t="shared" si="22"/>
        <v>2.6286177015529599</v>
      </c>
      <c r="BK18" s="93">
        <v>0.68908932411816504</v>
      </c>
      <c r="BL18" s="93">
        <v>-0.20218556619821521</v>
      </c>
      <c r="BM18" s="93">
        <v>0.20413453714844726</v>
      </c>
      <c r="BN18" s="93">
        <f t="shared" si="23"/>
        <v>1.948970950232054E-3</v>
      </c>
      <c r="BO18" s="106"/>
      <c r="BP18" s="39">
        <f t="shared" si="24"/>
        <v>2.7572901368161595</v>
      </c>
      <c r="BQ18" s="93">
        <v>0.72773615188546292</v>
      </c>
      <c r="BR18" s="93">
        <v>-0.20451291966868082</v>
      </c>
      <c r="BS18" s="93">
        <v>0.22747718491731678</v>
      </c>
      <c r="BT18" s="93">
        <f t="shared" si="25"/>
        <v>2.2964265248635957E-2</v>
      </c>
      <c r="BU18" s="90" t="str">
        <f t="shared" si="26"/>
        <v>Accommodation and food</v>
      </c>
      <c r="BV18" s="39">
        <f t="shared" si="27"/>
        <v>2.2597619936791435</v>
      </c>
      <c r="BW18" s="11">
        <v>2.763662773835291</v>
      </c>
      <c r="BX18" s="93">
        <v>-0.23042163432403942</v>
      </c>
      <c r="BY18" s="93">
        <v>0.69201169643440363</v>
      </c>
      <c r="BZ18" s="93">
        <f t="shared" si="28"/>
        <v>0.46159006211036424</v>
      </c>
      <c r="CA18" s="93"/>
      <c r="CB18" s="39">
        <f t="shared" si="29"/>
        <v>2.2744187655870496</v>
      </c>
      <c r="CC18" s="93">
        <v>0.53420672462394658</v>
      </c>
      <c r="CD18" s="93">
        <v>-0.18314245506199275</v>
      </c>
      <c r="CE18" s="93">
        <v>0.13472154653176011</v>
      </c>
      <c r="CF18" s="93">
        <f t="shared" si="30"/>
        <v>-4.8420908530232648E-2</v>
      </c>
      <c r="CH18" s="39">
        <f t="shared" si="31"/>
        <v>2.2063029939758838</v>
      </c>
      <c r="CI18" s="93">
        <v>1.9276589348892854</v>
      </c>
      <c r="CJ18" s="93">
        <v>-4.5954991332827419E-2</v>
      </c>
      <c r="CK18" s="93">
        <v>0.47010811803984248</v>
      </c>
      <c r="CL18" s="93">
        <f t="shared" si="32"/>
        <v>0.42415312670701505</v>
      </c>
      <c r="CM18" s="106"/>
      <c r="CN18" s="39">
        <f t="shared" si="33"/>
        <v>2.5701813988873834</v>
      </c>
      <c r="CO18" s="93">
        <v>0.30179711432205908</v>
      </c>
      <c r="CP18" s="93">
        <v>-1.3241879292192368E-3</v>
      </c>
      <c r="CQ18" s="93">
        <v>8.7182031862801102E-2</v>
      </c>
      <c r="CR18" s="93">
        <f t="shared" si="34"/>
        <v>8.5857843933581868E-2</v>
      </c>
      <c r="CS18" s="90" t="str">
        <f t="shared" si="35"/>
        <v>Accommodation and food</v>
      </c>
      <c r="CT18" s="39">
        <f t="shared" si="36"/>
        <v>2.2214077027330692</v>
      </c>
      <c r="CU18" s="11">
        <v>0.21921727124574525</v>
      </c>
      <c r="CV18" s="93">
        <v>-0.15176827717845895</v>
      </c>
      <c r="CW18" s="93">
        <v>5.386489625759925E-2</v>
      </c>
      <c r="CX18" s="93">
        <f t="shared" si="37"/>
        <v>-9.7903380920859706E-2</v>
      </c>
      <c r="CY18" s="93"/>
      <c r="CZ18" s="39">
        <f t="shared" si="38"/>
        <v>2.8636185424038896</v>
      </c>
      <c r="DA18" s="93">
        <v>4.9919460732474302E-2</v>
      </c>
      <c r="DB18" s="93">
        <v>-2.6391300940876338E-2</v>
      </c>
      <c r="DC18" s="93">
        <v>1.6285093241777283E-2</v>
      </c>
      <c r="DD18" s="93">
        <f t="shared" si="39"/>
        <v>-1.0106207699099055E-2</v>
      </c>
      <c r="DF18" s="39">
        <f t="shared" si="40"/>
        <v>2.0249088908695478</v>
      </c>
      <c r="DG18" s="93">
        <v>0.16929781051327095</v>
      </c>
      <c r="DH18" s="93">
        <v>-0.12537697623758262</v>
      </c>
      <c r="DI18" s="93">
        <v>3.7579803015821964E-2</v>
      </c>
      <c r="DJ18" s="93">
        <f t="shared" si="41"/>
        <v>-8.7797173221760658E-2</v>
      </c>
      <c r="DK18" s="106"/>
      <c r="DL18" s="39">
        <f t="shared" si="42"/>
        <v>0</v>
      </c>
      <c r="DM18" s="93">
        <v>0</v>
      </c>
      <c r="DN18" s="93">
        <v>0</v>
      </c>
      <c r="DO18" s="93">
        <v>0</v>
      </c>
      <c r="DP18" s="93">
        <f t="shared" si="43"/>
        <v>0</v>
      </c>
    </row>
    <row r="19" spans="1:120" x14ac:dyDescent="0.2">
      <c r="A19" s="90" t="str">
        <f>name!B15</f>
        <v>Media</v>
      </c>
      <c r="B19" s="39">
        <f t="shared" si="1"/>
        <v>2.650879874909351</v>
      </c>
      <c r="C19" s="11">
        <v>16.661999999999964</v>
      </c>
      <c r="D19" s="93">
        <v>-1.8919999999999957</v>
      </c>
      <c r="E19" s="93">
        <v>4.9828157385534926</v>
      </c>
      <c r="F19" s="93">
        <f t="shared" si="2"/>
        <v>3.0908157385534967</v>
      </c>
      <c r="G19" s="93"/>
      <c r="H19" s="39">
        <f t="shared" si="3"/>
        <v>2.421853726448564</v>
      </c>
      <c r="I19" s="93">
        <v>1.9434405643167627</v>
      </c>
      <c r="J19" s="93">
        <v>-0.90855133713639524</v>
      </c>
      <c r="K19" s="93">
        <v>0.52542579270375545</v>
      </c>
      <c r="L19" s="93">
        <f t="shared" si="4"/>
        <v>-0.3831255444326398</v>
      </c>
      <c r="N19" s="39">
        <f t="shared" si="5"/>
        <v>2.4061732586688978</v>
      </c>
      <c r="O19" s="93">
        <v>7.733476770699653</v>
      </c>
      <c r="P19" s="93">
        <v>-1.0294803032346584</v>
      </c>
      <c r="Q19" s="93">
        <v>2.0757813219951484</v>
      </c>
      <c r="R19" s="93">
        <f t="shared" si="6"/>
        <v>1.04630101876049</v>
      </c>
      <c r="S19" s="106"/>
      <c r="T19" s="39">
        <f t="shared" si="7"/>
        <v>2.9772916903296753</v>
      </c>
      <c r="U19" s="93">
        <v>6.9850826649835493</v>
      </c>
      <c r="V19" s="93">
        <v>4.6031640371057968E-2</v>
      </c>
      <c r="W19" s="93">
        <v>2.3816086238545888</v>
      </c>
      <c r="X19" s="93">
        <f t="shared" si="8"/>
        <v>2.4276402642256469</v>
      </c>
      <c r="Y19" s="90" t="str">
        <f t="shared" si="0"/>
        <v>Media</v>
      </c>
      <c r="Z19" s="39">
        <f t="shared" si="9"/>
        <v>2.9185657815322896</v>
      </c>
      <c r="AA19" s="11">
        <v>8.3794062941985281</v>
      </c>
      <c r="AB19" s="93">
        <v>-0.17587640052692693</v>
      </c>
      <c r="AC19" s="93">
        <v>2.7930973117040807</v>
      </c>
      <c r="AD19" s="93">
        <f t="shared" si="10"/>
        <v>2.6172209111771538</v>
      </c>
      <c r="AE19" s="93"/>
      <c r="AF19" s="39">
        <f t="shared" si="11"/>
        <v>2.7459576371490213</v>
      </c>
      <c r="AG19" s="93">
        <v>0.31243496317011898</v>
      </c>
      <c r="AH19" s="93">
        <v>-0.10738960201360218</v>
      </c>
      <c r="AI19" s="93">
        <v>9.7209482795084096E-2</v>
      </c>
      <c r="AJ19" s="93">
        <f t="shared" si="12"/>
        <v>-1.018011921851808E-2</v>
      </c>
      <c r="AL19" s="39">
        <f t="shared" si="13"/>
        <v>2.6372520747176109</v>
      </c>
      <c r="AM19" s="93">
        <v>2.000766979672798</v>
      </c>
      <c r="AN19" s="93">
        <v>-0.14537129206384908</v>
      </c>
      <c r="AO19" s="93">
        <v>0.59488625177063192</v>
      </c>
      <c r="AP19" s="93">
        <f t="shared" si="14"/>
        <v>0.44951495970678285</v>
      </c>
      <c r="AQ19" s="106"/>
      <c r="AR19" s="39">
        <f t="shared" si="15"/>
        <v>3.0186007978292295</v>
      </c>
      <c r="AS19" s="93">
        <v>6.0662043513556112</v>
      </c>
      <c r="AT19" s="93">
        <v>7.6884493550524291E-2</v>
      </c>
      <c r="AU19" s="93">
        <v>2.1010015771383648</v>
      </c>
      <c r="AV19" s="93">
        <f t="shared" si="16"/>
        <v>2.177886070688889</v>
      </c>
      <c r="AW19" s="90" t="str">
        <f t="shared" si="17"/>
        <v>Media</v>
      </c>
      <c r="AX19" s="39">
        <f t="shared" si="18"/>
        <v>2.6651859485115947</v>
      </c>
      <c r="AY19" s="11">
        <v>1.664971822536162</v>
      </c>
      <c r="AZ19" s="93">
        <v>-0.7022088254799439</v>
      </c>
      <c r="BA19" s="93">
        <v>0.50093050963156127</v>
      </c>
      <c r="BB19" s="93">
        <f t="shared" si="19"/>
        <v>-0.20127831584838263</v>
      </c>
      <c r="BC19" s="93"/>
      <c r="BD19" s="39">
        <f t="shared" si="20"/>
        <v>2.581820000482149</v>
      </c>
      <c r="BE19" s="93">
        <v>0.26372544688368038</v>
      </c>
      <c r="BF19" s="93">
        <v>-0.10831956062703628</v>
      </c>
      <c r="BG19" s="93">
        <v>7.6569920735424277E-2</v>
      </c>
      <c r="BH19" s="93">
        <f t="shared" si="21"/>
        <v>-3.1749639891612003E-2</v>
      </c>
      <c r="BJ19" s="39">
        <f t="shared" si="22"/>
        <v>2.6382225672916038</v>
      </c>
      <c r="BK19" s="93">
        <v>0.90622693590093328</v>
      </c>
      <c r="BL19" s="93">
        <v>-0.31112932759164502</v>
      </c>
      <c r="BM19" s="93">
        <v>0.26955881347514621</v>
      </c>
      <c r="BN19" s="93">
        <f t="shared" si="23"/>
        <v>-4.1570514116498813E-2</v>
      </c>
      <c r="BO19" s="106"/>
      <c r="BP19" s="39">
        <f t="shared" si="24"/>
        <v>2.7583597057282416</v>
      </c>
      <c r="BQ19" s="93">
        <v>0.4950194397515485</v>
      </c>
      <c r="BR19" s="93">
        <v>-0.28275993726126269</v>
      </c>
      <c r="BS19" s="93">
        <v>0.15480177542099077</v>
      </c>
      <c r="BT19" s="93">
        <f t="shared" si="25"/>
        <v>-0.12795816184027192</v>
      </c>
      <c r="BU19" s="90" t="str">
        <f t="shared" si="26"/>
        <v>Media</v>
      </c>
      <c r="BV19" s="39">
        <f t="shared" si="27"/>
        <v>2.301250253200271</v>
      </c>
      <c r="BW19" s="11">
        <v>5.9165033698801821</v>
      </c>
      <c r="BX19" s="93">
        <v>-1.0278366832146471</v>
      </c>
      <c r="BY19" s="93">
        <v>1.5115416978807021</v>
      </c>
      <c r="BZ19" s="93">
        <f t="shared" si="28"/>
        <v>0.48370501466605509</v>
      </c>
      <c r="CA19" s="93"/>
      <c r="CB19" s="39">
        <f t="shared" si="29"/>
        <v>2.3115008885774335</v>
      </c>
      <c r="CC19" s="93">
        <v>1.2498018824231734</v>
      </c>
      <c r="CD19" s="93">
        <v>-0.61465964280907215</v>
      </c>
      <c r="CE19" s="93">
        <v>0.32087094919664594</v>
      </c>
      <c r="CF19" s="93">
        <f t="shared" si="30"/>
        <v>-0.29378869361242621</v>
      </c>
      <c r="CH19" s="39">
        <f t="shared" si="31"/>
        <v>2.2668844506140928</v>
      </c>
      <c r="CI19" s="93">
        <v>4.2539717403366248</v>
      </c>
      <c r="CJ19" s="93">
        <v>-0.61145217832122922</v>
      </c>
      <c r="CK19" s="93">
        <v>1.0688859433031883</v>
      </c>
      <c r="CL19" s="93">
        <f t="shared" si="32"/>
        <v>0.45743376498195909</v>
      </c>
      <c r="CM19" s="106"/>
      <c r="CN19" s="39">
        <f t="shared" si="33"/>
        <v>2.6193775887513038</v>
      </c>
      <c r="CO19" s="93">
        <v>0.41272974712038374</v>
      </c>
      <c r="CP19" s="93">
        <v>0.19827513791565432</v>
      </c>
      <c r="CQ19" s="93">
        <v>0.12178480538086794</v>
      </c>
      <c r="CR19" s="93">
        <f t="shared" si="34"/>
        <v>0.32005994329652226</v>
      </c>
      <c r="CS19" s="90" t="str">
        <f t="shared" si="35"/>
        <v>Media</v>
      </c>
      <c r="CT19" s="39">
        <f t="shared" si="36"/>
        <v>2.2794409399427673</v>
      </c>
      <c r="CU19" s="11">
        <v>0.70111851338509235</v>
      </c>
      <c r="CV19" s="93">
        <v>1.3921909221522149E-2</v>
      </c>
      <c r="CW19" s="93">
        <v>0.17724621933714907</v>
      </c>
      <c r="CX19" s="93">
        <f t="shared" si="37"/>
        <v>0.19116812855867121</v>
      </c>
      <c r="CY19" s="93"/>
      <c r="CZ19" s="39">
        <f t="shared" si="38"/>
        <v>2.3539960057005649</v>
      </c>
      <c r="DA19" s="93">
        <v>0.11747827183979</v>
      </c>
      <c r="DB19" s="93">
        <v>-7.8182531686684584E-2</v>
      </c>
      <c r="DC19" s="93">
        <v>3.0775439976601052E-2</v>
      </c>
      <c r="DD19" s="93">
        <f t="shared" si="39"/>
        <v>-4.7407091710083532E-2</v>
      </c>
      <c r="DF19" s="39">
        <f t="shared" si="40"/>
        <v>2.2468339355165234</v>
      </c>
      <c r="DG19" s="93">
        <v>0.57251111478929684</v>
      </c>
      <c r="DH19" s="93">
        <v>3.8472494742064697E-2</v>
      </c>
      <c r="DI19" s="93">
        <v>0.14245031344618231</v>
      </c>
      <c r="DJ19" s="93">
        <f t="shared" si="41"/>
        <v>0.18092280818824702</v>
      </c>
      <c r="DK19" s="106"/>
      <c r="DL19" s="39">
        <f t="shared" si="42"/>
        <v>3.132129843378717</v>
      </c>
      <c r="DM19" s="93">
        <v>1.1129126756005558E-2</v>
      </c>
      <c r="DN19" s="93">
        <v>5.3631946166142037E-2</v>
      </c>
      <c r="DO19" s="93">
        <v>4.0204659143656838E-3</v>
      </c>
      <c r="DP19" s="93">
        <f t="shared" si="43"/>
        <v>5.7652412080507719E-2</v>
      </c>
    </row>
    <row r="20" spans="1:120" x14ac:dyDescent="0.2">
      <c r="A20" s="90" t="str">
        <f>name!B16</f>
        <v>Information technology</v>
      </c>
      <c r="B20" s="39">
        <f t="shared" si="1"/>
        <v>2.630000270050048</v>
      </c>
      <c r="C20" s="11">
        <v>34.601999999999876</v>
      </c>
      <c r="D20" s="93">
        <v>-3.8549999999999471</v>
      </c>
      <c r="E20" s="93">
        <v>10.256474686233423</v>
      </c>
      <c r="F20" s="93">
        <f t="shared" si="2"/>
        <v>6.4014746862334757</v>
      </c>
      <c r="G20" s="93"/>
      <c r="H20" s="39">
        <f t="shared" si="3"/>
        <v>2.4896239324975644</v>
      </c>
      <c r="I20" s="93">
        <v>6.3842523172142389</v>
      </c>
      <c r="J20" s="93">
        <v>-1.3027470433857931</v>
      </c>
      <c r="K20" s="93">
        <v>1.7798612708286927</v>
      </c>
      <c r="L20" s="93">
        <f t="shared" si="4"/>
        <v>0.47711422744289966</v>
      </c>
      <c r="N20" s="39">
        <f t="shared" si="5"/>
        <v>2.5461854565335118</v>
      </c>
      <c r="O20" s="93">
        <v>18.08880807286123</v>
      </c>
      <c r="P20" s="93">
        <v>-2.1012037936311048</v>
      </c>
      <c r="Q20" s="93">
        <v>5.1709423641740262</v>
      </c>
      <c r="R20" s="93">
        <f t="shared" si="6"/>
        <v>3.0697385705429214</v>
      </c>
      <c r="S20" s="106"/>
      <c r="T20" s="39">
        <f t="shared" si="7"/>
        <v>2.8646399549337564</v>
      </c>
      <c r="U20" s="93">
        <v>10.128939609924409</v>
      </c>
      <c r="V20" s="93">
        <v>-0.45104916298304948</v>
      </c>
      <c r="W20" s="93">
        <v>3.3056710512307044</v>
      </c>
      <c r="X20" s="93">
        <f t="shared" si="8"/>
        <v>2.8546218882476548</v>
      </c>
      <c r="Y20" s="90" t="str">
        <f t="shared" si="0"/>
        <v>Information technology</v>
      </c>
      <c r="Z20" s="39">
        <f t="shared" si="9"/>
        <v>2.8552821094793401</v>
      </c>
      <c r="AA20" s="11">
        <v>13.953182859548033</v>
      </c>
      <c r="AB20" s="93">
        <v>-1.67980428374619</v>
      </c>
      <c r="AC20" s="93">
        <v>4.5369181113981396</v>
      </c>
      <c r="AD20" s="93">
        <f t="shared" si="10"/>
        <v>2.8571138276519497</v>
      </c>
      <c r="AE20" s="93"/>
      <c r="AF20" s="39">
        <f t="shared" si="11"/>
        <v>2.798663449076022</v>
      </c>
      <c r="AG20" s="93">
        <v>1.2847958755225881</v>
      </c>
      <c r="AH20" s="93">
        <v>-0.12384047360641834</v>
      </c>
      <c r="AI20" s="93">
        <v>0.40840629030865233</v>
      </c>
      <c r="AJ20" s="93">
        <f t="shared" si="12"/>
        <v>0.28456581670223402</v>
      </c>
      <c r="AL20" s="39">
        <f t="shared" si="13"/>
        <v>2.7559320611477256</v>
      </c>
      <c r="AM20" s="93">
        <v>4.8268191334861674</v>
      </c>
      <c r="AN20" s="93">
        <v>-0.57107107367591969</v>
      </c>
      <c r="AO20" s="93">
        <v>1.5079392492593697</v>
      </c>
      <c r="AP20" s="93">
        <f t="shared" si="14"/>
        <v>0.93686817558345004</v>
      </c>
      <c r="AQ20" s="106"/>
      <c r="AR20" s="39">
        <f t="shared" si="15"/>
        <v>2.9252105333952505</v>
      </c>
      <c r="AS20" s="93">
        <v>7.8415678505392767</v>
      </c>
      <c r="AT20" s="93">
        <v>-0.98489273646385189</v>
      </c>
      <c r="AU20" s="93">
        <v>2.6205725718301167</v>
      </c>
      <c r="AV20" s="93">
        <f t="shared" si="16"/>
        <v>1.6356798353662647</v>
      </c>
      <c r="AW20" s="90" t="str">
        <f t="shared" si="17"/>
        <v>Information technology</v>
      </c>
      <c r="AX20" s="39">
        <f t="shared" si="18"/>
        <v>2.6748514920266198</v>
      </c>
      <c r="AY20" s="11">
        <v>4.2099312351777032</v>
      </c>
      <c r="AZ20" s="93">
        <v>-0.56161412539516631</v>
      </c>
      <c r="BA20" s="93">
        <v>1.2717759825285015</v>
      </c>
      <c r="BB20" s="93">
        <f t="shared" si="19"/>
        <v>0.71016185713333524</v>
      </c>
      <c r="BC20" s="93"/>
      <c r="BD20" s="39">
        <f t="shared" si="20"/>
        <v>2.5994582145060452</v>
      </c>
      <c r="BE20" s="93">
        <v>0.53565838194452042</v>
      </c>
      <c r="BF20" s="93">
        <v>-7.8618004194655866E-2</v>
      </c>
      <c r="BG20" s="93">
        <v>0.15671215650903289</v>
      </c>
      <c r="BH20" s="93">
        <f t="shared" si="21"/>
        <v>7.8094152314377024E-2</v>
      </c>
      <c r="BJ20" s="39">
        <f t="shared" si="22"/>
        <v>2.6483527756445246</v>
      </c>
      <c r="BK20" s="93">
        <v>2.2560634885597532</v>
      </c>
      <c r="BL20" s="93">
        <v>-0.30542322205299727</v>
      </c>
      <c r="BM20" s="93">
        <v>0.67396040804007895</v>
      </c>
      <c r="BN20" s="93">
        <f t="shared" si="23"/>
        <v>0.36853718598708168</v>
      </c>
      <c r="BO20" s="106"/>
      <c r="BP20" s="39">
        <f t="shared" si="24"/>
        <v>2.7451216362557762</v>
      </c>
      <c r="BQ20" s="93">
        <v>1.4182093646734297</v>
      </c>
      <c r="BR20" s="93">
        <v>-0.17757289914751315</v>
      </c>
      <c r="BS20" s="93">
        <v>0.44110341797938962</v>
      </c>
      <c r="BT20" s="93">
        <f t="shared" si="25"/>
        <v>0.2635305188318765</v>
      </c>
      <c r="BU20" s="90" t="str">
        <f t="shared" si="26"/>
        <v>Information technology</v>
      </c>
      <c r="BV20" s="39">
        <f t="shared" si="27"/>
        <v>2.4242377604531073</v>
      </c>
      <c r="BW20" s="11">
        <v>15.223628532016798</v>
      </c>
      <c r="BX20" s="93">
        <v>-1.9724996964398605</v>
      </c>
      <c r="BY20" s="93">
        <v>4.1203403348407761</v>
      </c>
      <c r="BZ20" s="93">
        <f t="shared" si="28"/>
        <v>2.1478406384009157</v>
      </c>
      <c r="CA20" s="93"/>
      <c r="CB20" s="39">
        <f t="shared" si="29"/>
        <v>2.4043230891266143</v>
      </c>
      <c r="CC20" s="93">
        <v>4.0549670831540263</v>
      </c>
      <c r="CD20" s="93">
        <v>-0.87521384736118646</v>
      </c>
      <c r="CE20" s="93">
        <v>1.0874848929554206</v>
      </c>
      <c r="CF20" s="93">
        <f t="shared" si="30"/>
        <v>0.21227104559423415</v>
      </c>
      <c r="CH20" s="39">
        <f t="shared" si="31"/>
        <v>2.4287404250380895</v>
      </c>
      <c r="CI20" s="93">
        <v>10.383652468950638</v>
      </c>
      <c r="CJ20" s="93">
        <v>-1.3016002996443403</v>
      </c>
      <c r="CK20" s="93">
        <v>2.8161814283025186</v>
      </c>
      <c r="CL20" s="93">
        <f t="shared" si="32"/>
        <v>1.5145811286581783</v>
      </c>
      <c r="CM20" s="106"/>
      <c r="CN20" s="39">
        <f t="shared" si="33"/>
        <v>2.4673648385086233</v>
      </c>
      <c r="CO20" s="93">
        <v>0.78500897991213381</v>
      </c>
      <c r="CP20" s="93">
        <v>0.20431445056566661</v>
      </c>
      <c r="CQ20" s="93">
        <v>0.21667401358283661</v>
      </c>
      <c r="CR20" s="93">
        <f t="shared" si="34"/>
        <v>0.42098846414850322</v>
      </c>
      <c r="CS20" s="90" t="str">
        <f t="shared" si="35"/>
        <v>Information technology</v>
      </c>
      <c r="CT20" s="39">
        <f t="shared" si="36"/>
        <v>2.4144541847002987</v>
      </c>
      <c r="CU20" s="11">
        <v>1.2152573732573435</v>
      </c>
      <c r="CV20" s="93">
        <v>0.35891810558126896</v>
      </c>
      <c r="CW20" s="93">
        <v>0.32744025746600702</v>
      </c>
      <c r="CX20" s="93">
        <f t="shared" si="37"/>
        <v>0.68635836304727604</v>
      </c>
      <c r="CY20" s="93"/>
      <c r="CZ20" s="39">
        <f t="shared" si="38"/>
        <v>2.2573250871402939</v>
      </c>
      <c r="DA20" s="93">
        <v>0.50883097659310417</v>
      </c>
      <c r="DB20" s="93">
        <v>-0.22507471822353237</v>
      </c>
      <c r="DC20" s="93">
        <v>0.12725793105558686</v>
      </c>
      <c r="DD20" s="93">
        <f t="shared" si="39"/>
        <v>-9.7816787167945507E-2</v>
      </c>
      <c r="DF20" s="39">
        <f t="shared" si="40"/>
        <v>2.4816129596337833</v>
      </c>
      <c r="DG20" s="93">
        <v>0.62227298186467062</v>
      </c>
      <c r="DH20" s="93">
        <v>7.6890801742152348E-2</v>
      </c>
      <c r="DI20" s="93">
        <v>0.1728612785720591</v>
      </c>
      <c r="DJ20" s="93">
        <f t="shared" si="41"/>
        <v>0.24975208031421145</v>
      </c>
      <c r="DK20" s="106"/>
      <c r="DL20" s="39">
        <f t="shared" si="42"/>
        <v>2.8514371248256065</v>
      </c>
      <c r="DM20" s="93">
        <v>8.4153414799568824E-2</v>
      </c>
      <c r="DN20" s="93">
        <v>0.50710202206264898</v>
      </c>
      <c r="DO20" s="93">
        <v>2.7321047838361107E-2</v>
      </c>
      <c r="DP20" s="93">
        <f t="shared" si="43"/>
        <v>0.53442306990101007</v>
      </c>
    </row>
    <row r="21" spans="1:120" x14ac:dyDescent="0.2">
      <c r="A21" s="90" t="str">
        <f>name!B17</f>
        <v>Finance and insurance</v>
      </c>
      <c r="B21" s="39">
        <f t="shared" si="1"/>
        <v>2.4812804219719098</v>
      </c>
      <c r="C21" s="11">
        <v>33.322999999999901</v>
      </c>
      <c r="D21" s="93">
        <v>-3.4569999999999741</v>
      </c>
      <c r="E21" s="93">
        <v>9.2554181233713848</v>
      </c>
      <c r="F21" s="93">
        <f t="shared" si="2"/>
        <v>5.7984181233714107</v>
      </c>
      <c r="G21" s="93"/>
      <c r="H21" s="39">
        <f t="shared" si="3"/>
        <v>2.3436986854765918</v>
      </c>
      <c r="I21" s="93">
        <v>7.7779668974735596</v>
      </c>
      <c r="J21" s="93">
        <v>-2.1913610207501648</v>
      </c>
      <c r="K21" s="93">
        <v>2.0277008362964004</v>
      </c>
      <c r="L21" s="93">
        <f t="shared" si="4"/>
        <v>-0.1636601844537644</v>
      </c>
      <c r="N21" s="39">
        <f t="shared" si="5"/>
        <v>2.3961637037624106</v>
      </c>
      <c r="O21" s="93">
        <v>18.946833896500934</v>
      </c>
      <c r="P21" s="93">
        <v>-1.9125527829377933</v>
      </c>
      <c r="Q21" s="93">
        <v>5.0621349318084921</v>
      </c>
      <c r="R21" s="93">
        <f t="shared" si="6"/>
        <v>3.1495821488706985</v>
      </c>
      <c r="S21" s="106"/>
      <c r="T21" s="39">
        <f t="shared" si="7"/>
        <v>2.878971077935244</v>
      </c>
      <c r="U21" s="93">
        <v>6.5981992060254084</v>
      </c>
      <c r="V21" s="93">
        <v>0.64691380368798412</v>
      </c>
      <c r="W21" s="93">
        <v>2.1655823552664915</v>
      </c>
      <c r="X21" s="93">
        <f t="shared" si="8"/>
        <v>2.8124961589544757</v>
      </c>
      <c r="Y21" s="90" t="str">
        <f t="shared" si="0"/>
        <v>Finance and insurance</v>
      </c>
      <c r="Z21" s="39">
        <f t="shared" si="9"/>
        <v>2.798959749955654</v>
      </c>
      <c r="AA21" s="11">
        <v>12.270868694716109</v>
      </c>
      <c r="AB21" s="93">
        <v>2.9764862885854111</v>
      </c>
      <c r="AC21" s="93">
        <v>3.9010857145843958</v>
      </c>
      <c r="AD21" s="93">
        <f t="shared" si="10"/>
        <v>6.8775720031698064</v>
      </c>
      <c r="AE21" s="93"/>
      <c r="AF21" s="39">
        <f t="shared" si="11"/>
        <v>2.7178804906447418</v>
      </c>
      <c r="AG21" s="93">
        <v>1.4082979674661906</v>
      </c>
      <c r="AH21" s="93">
        <v>5.2896058974020416E-2</v>
      </c>
      <c r="AI21" s="93">
        <v>0.43313132387053488</v>
      </c>
      <c r="AJ21" s="93">
        <f t="shared" si="12"/>
        <v>0.48602738284455527</v>
      </c>
      <c r="AL21" s="39">
        <f t="shared" si="13"/>
        <v>2.6905674486324749</v>
      </c>
      <c r="AM21" s="93">
        <v>5.7129298402976092</v>
      </c>
      <c r="AN21" s="93">
        <v>2.2476050941027323</v>
      </c>
      <c r="AO21" s="93">
        <v>1.737210049999393</v>
      </c>
      <c r="AP21" s="93">
        <f t="shared" si="14"/>
        <v>3.9848151441021251</v>
      </c>
      <c r="AQ21" s="106"/>
      <c r="AR21" s="39">
        <f t="shared" si="15"/>
        <v>2.939861842779945</v>
      </c>
      <c r="AS21" s="93">
        <v>5.1496408869523096</v>
      </c>
      <c r="AT21" s="93">
        <v>0.67598513550865802</v>
      </c>
      <c r="AU21" s="93">
        <v>1.7307443407144678</v>
      </c>
      <c r="AV21" s="93">
        <f t="shared" si="16"/>
        <v>2.4067294762231257</v>
      </c>
      <c r="AW21" s="90" t="str">
        <f t="shared" si="17"/>
        <v>Finance and insurance</v>
      </c>
      <c r="AX21" s="39">
        <f t="shared" si="18"/>
        <v>2.6672196716569507</v>
      </c>
      <c r="AY21" s="11">
        <v>3.1291828896233556</v>
      </c>
      <c r="AZ21" s="93">
        <v>4.7662543576286416E-2</v>
      </c>
      <c r="BA21" s="93">
        <v>0.94226572050611046</v>
      </c>
      <c r="BB21" s="93">
        <f t="shared" si="19"/>
        <v>0.98992826408239687</v>
      </c>
      <c r="BC21" s="93"/>
      <c r="BD21" s="39">
        <f t="shared" si="20"/>
        <v>2.6037899995889902</v>
      </c>
      <c r="BE21" s="93">
        <v>0.61592438154919227</v>
      </c>
      <c r="BF21" s="93">
        <v>-3.7382232284277769E-2</v>
      </c>
      <c r="BG21" s="93">
        <v>0.18053095656887813</v>
      </c>
      <c r="BH21" s="93">
        <f t="shared" si="21"/>
        <v>0.14314872428460035</v>
      </c>
      <c r="BJ21" s="39">
        <f t="shared" si="22"/>
        <v>2.6401755891724665</v>
      </c>
      <c r="BK21" s="93">
        <v>1.812577752323878</v>
      </c>
      <c r="BL21" s="93">
        <v>-1.6849737964863366E-2</v>
      </c>
      <c r="BM21" s="93">
        <v>0.53960200635034938</v>
      </c>
      <c r="BN21" s="93">
        <f t="shared" si="23"/>
        <v>0.52275226838548605</v>
      </c>
      <c r="BO21" s="106"/>
      <c r="BP21" s="39">
        <f t="shared" si="24"/>
        <v>2.7920140765933743</v>
      </c>
      <c r="BQ21" s="93">
        <v>0.70068075575028521</v>
      </c>
      <c r="BR21" s="93">
        <v>0.10189451382542755</v>
      </c>
      <c r="BS21" s="93">
        <v>0.22213275758688292</v>
      </c>
      <c r="BT21" s="93">
        <f t="shared" si="25"/>
        <v>0.32402727141231047</v>
      </c>
      <c r="BU21" s="90" t="str">
        <f t="shared" si="26"/>
        <v>Finance and insurance</v>
      </c>
      <c r="BV21" s="39">
        <f t="shared" si="27"/>
        <v>2.2225807612637372</v>
      </c>
      <c r="BW21" s="11">
        <v>17.010496310706994</v>
      </c>
      <c r="BX21" s="93">
        <v>-6.2268929517639569</v>
      </c>
      <c r="BY21" s="93">
        <v>4.1821600833902677</v>
      </c>
      <c r="BZ21" s="93">
        <f t="shared" si="28"/>
        <v>-2.0447328683736892</v>
      </c>
      <c r="CA21" s="93"/>
      <c r="CB21" s="39">
        <f t="shared" si="29"/>
        <v>2.2178133748506523</v>
      </c>
      <c r="CC21" s="93">
        <v>5.361386794682045</v>
      </c>
      <c r="CD21" s="93">
        <v>-2.3999699747148724</v>
      </c>
      <c r="CE21" s="93">
        <v>1.3150232829970165</v>
      </c>
      <c r="CF21" s="93">
        <f t="shared" si="30"/>
        <v>-1.0849466917178558</v>
      </c>
      <c r="CH21" s="39">
        <f t="shared" si="31"/>
        <v>2.2046166739490669</v>
      </c>
      <c r="CI21" s="93">
        <v>10.966559197882978</v>
      </c>
      <c r="CJ21" s="93">
        <v>-3.7501749723874718</v>
      </c>
      <c r="CK21" s="93">
        <v>2.6722208134635381</v>
      </c>
      <c r="CL21" s="93">
        <f t="shared" si="32"/>
        <v>-1.0779541589239336</v>
      </c>
      <c r="CM21" s="106"/>
      <c r="CN21" s="39">
        <f t="shared" si="33"/>
        <v>2.5438402112385017</v>
      </c>
      <c r="CO21" s="93">
        <v>0.68255031814196876</v>
      </c>
      <c r="CP21" s="93">
        <v>-7.6748004661612662E-2</v>
      </c>
      <c r="CQ21" s="93">
        <v>0.19491598692971274</v>
      </c>
      <c r="CR21" s="93">
        <f t="shared" si="34"/>
        <v>0.11816798226810007</v>
      </c>
      <c r="CS21" s="90" t="str">
        <f t="shared" si="35"/>
        <v>Finance and insurance</v>
      </c>
      <c r="CT21" s="39">
        <f t="shared" si="36"/>
        <v>2.2725870846393104</v>
      </c>
      <c r="CU21" s="11">
        <v>0.91245210495344775</v>
      </c>
      <c r="CV21" s="93">
        <v>-0.25425588039771407</v>
      </c>
      <c r="CW21" s="93">
        <v>0.22990660489061099</v>
      </c>
      <c r="CX21" s="93">
        <f t="shared" si="37"/>
        <v>-2.4349275507103085E-2</v>
      </c>
      <c r="CY21" s="93"/>
      <c r="CZ21" s="39">
        <f t="shared" si="38"/>
        <v>2.2758052007650242</v>
      </c>
      <c r="DA21" s="93">
        <v>0.3923577537761323</v>
      </c>
      <c r="DB21" s="93">
        <v>0.19309512727496547</v>
      </c>
      <c r="DC21" s="93">
        <v>9.9015272859970554E-2</v>
      </c>
      <c r="DD21" s="93">
        <f t="shared" si="39"/>
        <v>0.29211040013493605</v>
      </c>
      <c r="DF21" s="39">
        <f t="shared" si="40"/>
        <v>2.2459052950809522</v>
      </c>
      <c r="DG21" s="93">
        <v>0.4547671059964703</v>
      </c>
      <c r="DH21" s="93">
        <v>-0.3931331666881907</v>
      </c>
      <c r="DI21" s="93">
        <v>0.11310206199521274</v>
      </c>
      <c r="DJ21" s="93">
        <f t="shared" si="41"/>
        <v>-0.28003110469297798</v>
      </c>
      <c r="DK21" s="106"/>
      <c r="DL21" s="39">
        <f t="shared" si="42"/>
        <v>2.4375771949586511</v>
      </c>
      <c r="DM21" s="93">
        <v>6.5327245180845164E-2</v>
      </c>
      <c r="DN21" s="93">
        <v>-5.4217840984488806E-2</v>
      </c>
      <c r="DO21" s="93">
        <v>1.7789270035427705E-2</v>
      </c>
      <c r="DP21" s="93">
        <f t="shared" si="43"/>
        <v>-3.6428570949061101E-2</v>
      </c>
    </row>
    <row r="22" spans="1:120" x14ac:dyDescent="0.2">
      <c r="A22" s="90" t="str">
        <f>name!B18</f>
        <v>Real estate</v>
      </c>
      <c r="B22" s="39">
        <f t="shared" si="1"/>
        <v>2.6116897758494684</v>
      </c>
      <c r="C22" s="11">
        <v>6.1683349428474763</v>
      </c>
      <c r="D22" s="93">
        <v>0.196627540592925</v>
      </c>
      <c r="E22" s="93">
        <v>1.8141175570326864</v>
      </c>
      <c r="F22" s="93">
        <f t="shared" si="2"/>
        <v>2.0107450976256116</v>
      </c>
      <c r="G22" s="93"/>
      <c r="H22" s="39">
        <f t="shared" si="3"/>
        <v>2.514226030268718</v>
      </c>
      <c r="I22" s="93">
        <v>1.4414399971181822</v>
      </c>
      <c r="J22" s="93">
        <v>-0.35250015246161959</v>
      </c>
      <c r="K22" s="93">
        <v>0.40628757914793828</v>
      </c>
      <c r="L22" s="93">
        <f t="shared" si="4"/>
        <v>5.3787426686318696E-2</v>
      </c>
      <c r="N22" s="39">
        <f t="shared" si="5"/>
        <v>2.6214470082087438</v>
      </c>
      <c r="O22" s="93">
        <v>2.3753843717507803</v>
      </c>
      <c r="P22" s="93">
        <v>0.12579529520222252</v>
      </c>
      <c r="Q22" s="93">
        <v>0.701528764239294</v>
      </c>
      <c r="R22" s="93">
        <f t="shared" si="6"/>
        <v>0.82732405944151655</v>
      </c>
      <c r="S22" s="106"/>
      <c r="T22" s="39">
        <f t="shared" si="7"/>
        <v>2.6612106513108635</v>
      </c>
      <c r="U22" s="93">
        <v>2.3515105739785147</v>
      </c>
      <c r="V22" s="93">
        <v>0.42333239785232213</v>
      </c>
      <c r="W22" s="93">
        <v>0.70630121364545417</v>
      </c>
      <c r="X22" s="93">
        <f t="shared" si="8"/>
        <v>1.1296336114977763</v>
      </c>
      <c r="Y22" s="90" t="str">
        <f t="shared" si="0"/>
        <v>Real estate</v>
      </c>
      <c r="Z22" s="39">
        <f t="shared" si="9"/>
        <v>2.7183631629002836</v>
      </c>
      <c r="AA22" s="11">
        <v>3.1732901245624543</v>
      </c>
      <c r="AB22" s="93">
        <v>0.6841817025054634</v>
      </c>
      <c r="AC22" s="93">
        <v>0.97616127527036756</v>
      </c>
      <c r="AD22" s="93">
        <f t="shared" si="10"/>
        <v>1.660342977775831</v>
      </c>
      <c r="AE22" s="93"/>
      <c r="AF22" s="39">
        <f t="shared" si="11"/>
        <v>2.6131607505413434</v>
      </c>
      <c r="AG22" s="93">
        <v>0.19250680994422617</v>
      </c>
      <c r="AH22" s="93">
        <v>0.16401414967811412</v>
      </c>
      <c r="AI22" s="93">
        <v>5.6652287723932618E-2</v>
      </c>
      <c r="AJ22" s="93">
        <f t="shared" si="12"/>
        <v>0.22066643740204672</v>
      </c>
      <c r="AL22" s="39">
        <f t="shared" si="13"/>
        <v>2.8445633977957741</v>
      </c>
      <c r="AM22" s="93">
        <v>0.85860730100895899</v>
      </c>
      <c r="AN22" s="93">
        <v>4.2190547756578954E-2</v>
      </c>
      <c r="AO22" s="93">
        <v>0.27799351979985232</v>
      </c>
      <c r="AP22" s="93">
        <f t="shared" si="14"/>
        <v>0.32018406755643125</v>
      </c>
      <c r="AQ22" s="106"/>
      <c r="AR22" s="39">
        <f t="shared" si="15"/>
        <v>2.6764431790775811</v>
      </c>
      <c r="AS22" s="93">
        <v>2.1221760136092689</v>
      </c>
      <c r="AT22" s="93">
        <v>0.47797700507077023</v>
      </c>
      <c r="AU22" s="93">
        <v>0.64151546774658263</v>
      </c>
      <c r="AV22" s="93">
        <f t="shared" si="16"/>
        <v>1.119492472817353</v>
      </c>
      <c r="AW22" s="90" t="str">
        <f t="shared" si="17"/>
        <v>Real estate</v>
      </c>
      <c r="AX22" s="39">
        <f t="shared" si="18"/>
        <v>2.6817205379647824</v>
      </c>
      <c r="AY22" s="11">
        <v>0.48397528340046003</v>
      </c>
      <c r="AZ22" s="93">
        <v>-0.12994053725972496</v>
      </c>
      <c r="BA22" s="93">
        <v>0.14662556967400292</v>
      </c>
      <c r="BB22" s="93">
        <f t="shared" si="19"/>
        <v>1.6685032414277962E-2</v>
      </c>
      <c r="BC22" s="93"/>
      <c r="BD22" s="39">
        <f t="shared" si="20"/>
        <v>2.6291172026759568</v>
      </c>
      <c r="BE22" s="93">
        <v>9.4966037850212306E-2</v>
      </c>
      <c r="BF22" s="93">
        <v>-2.1192060628218386E-2</v>
      </c>
      <c r="BG22" s="93">
        <v>2.8138553500052236E-2</v>
      </c>
      <c r="BH22" s="93">
        <f t="shared" si="21"/>
        <v>6.9464928718338502E-3</v>
      </c>
      <c r="BJ22" s="39">
        <f t="shared" si="22"/>
        <v>2.6564659717416284</v>
      </c>
      <c r="BK22" s="93">
        <v>0.28934641044130943</v>
      </c>
      <c r="BL22" s="93">
        <v>-6.9725317303981571E-2</v>
      </c>
      <c r="BM22" s="93">
        <v>8.6734415154016753E-2</v>
      </c>
      <c r="BN22" s="93">
        <f t="shared" si="23"/>
        <v>1.7009097850035182E-2</v>
      </c>
      <c r="BO22" s="106"/>
      <c r="BP22" s="39">
        <f t="shared" si="24"/>
        <v>2.8043080569318812</v>
      </c>
      <c r="BQ22" s="93">
        <v>9.9662835108938322E-2</v>
      </c>
      <c r="BR22" s="93">
        <v>-3.9023159327524995E-2</v>
      </c>
      <c r="BS22" s="93">
        <v>3.1752601019933914E-2</v>
      </c>
      <c r="BT22" s="93">
        <f t="shared" si="25"/>
        <v>-7.270558307591081E-3</v>
      </c>
      <c r="BU22" s="90" t="str">
        <f t="shared" si="26"/>
        <v>Real estate</v>
      </c>
      <c r="BV22" s="39">
        <f t="shared" si="27"/>
        <v>2.4416221739186561</v>
      </c>
      <c r="BW22" s="11">
        <v>2.2997640416194169</v>
      </c>
      <c r="BX22" s="93">
        <v>-0.8033658212946152</v>
      </c>
      <c r="BY22" s="93">
        <v>0.6274046319250105</v>
      </c>
      <c r="BZ22" s="93">
        <f t="shared" si="28"/>
        <v>-0.1759611893696047</v>
      </c>
      <c r="CA22" s="93"/>
      <c r="CB22" s="39">
        <f t="shared" si="29"/>
        <v>2.4552545911513901</v>
      </c>
      <c r="CC22" s="93">
        <v>1.0388676866360598</v>
      </c>
      <c r="CD22" s="93">
        <v>-0.38022277882383149</v>
      </c>
      <c r="CE22" s="93">
        <v>0.285176888828165</v>
      </c>
      <c r="CF22" s="93">
        <f t="shared" si="30"/>
        <v>-9.5045889995666488E-2</v>
      </c>
      <c r="CH22" s="39">
        <f t="shared" si="31"/>
        <v>2.4368885305120269</v>
      </c>
      <c r="CI22" s="93">
        <v>1.1528693059881228</v>
      </c>
      <c r="CJ22" s="93">
        <v>-0.40179371550567344</v>
      </c>
      <c r="CK22" s="93">
        <v>0.31383937301156528</v>
      </c>
      <c r="CL22" s="93">
        <f t="shared" si="32"/>
        <v>-8.7954342494108162E-2</v>
      </c>
      <c r="CM22" s="106"/>
      <c r="CN22" s="39">
        <f t="shared" si="33"/>
        <v>2.3606641104796822</v>
      </c>
      <c r="CO22" s="93">
        <v>0.10802704899523392</v>
      </c>
      <c r="CP22" s="93">
        <v>-2.134932696511032E-2</v>
      </c>
      <c r="CQ22" s="93">
        <v>2.8388370085280102E-2</v>
      </c>
      <c r="CR22" s="93">
        <f t="shared" si="34"/>
        <v>7.0390431201697821E-3</v>
      </c>
      <c r="CS22" s="90" t="str">
        <f t="shared" si="35"/>
        <v>Real estate</v>
      </c>
      <c r="CT22" s="39">
        <f t="shared" si="36"/>
        <v>2.6783181831917302</v>
      </c>
      <c r="CU22" s="11">
        <v>0.21130549326514642</v>
      </c>
      <c r="CV22" s="93">
        <v>0.44575219664180188</v>
      </c>
      <c r="CW22" s="93">
        <v>6.3926080163305615E-2</v>
      </c>
      <c r="CX22" s="93">
        <f t="shared" si="37"/>
        <v>0.50967827680510747</v>
      </c>
      <c r="CY22" s="93"/>
      <c r="CZ22" s="39">
        <f t="shared" si="38"/>
        <v>2.7805168236047173</v>
      </c>
      <c r="DA22" s="93">
        <v>0.11509946268768383</v>
      </c>
      <c r="DB22" s="93">
        <v>-0.11509946268768383</v>
      </c>
      <c r="DC22" s="93">
        <v>3.6319849095788476E-2</v>
      </c>
      <c r="DD22" s="93">
        <f t="shared" si="39"/>
        <v>-7.8779613591895351E-2</v>
      </c>
      <c r="DF22" s="39">
        <f t="shared" si="40"/>
        <v>2.7210008218849335</v>
      </c>
      <c r="DG22" s="93">
        <v>7.4561354312388889E-2</v>
      </c>
      <c r="DH22" s="93">
        <v>0.55512378025529863</v>
      </c>
      <c r="DI22" s="93">
        <v>2.2961456273859673E-2</v>
      </c>
      <c r="DJ22" s="93">
        <f t="shared" si="41"/>
        <v>0.57808523652915833</v>
      </c>
      <c r="DK22" s="106"/>
      <c r="DL22" s="39">
        <f t="shared" si="42"/>
        <v>1.9631026785993377</v>
      </c>
      <c r="DM22" s="93">
        <v>2.1644676265073697E-2</v>
      </c>
      <c r="DN22" s="93">
        <v>5.7278790741871642E-3</v>
      </c>
      <c r="DO22" s="93">
        <v>4.64477479365746E-3</v>
      </c>
      <c r="DP22" s="93">
        <f t="shared" si="43"/>
        <v>1.0372653867844625E-2</v>
      </c>
    </row>
    <row r="23" spans="1:120" x14ac:dyDescent="0.2">
      <c r="A23" s="90" t="str">
        <f>name!B19</f>
        <v>Professional services</v>
      </c>
      <c r="B23" s="39">
        <f t="shared" si="1"/>
        <v>2.6743157766083714</v>
      </c>
      <c r="C23" s="11">
        <v>38.965266386568921</v>
      </c>
      <c r="D23" s="93">
        <v>11.458986137276469</v>
      </c>
      <c r="E23" s="93">
        <v>11.768350327197798</v>
      </c>
      <c r="F23" s="93">
        <f t="shared" si="2"/>
        <v>23.227336464474266</v>
      </c>
      <c r="G23" s="93"/>
      <c r="H23" s="39">
        <f t="shared" si="3"/>
        <v>2.5161455631662166</v>
      </c>
      <c r="I23" s="93">
        <v>10.746753519096059</v>
      </c>
      <c r="J23" s="93">
        <v>0.60470899426028668</v>
      </c>
      <c r="K23" s="93">
        <v>3.0316842468873038</v>
      </c>
      <c r="L23" s="93">
        <f t="shared" si="4"/>
        <v>3.6363932411475903</v>
      </c>
      <c r="N23" s="39">
        <f t="shared" si="5"/>
        <v>2.6382849635641303</v>
      </c>
      <c r="O23" s="93">
        <v>19.377813500619759</v>
      </c>
      <c r="P23" s="93">
        <v>6.3961252707032488</v>
      </c>
      <c r="Q23" s="93">
        <v>5.7641179254827515</v>
      </c>
      <c r="R23" s="93">
        <f t="shared" si="6"/>
        <v>12.160243196186</v>
      </c>
      <c r="S23" s="106"/>
      <c r="T23" s="39">
        <f t="shared" si="7"/>
        <v>2.9409728215002984</v>
      </c>
      <c r="U23" s="93">
        <v>8.8406993668531033</v>
      </c>
      <c r="V23" s="93">
        <v>4.4581518723129312</v>
      </c>
      <c r="W23" s="93">
        <v>2.972548154827741</v>
      </c>
      <c r="X23" s="93">
        <f t="shared" si="8"/>
        <v>7.4307000271406718</v>
      </c>
      <c r="Y23" s="90" t="str">
        <f t="shared" si="0"/>
        <v>Professional services</v>
      </c>
      <c r="Z23" s="39">
        <f t="shared" si="9"/>
        <v>3.0111146972381153</v>
      </c>
      <c r="AA23" s="11">
        <v>12.983727410431358</v>
      </c>
      <c r="AB23" s="93">
        <v>7.3161535468635082</v>
      </c>
      <c r="AC23" s="93">
        <v>4.4841548751658866</v>
      </c>
      <c r="AD23" s="93">
        <f t="shared" si="10"/>
        <v>11.800308422029396</v>
      </c>
      <c r="AE23" s="93"/>
      <c r="AF23" s="39">
        <f t="shared" si="11"/>
        <v>2.8731628500449968</v>
      </c>
      <c r="AG23" s="93">
        <v>1.9378479390650463</v>
      </c>
      <c r="AH23" s="93">
        <v>1.549926671508655</v>
      </c>
      <c r="AI23" s="93">
        <v>0.63456461426776711</v>
      </c>
      <c r="AJ23" s="93">
        <f t="shared" si="12"/>
        <v>2.184491285776422</v>
      </c>
      <c r="AL23" s="39">
        <f t="shared" si="13"/>
        <v>3.0369546647093459</v>
      </c>
      <c r="AM23" s="93">
        <v>4.9791010176174728</v>
      </c>
      <c r="AN23" s="93">
        <v>2.6541784276946645</v>
      </c>
      <c r="AO23" s="93">
        <v>1.7364411510950009</v>
      </c>
      <c r="AP23" s="93">
        <f t="shared" si="14"/>
        <v>4.3906195787896651</v>
      </c>
      <c r="AQ23" s="106"/>
      <c r="AR23" s="39">
        <f t="shared" si="15"/>
        <v>3.0336611731275553</v>
      </c>
      <c r="AS23" s="93">
        <v>6.0667784537488378</v>
      </c>
      <c r="AT23" s="93">
        <v>3.1120484476601886</v>
      </c>
      <c r="AU23" s="93">
        <v>2.113149109803119</v>
      </c>
      <c r="AV23" s="93">
        <f t="shared" si="16"/>
        <v>5.2251975574633072</v>
      </c>
      <c r="AW23" s="90" t="str">
        <f t="shared" si="17"/>
        <v>Professional services</v>
      </c>
      <c r="AX23" s="39">
        <f t="shared" si="18"/>
        <v>2.6662390167296435</v>
      </c>
      <c r="AY23" s="11">
        <v>4.377709221482184</v>
      </c>
      <c r="AZ23" s="93">
        <v>0.80308463988107726</v>
      </c>
      <c r="BA23" s="93">
        <v>1.3176803910698349</v>
      </c>
      <c r="BB23" s="93">
        <f t="shared" si="19"/>
        <v>2.1207650309509121</v>
      </c>
      <c r="BC23" s="93"/>
      <c r="BD23" s="39">
        <f t="shared" si="20"/>
        <v>2.5700639379084178</v>
      </c>
      <c r="BE23" s="93">
        <v>0.73699369082515398</v>
      </c>
      <c r="BF23" s="93">
        <v>8.1502387714943961E-2</v>
      </c>
      <c r="BG23" s="93">
        <v>0.21288912804948243</v>
      </c>
      <c r="BH23" s="93">
        <f t="shared" si="21"/>
        <v>0.2943915157644264</v>
      </c>
      <c r="BJ23" s="39">
        <f t="shared" si="22"/>
        <v>2.6279165568233287</v>
      </c>
      <c r="BK23" s="93">
        <v>2.307013712695364</v>
      </c>
      <c r="BL23" s="93">
        <v>0.55219489458428639</v>
      </c>
      <c r="BM23" s="93">
        <v>0.6832211463125315</v>
      </c>
      <c r="BN23" s="93">
        <f t="shared" si="23"/>
        <v>1.2354160408968178</v>
      </c>
      <c r="BO23" s="106"/>
      <c r="BP23" s="39">
        <f t="shared" si="24"/>
        <v>2.784722232207959</v>
      </c>
      <c r="BQ23" s="93">
        <v>1.3337018179616666</v>
      </c>
      <c r="BR23" s="93">
        <v>0.16938735758184675</v>
      </c>
      <c r="BS23" s="93">
        <v>0.42157011670782107</v>
      </c>
      <c r="BT23" s="93">
        <f t="shared" si="25"/>
        <v>0.59095747428966783</v>
      </c>
      <c r="BU23" s="90" t="str">
        <f t="shared" si="26"/>
        <v>Professional services</v>
      </c>
      <c r="BV23" s="39">
        <f t="shared" si="27"/>
        <v>2.4703617034511627</v>
      </c>
      <c r="BW23" s="11">
        <v>20.365934087380882</v>
      </c>
      <c r="BX23" s="93">
        <v>2.1048678580900813</v>
      </c>
      <c r="BY23" s="93">
        <v>5.6288985612392128</v>
      </c>
      <c r="BZ23" s="93">
        <f t="shared" si="28"/>
        <v>7.7337664193292941</v>
      </c>
      <c r="CA23" s="93"/>
      <c r="CB23" s="39">
        <f t="shared" si="29"/>
        <v>2.4286762007679874</v>
      </c>
      <c r="CC23" s="93">
        <v>7.4477312798356223</v>
      </c>
      <c r="CD23" s="93">
        <v>-0.68225133953011141</v>
      </c>
      <c r="CE23" s="93">
        <v>2.0198621022347334</v>
      </c>
      <c r="CF23" s="93">
        <f t="shared" si="30"/>
        <v>1.3376107627046219</v>
      </c>
      <c r="CH23" s="39">
        <f t="shared" si="31"/>
        <v>2.4720591117074919</v>
      </c>
      <c r="CI23" s="93">
        <v>11.586627461599615</v>
      </c>
      <c r="CJ23" s="93">
        <v>1.943280535192967</v>
      </c>
      <c r="CK23" s="93">
        <v>3.2048540580010663</v>
      </c>
      <c r="CL23" s="93">
        <f t="shared" si="32"/>
        <v>5.1481345931940332</v>
      </c>
      <c r="CM23" s="106"/>
      <c r="CN23" s="39">
        <f t="shared" si="33"/>
        <v>2.6862600536722958</v>
      </c>
      <c r="CO23" s="93">
        <v>1.3315753459456456</v>
      </c>
      <c r="CP23" s="93">
        <v>0.84383866242722605</v>
      </c>
      <c r="CQ23" s="93">
        <v>0.40418240100341252</v>
      </c>
      <c r="CR23" s="93">
        <f t="shared" si="34"/>
        <v>1.2480210634306386</v>
      </c>
      <c r="CS23" s="90" t="str">
        <f t="shared" si="35"/>
        <v>Professional services</v>
      </c>
      <c r="CT23" s="39">
        <f t="shared" si="36"/>
        <v>2.4409911721383182</v>
      </c>
      <c r="CU23" s="11">
        <v>1.2378956672744925</v>
      </c>
      <c r="CV23" s="93">
        <v>1.2348800924418006</v>
      </c>
      <c r="CW23" s="93">
        <v>0.33761649972286273</v>
      </c>
      <c r="CX23" s="93">
        <f t="shared" si="37"/>
        <v>1.5724965921646634</v>
      </c>
      <c r="CY23" s="93"/>
      <c r="CZ23" s="39">
        <f t="shared" si="38"/>
        <v>2.365082760893733</v>
      </c>
      <c r="DA23" s="93">
        <v>0.62418060937023667</v>
      </c>
      <c r="DB23" s="93">
        <v>-0.34446872543320101</v>
      </c>
      <c r="DC23" s="93">
        <v>0.16436840233532063</v>
      </c>
      <c r="DD23" s="93">
        <f t="shared" si="39"/>
        <v>-0.18010032309788038</v>
      </c>
      <c r="DF23" s="39">
        <f t="shared" si="40"/>
        <v>2.4704563056764162</v>
      </c>
      <c r="DG23" s="93">
        <v>0.50507130870730466</v>
      </c>
      <c r="DH23" s="93">
        <v>1.2464714132313313</v>
      </c>
      <c r="DI23" s="93">
        <v>0.13960157007415316</v>
      </c>
      <c r="DJ23" s="93">
        <f t="shared" si="41"/>
        <v>1.3860729833054843</v>
      </c>
      <c r="DK23" s="106"/>
      <c r="DL23" s="39">
        <f t="shared" si="42"/>
        <v>2.7346741769566751</v>
      </c>
      <c r="DM23" s="93">
        <v>0.10864374919695106</v>
      </c>
      <c r="DN23" s="93">
        <v>0.33287740464367022</v>
      </c>
      <c r="DO23" s="93">
        <v>3.3646527313388873E-2</v>
      </c>
      <c r="DP23" s="93">
        <f t="shared" si="43"/>
        <v>0.36652393195705907</v>
      </c>
    </row>
    <row r="24" spans="1:120" x14ac:dyDescent="0.2">
      <c r="A24" s="90" t="str">
        <f>name!B20</f>
        <v>Support services</v>
      </c>
      <c r="B24" s="39">
        <f t="shared" si="1"/>
        <v>2.784566936730104</v>
      </c>
      <c r="C24" s="11">
        <v>18.720999999999954</v>
      </c>
      <c r="D24" s="93">
        <v>-3.057999999999971</v>
      </c>
      <c r="E24" s="93">
        <v>5.9171529721011353</v>
      </c>
      <c r="F24" s="93">
        <f t="shared" si="2"/>
        <v>2.8591529721011644</v>
      </c>
      <c r="G24" s="93"/>
      <c r="H24" s="39">
        <f t="shared" si="3"/>
        <v>2.6966927781337358</v>
      </c>
      <c r="I24" s="93">
        <v>1.8191700717908714</v>
      </c>
      <c r="J24" s="93">
        <v>6.4644504245958259E-2</v>
      </c>
      <c r="K24" s="93">
        <v>0.55459579978511464</v>
      </c>
      <c r="L24" s="93">
        <f t="shared" si="4"/>
        <v>0.61924030403107289</v>
      </c>
      <c r="N24" s="39">
        <f t="shared" si="5"/>
        <v>2.6438542588397285</v>
      </c>
      <c r="O24" s="93">
        <v>7.3253420053436527</v>
      </c>
      <c r="P24" s="93">
        <v>-2.4007825753231029</v>
      </c>
      <c r="Q24" s="93">
        <v>2.1841522273672624</v>
      </c>
      <c r="R24" s="93">
        <f t="shared" si="6"/>
        <v>-0.21663034795584046</v>
      </c>
      <c r="S24" s="106"/>
      <c r="T24" s="39">
        <f t="shared" si="7"/>
        <v>2.9075064601009837</v>
      </c>
      <c r="U24" s="93">
        <v>9.5764879228654252</v>
      </c>
      <c r="V24" s="93">
        <v>-0.72186192892282663</v>
      </c>
      <c r="W24" s="93">
        <v>3.1784049449487575</v>
      </c>
      <c r="X24" s="93">
        <f t="shared" si="8"/>
        <v>2.4565430160259307</v>
      </c>
      <c r="Y24" s="90" t="str">
        <f t="shared" si="0"/>
        <v>Support services</v>
      </c>
      <c r="Z24" s="39">
        <f t="shared" si="9"/>
        <v>2.8851376822058405</v>
      </c>
      <c r="AA24" s="11">
        <v>10.861879630593116</v>
      </c>
      <c r="AB24" s="93">
        <v>-1.2989925832272919</v>
      </c>
      <c r="AC24" s="93">
        <v>3.5736065944117534</v>
      </c>
      <c r="AD24" s="93">
        <f t="shared" si="10"/>
        <v>2.2746140111844615</v>
      </c>
      <c r="AE24" s="93"/>
      <c r="AF24" s="39">
        <f t="shared" si="11"/>
        <v>2.8363041726111371</v>
      </c>
      <c r="AG24" s="93">
        <v>0.7258796023165236</v>
      </c>
      <c r="AH24" s="93">
        <v>0.20317213116103808</v>
      </c>
      <c r="AI24" s="93">
        <v>0.23424852857398526</v>
      </c>
      <c r="AJ24" s="93">
        <f t="shared" si="12"/>
        <v>0.43742065973502331</v>
      </c>
      <c r="AL24" s="39">
        <f t="shared" si="13"/>
        <v>2.7318188913306285</v>
      </c>
      <c r="AM24" s="93">
        <v>2.8702469151779071</v>
      </c>
      <c r="AN24" s="93">
        <v>-1.1155443530893807</v>
      </c>
      <c r="AO24" s="93">
        <v>0.88785915434127438</v>
      </c>
      <c r="AP24" s="93">
        <f t="shared" si="14"/>
        <v>-0.22768519874810633</v>
      </c>
      <c r="AQ24" s="106"/>
      <c r="AR24" s="39">
        <f t="shared" si="15"/>
        <v>2.949983891234198</v>
      </c>
      <c r="AS24" s="93">
        <v>7.2657531130986843</v>
      </c>
      <c r="AT24" s="93">
        <v>-0.38662036129894933</v>
      </c>
      <c r="AU24" s="93">
        <v>2.4514989114964938</v>
      </c>
      <c r="AV24" s="93">
        <f t="shared" si="16"/>
        <v>2.0648785501975446</v>
      </c>
      <c r="AW24" s="90" t="str">
        <f t="shared" si="17"/>
        <v>Support services</v>
      </c>
      <c r="AX24" s="39">
        <f t="shared" si="18"/>
        <v>2.6712682976482327</v>
      </c>
      <c r="AY24" s="11">
        <v>4.6040936604188767</v>
      </c>
      <c r="AZ24" s="93">
        <v>-0.6550004254648718</v>
      </c>
      <c r="BA24" s="93">
        <v>1.3887564948003865</v>
      </c>
      <c r="BB24" s="93">
        <f t="shared" si="19"/>
        <v>0.73375606933551474</v>
      </c>
      <c r="BC24" s="93"/>
      <c r="BD24" s="39">
        <f t="shared" si="20"/>
        <v>2.5535596624300272</v>
      </c>
      <c r="BE24" s="93">
        <v>0.37306162643140794</v>
      </c>
      <c r="BF24" s="93">
        <v>1.7209773799081063E-3</v>
      </c>
      <c r="BG24" s="93">
        <v>0.10699003130978606</v>
      </c>
      <c r="BH24" s="93">
        <f t="shared" si="21"/>
        <v>0.10871100868969416</v>
      </c>
      <c r="BJ24" s="39">
        <f t="shared" si="22"/>
        <v>2.6033003151062717</v>
      </c>
      <c r="BK24" s="93">
        <v>2.3193614224732308</v>
      </c>
      <c r="BL24" s="93">
        <v>-0.3840544144532913</v>
      </c>
      <c r="BM24" s="93">
        <v>0.67967495424035318</v>
      </c>
      <c r="BN24" s="93">
        <f t="shared" si="23"/>
        <v>0.29562053978706188</v>
      </c>
      <c r="BO24" s="106"/>
      <c r="BP24" s="39">
        <f t="shared" si="24"/>
        <v>2.7758580766296781</v>
      </c>
      <c r="BQ24" s="93">
        <v>1.9116706115142377</v>
      </c>
      <c r="BR24" s="93">
        <v>-0.27266698839148851</v>
      </c>
      <c r="BS24" s="93">
        <v>0.60209150925024713</v>
      </c>
      <c r="BT24" s="93">
        <f t="shared" si="25"/>
        <v>0.32942452085875862</v>
      </c>
      <c r="BU24" s="90" t="str">
        <f t="shared" si="26"/>
        <v>Support services</v>
      </c>
      <c r="BV24" s="39">
        <f t="shared" si="27"/>
        <v>2.5698479897015236</v>
      </c>
      <c r="BW24" s="11">
        <v>2.8786585131525628</v>
      </c>
      <c r="BX24" s="93">
        <v>-1.0291019906527104</v>
      </c>
      <c r="BY24" s="93">
        <v>0.83145560121971473</v>
      </c>
      <c r="BZ24" s="93">
        <f t="shared" si="28"/>
        <v>-0.19764638943299562</v>
      </c>
      <c r="CA24" s="93"/>
      <c r="CB24" s="39">
        <f t="shared" si="29"/>
        <v>2.5646022644531197</v>
      </c>
      <c r="CC24" s="93">
        <v>0.59910933522220677</v>
      </c>
      <c r="CD24" s="93">
        <v>-0.12449271037143683</v>
      </c>
      <c r="CE24" s="93">
        <v>0.17264857384459545</v>
      </c>
      <c r="CF24" s="93">
        <f t="shared" si="30"/>
        <v>4.8155863473158617E-2</v>
      </c>
      <c r="CH24" s="39">
        <f t="shared" si="31"/>
        <v>2.551043008047893</v>
      </c>
      <c r="CI24" s="93">
        <v>1.9475203609870202</v>
      </c>
      <c r="CJ24" s="93">
        <v>-0.84938831927492153</v>
      </c>
      <c r="CK24" s="93">
        <v>0.55791281892363431</v>
      </c>
      <c r="CL24" s="93">
        <f t="shared" si="32"/>
        <v>-0.29147550035128722</v>
      </c>
      <c r="CM24" s="106"/>
      <c r="CN24" s="39">
        <f t="shared" si="33"/>
        <v>2.6888973859664045</v>
      </c>
      <c r="CO24" s="93">
        <v>0.33202881694333602</v>
      </c>
      <c r="CP24" s="93">
        <v>-5.5220961006352098E-2</v>
      </c>
      <c r="CQ24" s="93">
        <v>0.10089420845148493</v>
      </c>
      <c r="CR24" s="93">
        <f t="shared" si="34"/>
        <v>4.5673247445132834E-2</v>
      </c>
      <c r="CS24" s="90" t="str">
        <f t="shared" si="35"/>
        <v>Support services</v>
      </c>
      <c r="CT24" s="39">
        <f t="shared" si="36"/>
        <v>2.8750024457964374</v>
      </c>
      <c r="CU24" s="11">
        <v>0.37636819583539599</v>
      </c>
      <c r="CV24" s="93">
        <v>-7.4905000655096768E-2</v>
      </c>
      <c r="CW24" s="93">
        <v>0.12333428166928057</v>
      </c>
      <c r="CX24" s="93">
        <f t="shared" si="37"/>
        <v>4.8429281014183798E-2</v>
      </c>
      <c r="CY24" s="93"/>
      <c r="CZ24" s="39">
        <f t="shared" si="38"/>
        <v>2.9399620026260287</v>
      </c>
      <c r="DA24" s="93">
        <v>0.12111950782073322</v>
      </c>
      <c r="DB24" s="93">
        <v>-1.5755893923551086E-2</v>
      </c>
      <c r="DC24" s="93">
        <v>4.0708666056747972E-2</v>
      </c>
      <c r="DD24" s="93">
        <f t="shared" si="39"/>
        <v>2.4952772133196886E-2</v>
      </c>
      <c r="DF24" s="39">
        <f t="shared" si="40"/>
        <v>2.7520154670829022</v>
      </c>
      <c r="DG24" s="93">
        <v>0.18821330670549469</v>
      </c>
      <c r="DH24" s="93">
        <v>-5.1795488505508955E-2</v>
      </c>
      <c r="DI24" s="93">
        <v>5.8705299862000827E-2</v>
      </c>
      <c r="DJ24" s="93">
        <f t="shared" si="41"/>
        <v>6.9098113564918726E-3</v>
      </c>
      <c r="DK24" s="106"/>
      <c r="DL24" s="39">
        <f t="shared" si="42"/>
        <v>3.0985559180604971</v>
      </c>
      <c r="DM24" s="93">
        <v>6.7035381309168043E-2</v>
      </c>
      <c r="DN24" s="93">
        <v>-7.3536182260367233E-3</v>
      </c>
      <c r="DO24" s="93">
        <v>2.3920315750531766E-2</v>
      </c>
      <c r="DP24" s="93">
        <f t="shared" si="43"/>
        <v>1.6566697524495043E-2</v>
      </c>
    </row>
    <row r="25" spans="1:120" x14ac:dyDescent="0.2">
      <c r="A25" s="90" t="str">
        <f>name!B21</f>
        <v>Public admin. and defence</v>
      </c>
      <c r="B25" s="39">
        <f t="shared" si="1"/>
        <v>2.7845669367305037</v>
      </c>
      <c r="C25" s="11">
        <v>1.4539999999999971</v>
      </c>
      <c r="D25" s="93">
        <v>0.21500000000000094</v>
      </c>
      <c r="E25" s="93">
        <v>0.45956628499740532</v>
      </c>
      <c r="F25" s="93">
        <f t="shared" si="2"/>
        <v>0.67456628499740623</v>
      </c>
      <c r="G25" s="93"/>
      <c r="H25" s="39">
        <f t="shared" si="3"/>
        <v>2.6966927781336025</v>
      </c>
      <c r="I25" s="93">
        <v>0.14128910231210851</v>
      </c>
      <c r="J25" s="93">
        <v>5.9444251924195786E-2</v>
      </c>
      <c r="K25" s="93">
        <v>4.3073676239935618E-2</v>
      </c>
      <c r="L25" s="93">
        <f t="shared" si="4"/>
        <v>0.10251792816413141</v>
      </c>
      <c r="N25" s="39">
        <f t="shared" si="5"/>
        <v>2.6438542588399061</v>
      </c>
      <c r="O25" s="93">
        <v>0.56893580875873839</v>
      </c>
      <c r="P25" s="93">
        <v>-4.4190249880834614E-2</v>
      </c>
      <c r="Q25" s="93">
        <v>0.1696360952189005</v>
      </c>
      <c r="R25" s="93">
        <f t="shared" si="6"/>
        <v>0.12544584533806588</v>
      </c>
      <c r="S25" s="106"/>
      <c r="T25" s="39">
        <f t="shared" si="7"/>
        <v>2.9075064601016942</v>
      </c>
      <c r="U25" s="93">
        <v>0.74377508892915023</v>
      </c>
      <c r="V25" s="93">
        <v>0.1997459979566398</v>
      </c>
      <c r="W25" s="93">
        <v>0.24685651353856922</v>
      </c>
      <c r="X25" s="93">
        <f t="shared" si="8"/>
        <v>0.44660251149520902</v>
      </c>
      <c r="Y25" s="90" t="str">
        <f t="shared" si="0"/>
        <v>Public admin. and defence</v>
      </c>
      <c r="Z25" s="39">
        <f t="shared" si="9"/>
        <v>2.8851376822067953</v>
      </c>
      <c r="AA25" s="11">
        <v>0.84360733843630331</v>
      </c>
      <c r="AB25" s="93">
        <v>0.17538381792273638</v>
      </c>
      <c r="AC25" s="93">
        <v>0.27755055757017433</v>
      </c>
      <c r="AD25" s="93">
        <f t="shared" si="10"/>
        <v>0.45293437549291071</v>
      </c>
      <c r="AE25" s="93"/>
      <c r="AF25" s="39">
        <f t="shared" si="11"/>
        <v>2.8363041726107818</v>
      </c>
      <c r="AG25" s="93">
        <v>5.6376739584906382E-2</v>
      </c>
      <c r="AH25" s="93">
        <v>4.262009008845738E-2</v>
      </c>
      <c r="AI25" s="93">
        <v>1.819333158200891E-2</v>
      </c>
      <c r="AJ25" s="93">
        <f t="shared" si="12"/>
        <v>6.0813421670466286E-2</v>
      </c>
      <c r="AL25" s="39">
        <f t="shared" si="13"/>
        <v>2.7318188913314945</v>
      </c>
      <c r="AM25" s="93">
        <v>0.2229228681509284</v>
      </c>
      <c r="AN25" s="93">
        <v>-3.594728389981916E-2</v>
      </c>
      <c r="AO25" s="93">
        <v>6.895717164724055E-2</v>
      </c>
      <c r="AP25" s="93">
        <f t="shared" si="14"/>
        <v>3.300988774742139E-2</v>
      </c>
      <c r="AQ25" s="106"/>
      <c r="AR25" s="39">
        <f t="shared" si="15"/>
        <v>2.9499838912350862</v>
      </c>
      <c r="AS25" s="93">
        <v>0.56430773070046847</v>
      </c>
      <c r="AT25" s="93">
        <v>0.16871101173409817</v>
      </c>
      <c r="AU25" s="93">
        <v>0.1904000543409248</v>
      </c>
      <c r="AV25" s="93">
        <f t="shared" si="16"/>
        <v>0.35911106607502297</v>
      </c>
      <c r="AW25" s="90" t="str">
        <f t="shared" si="17"/>
        <v>Public admin. and defence</v>
      </c>
      <c r="AX25" s="39">
        <f t="shared" si="18"/>
        <v>2.6712682976481661</v>
      </c>
      <c r="AY25" s="11">
        <v>0.35758518146798612</v>
      </c>
      <c r="AZ25" s="93">
        <v>6.3217768742032318E-2</v>
      </c>
      <c r="BA25" s="93">
        <v>0.10786026085378261</v>
      </c>
      <c r="BB25" s="93">
        <f t="shared" si="19"/>
        <v>0.17107802959581492</v>
      </c>
      <c r="BC25" s="93"/>
      <c r="BD25" s="39">
        <f t="shared" si="20"/>
        <v>2.5535596624299828</v>
      </c>
      <c r="BE25" s="93">
        <v>2.8974499483491539E-2</v>
      </c>
      <c r="BF25" s="93">
        <v>1.0961155611916022E-2</v>
      </c>
      <c r="BG25" s="93">
        <v>8.3095724333202906E-3</v>
      </c>
      <c r="BH25" s="93">
        <f t="shared" si="21"/>
        <v>1.9270728045236312E-2</v>
      </c>
      <c r="BJ25" s="39">
        <f t="shared" si="22"/>
        <v>2.6033003151064049</v>
      </c>
      <c r="BK25" s="93">
        <v>0.18013735955834875</v>
      </c>
      <c r="BL25" s="93">
        <v>2.6082866221255052E-2</v>
      </c>
      <c r="BM25" s="93">
        <v>5.2788172825711882E-2</v>
      </c>
      <c r="BN25" s="93">
        <f t="shared" si="23"/>
        <v>7.8871039046966934E-2</v>
      </c>
      <c r="BO25" s="106"/>
      <c r="BP25" s="39">
        <f t="shared" si="24"/>
        <v>2.7758580766297891</v>
      </c>
      <c r="BQ25" s="93">
        <v>0.1484733224261458</v>
      </c>
      <c r="BR25" s="93">
        <v>2.6173746908861251E-2</v>
      </c>
      <c r="BS25" s="93">
        <v>4.6762515594750455E-2</v>
      </c>
      <c r="BT25" s="93">
        <f t="shared" si="25"/>
        <v>7.293626250361171E-2</v>
      </c>
      <c r="BU25" s="90" t="str">
        <f t="shared" si="26"/>
        <v>Public admin. and defence</v>
      </c>
      <c r="BV25" s="39">
        <f t="shared" si="27"/>
        <v>2.5698479897014792</v>
      </c>
      <c r="BW25" s="11">
        <v>0.22357616997639901</v>
      </c>
      <c r="BX25" s="93">
        <v>-2.6493246139725597E-2</v>
      </c>
      <c r="BY25" s="93">
        <v>6.4576488658442441E-2</v>
      </c>
      <c r="BZ25" s="93">
        <f t="shared" si="28"/>
        <v>3.8083242518716844E-2</v>
      </c>
      <c r="CA25" s="93"/>
      <c r="CB25" s="39">
        <f t="shared" si="29"/>
        <v>2.5646022644530531</v>
      </c>
      <c r="CC25" s="93">
        <v>4.6530899706966611E-2</v>
      </c>
      <c r="CD25" s="93">
        <v>4.0427545658888358E-3</v>
      </c>
      <c r="CE25" s="93">
        <v>1.3409060753716812E-2</v>
      </c>
      <c r="CF25" s="93">
        <f t="shared" si="30"/>
        <v>1.7451815319605646E-2</v>
      </c>
      <c r="CH25" s="39">
        <f t="shared" si="31"/>
        <v>2.5510430080478264</v>
      </c>
      <c r="CI25" s="93">
        <v>0.1512576574370198</v>
      </c>
      <c r="CJ25" s="93">
        <v>-3.4244162090111052E-2</v>
      </c>
      <c r="CK25" s="93">
        <v>4.3331298473152743E-2</v>
      </c>
      <c r="CL25" s="93">
        <f t="shared" si="32"/>
        <v>9.0871363830416912E-3</v>
      </c>
      <c r="CM25" s="106"/>
      <c r="CN25" s="39">
        <f t="shared" si="33"/>
        <v>2.6888973859667598</v>
      </c>
      <c r="CO25" s="93">
        <v>2.5787612832412595E-2</v>
      </c>
      <c r="CP25" s="93">
        <v>3.7081613844966248E-3</v>
      </c>
      <c r="CQ25" s="93">
        <v>7.836129431572891E-3</v>
      </c>
      <c r="CR25" s="93">
        <f t="shared" si="34"/>
        <v>1.1544290816069516E-2</v>
      </c>
      <c r="CS25" s="90" t="str">
        <f t="shared" si="35"/>
        <v>Public admin. and defence</v>
      </c>
      <c r="CT25" s="39">
        <f t="shared" si="36"/>
        <v>2.8750024457971257</v>
      </c>
      <c r="CU25" s="11">
        <v>2.9231310119308785E-2</v>
      </c>
      <c r="CV25" s="93">
        <v>2.8916594749578122E-3</v>
      </c>
      <c r="CW25" s="93">
        <v>9.578977915005971E-3</v>
      </c>
      <c r="CX25" s="93">
        <f t="shared" si="37"/>
        <v>1.2470637389963783E-2</v>
      </c>
      <c r="CY25" s="93"/>
      <c r="CZ25" s="39">
        <f t="shared" si="38"/>
        <v>2.9399620026260287</v>
      </c>
      <c r="DA25" s="93">
        <v>9.4069635367439817E-3</v>
      </c>
      <c r="DB25" s="93">
        <v>1.8202516579335466E-3</v>
      </c>
      <c r="DC25" s="93">
        <v>3.1617114708896062E-3</v>
      </c>
      <c r="DD25" s="93">
        <f t="shared" si="39"/>
        <v>4.9819631288231525E-3</v>
      </c>
      <c r="DF25" s="39">
        <f t="shared" si="40"/>
        <v>2.7520154670842789</v>
      </c>
      <c r="DG25" s="93">
        <v>1.4617923612441512E-2</v>
      </c>
      <c r="DH25" s="93">
        <v>-8.1670112159448079E-5</v>
      </c>
      <c r="DI25" s="93">
        <v>4.5594522727953144E-3</v>
      </c>
      <c r="DJ25" s="93">
        <f t="shared" si="41"/>
        <v>4.4777821606358662E-3</v>
      </c>
      <c r="DK25" s="106"/>
      <c r="DL25" s="39">
        <f t="shared" si="42"/>
        <v>3.0985559180585875</v>
      </c>
      <c r="DM25" s="93">
        <v>5.2064229701232886E-3</v>
      </c>
      <c r="DN25" s="93">
        <v>1.1530779291837137E-3</v>
      </c>
      <c r="DO25" s="93">
        <v>1.8578141713210513E-3</v>
      </c>
      <c r="DP25" s="93">
        <f t="shared" si="43"/>
        <v>3.0108921005047649E-3</v>
      </c>
    </row>
    <row r="26" spans="1:120" x14ac:dyDescent="0.2">
      <c r="A26" s="90" t="str">
        <f>name!B22</f>
        <v>Education</v>
      </c>
      <c r="B26" s="39">
        <f t="shared" si="1"/>
        <v>2.7941946420653396</v>
      </c>
      <c r="C26" s="11">
        <v>27.519999999999932</v>
      </c>
      <c r="D26" s="93">
        <v>5.4400000000000306</v>
      </c>
      <c r="E26" s="93">
        <v>8.7321954612186001</v>
      </c>
      <c r="F26" s="93">
        <f t="shared" si="2"/>
        <v>14.172195461218632</v>
      </c>
      <c r="G26" s="93"/>
      <c r="H26" s="39">
        <f t="shared" si="3"/>
        <v>2.7029013910380817</v>
      </c>
      <c r="I26" s="93">
        <v>4.1940595367848887</v>
      </c>
      <c r="J26" s="93">
        <v>0.48827775119455635</v>
      </c>
      <c r="K26" s="93">
        <v>1.2819187642232284</v>
      </c>
      <c r="L26" s="93">
        <f t="shared" si="4"/>
        <v>1.7701965154177848</v>
      </c>
      <c r="N26" s="39">
        <f t="shared" si="5"/>
        <v>2.6641720196424856</v>
      </c>
      <c r="O26" s="93">
        <v>13.503625138933433</v>
      </c>
      <c r="P26" s="93">
        <v>0.84821921937760381</v>
      </c>
      <c r="Q26" s="93">
        <v>4.0610233469695309</v>
      </c>
      <c r="R26" s="93">
        <f t="shared" si="6"/>
        <v>4.9092425663471344</v>
      </c>
      <c r="S26" s="106"/>
      <c r="T26" s="39">
        <f t="shared" si="7"/>
        <v>3.008734431358584</v>
      </c>
      <c r="U26" s="93">
        <v>9.822315324281611</v>
      </c>
      <c r="V26" s="93">
        <v>4.1035030294278707</v>
      </c>
      <c r="W26" s="93">
        <v>3.3892533500258399</v>
      </c>
      <c r="X26" s="93">
        <f t="shared" si="8"/>
        <v>7.4927563794537111</v>
      </c>
      <c r="Y26" s="90" t="str">
        <f t="shared" si="0"/>
        <v>Education</v>
      </c>
      <c r="Z26" s="39">
        <f t="shared" si="9"/>
        <v>2.9117760664267189</v>
      </c>
      <c r="AA26" s="11">
        <v>12.395569669075353</v>
      </c>
      <c r="AB26" s="93">
        <v>5.0801062397678249</v>
      </c>
      <c r="AC26" s="93">
        <v>4.1209000120001473</v>
      </c>
      <c r="AD26" s="93">
        <f t="shared" si="10"/>
        <v>9.2010062517679714</v>
      </c>
      <c r="AE26" s="93"/>
      <c r="AF26" s="39">
        <f t="shared" si="11"/>
        <v>2.5937636321570645</v>
      </c>
      <c r="AG26" s="93">
        <v>0.81258397047140074</v>
      </c>
      <c r="AH26" s="93">
        <v>0.63966731573933144</v>
      </c>
      <c r="AI26" s="93">
        <v>0.23714666545277929</v>
      </c>
      <c r="AJ26" s="93">
        <f t="shared" si="12"/>
        <v>0.87681398119211074</v>
      </c>
      <c r="AL26" s="39">
        <f t="shared" si="13"/>
        <v>2.6939990649745837</v>
      </c>
      <c r="AM26" s="93">
        <v>4.0463139611233547</v>
      </c>
      <c r="AN26" s="93">
        <v>0.77655527040304539</v>
      </c>
      <c r="AO26" s="93">
        <v>1.2321825690004835</v>
      </c>
      <c r="AP26" s="93">
        <f t="shared" si="14"/>
        <v>2.0087378394035289</v>
      </c>
      <c r="AQ26" s="106"/>
      <c r="AR26" s="39">
        <f t="shared" si="15"/>
        <v>3.0604341026309489</v>
      </c>
      <c r="AS26" s="93">
        <v>7.5366717374805985</v>
      </c>
      <c r="AT26" s="93">
        <v>3.6638836536254487</v>
      </c>
      <c r="AU26" s="93">
        <v>2.6515707775468846</v>
      </c>
      <c r="AV26" s="93">
        <f t="shared" si="16"/>
        <v>6.3154544311723333</v>
      </c>
      <c r="AW26" s="90" t="str">
        <f t="shared" si="17"/>
        <v>Education</v>
      </c>
      <c r="AX26" s="39">
        <f t="shared" si="18"/>
        <v>2.6688337014858732</v>
      </c>
      <c r="AY26" s="11">
        <v>4.0745695684818486</v>
      </c>
      <c r="AZ26" s="93">
        <v>-0.65076923691411093</v>
      </c>
      <c r="BA26" s="93">
        <v>1.227775929825986</v>
      </c>
      <c r="BB26" s="93">
        <f t="shared" si="19"/>
        <v>0.57700669291187512</v>
      </c>
      <c r="BC26" s="93"/>
      <c r="BD26" s="39">
        <f t="shared" si="20"/>
        <v>2.5882032430875057</v>
      </c>
      <c r="BE26" s="93">
        <v>0.26691123725535981</v>
      </c>
      <c r="BF26" s="93">
        <v>-0.19380533282346687</v>
      </c>
      <c r="BG26" s="93">
        <v>7.7709251306618335E-2</v>
      </c>
      <c r="BH26" s="93">
        <f t="shared" si="21"/>
        <v>-0.11609608151684854</v>
      </c>
      <c r="BJ26" s="39">
        <f t="shared" si="22"/>
        <v>2.6104632834062169</v>
      </c>
      <c r="BK26" s="93">
        <v>2.4396136341847261</v>
      </c>
      <c r="BL26" s="93">
        <v>-0.51114595901616455</v>
      </c>
      <c r="BM26" s="93">
        <v>0.7171170827738349</v>
      </c>
      <c r="BN26" s="93">
        <f t="shared" si="23"/>
        <v>0.20597112375767035</v>
      </c>
      <c r="BO26" s="106"/>
      <c r="BP26" s="39">
        <f t="shared" si="24"/>
        <v>2.7877134101330858</v>
      </c>
      <c r="BQ26" s="93">
        <v>1.3680446970417623</v>
      </c>
      <c r="BR26" s="93">
        <v>5.4182054925520501E-2</v>
      </c>
      <c r="BS26" s="93">
        <v>0.43294959574553271</v>
      </c>
      <c r="BT26" s="93">
        <f t="shared" si="25"/>
        <v>0.48713165067105324</v>
      </c>
      <c r="BU26" s="90" t="str">
        <f t="shared" si="26"/>
        <v>Education</v>
      </c>
      <c r="BV26" s="39">
        <f t="shared" si="27"/>
        <v>2.5719174756100083</v>
      </c>
      <c r="BW26" s="11">
        <v>6.5723358416890418</v>
      </c>
      <c r="BX26" s="93">
        <v>-0.15751225654061013</v>
      </c>
      <c r="BY26" s="93">
        <v>1.9000258963583028</v>
      </c>
      <c r="BZ26" s="93">
        <f t="shared" si="28"/>
        <v>1.7425136398176926</v>
      </c>
      <c r="CA26" s="93"/>
      <c r="CB26" s="39">
        <f t="shared" si="29"/>
        <v>2.5863835000538682</v>
      </c>
      <c r="CC26" s="93">
        <v>1.6317851440554909</v>
      </c>
      <c r="CD26" s="93">
        <v>-0.43279551678413736</v>
      </c>
      <c r="CE26" s="93">
        <v>0.47470859686707906</v>
      </c>
      <c r="CF26" s="93">
        <f t="shared" si="30"/>
        <v>4.1913080082941701E-2</v>
      </c>
      <c r="CH26" s="39">
        <f t="shared" si="31"/>
        <v>2.542118825536166</v>
      </c>
      <c r="CI26" s="93">
        <v>4.3810752206434573</v>
      </c>
      <c r="CJ26" s="93">
        <v>2.5793305536142896E-2</v>
      </c>
      <c r="CK26" s="93">
        <v>1.250158852183944</v>
      </c>
      <c r="CL26" s="93">
        <f t="shared" si="32"/>
        <v>1.275952157720087</v>
      </c>
      <c r="CM26" s="106"/>
      <c r="CN26" s="39">
        <f t="shared" si="33"/>
        <v>2.7611586651374198</v>
      </c>
      <c r="CO26" s="93">
        <v>0.55947547699009315</v>
      </c>
      <c r="CP26" s="93">
        <v>0.24948995470738433</v>
      </c>
      <c r="CQ26" s="93">
        <v>0.17515844730727984</v>
      </c>
      <c r="CR26" s="93">
        <f t="shared" si="34"/>
        <v>0.42464840201466414</v>
      </c>
      <c r="CS26" s="90" t="str">
        <f t="shared" si="35"/>
        <v>Education</v>
      </c>
      <c r="CT26" s="39">
        <f t="shared" si="36"/>
        <v>2.9030497321535176</v>
      </c>
      <c r="CU26" s="11">
        <v>4.4775249207536891</v>
      </c>
      <c r="CV26" s="93">
        <v>1.168175253686927</v>
      </c>
      <c r="CW26" s="93">
        <v>1.4834936230341631</v>
      </c>
      <c r="CX26" s="93">
        <f t="shared" si="37"/>
        <v>2.6516688767210903</v>
      </c>
      <c r="CY26" s="93"/>
      <c r="CZ26" s="39">
        <f t="shared" si="38"/>
        <v>2.9086772572280095</v>
      </c>
      <c r="DA26" s="93">
        <v>1.4827791850026377</v>
      </c>
      <c r="DB26" s="93">
        <v>0.47521128506282911</v>
      </c>
      <c r="DC26" s="93">
        <v>0.4923542505967517</v>
      </c>
      <c r="DD26" s="93">
        <f t="shared" si="39"/>
        <v>0.96756553565958081</v>
      </c>
      <c r="DF26" s="39">
        <f t="shared" si="40"/>
        <v>2.8678141931647749</v>
      </c>
      <c r="DG26" s="93">
        <v>2.6366223229818955</v>
      </c>
      <c r="DH26" s="93">
        <v>0.55701660245458018</v>
      </c>
      <c r="DI26" s="93">
        <v>0.86156484301126879</v>
      </c>
      <c r="DJ26" s="93">
        <f t="shared" si="41"/>
        <v>1.418581445465849</v>
      </c>
      <c r="DK26" s="106"/>
      <c r="DL26" s="39">
        <f t="shared" si="42"/>
        <v>3.1363650139041965</v>
      </c>
      <c r="DM26" s="93">
        <v>0.35812341276915594</v>
      </c>
      <c r="DN26" s="93">
        <v>0.13594736616951764</v>
      </c>
      <c r="DO26" s="93">
        <v>0.12957452942614286</v>
      </c>
      <c r="DP26" s="93">
        <f t="shared" si="43"/>
        <v>0.26552189559566053</v>
      </c>
    </row>
    <row r="27" spans="1:120" x14ac:dyDescent="0.2">
      <c r="A27" s="90" t="str">
        <f>name!B23</f>
        <v>Health and social work</v>
      </c>
      <c r="B27" s="39">
        <f t="shared" si="1"/>
        <v>2.5950961839178666</v>
      </c>
      <c r="C27" s="11">
        <v>275.60199999999969</v>
      </c>
      <c r="D27" s="93">
        <v>-1.6730000000003524</v>
      </c>
      <c r="E27" s="93">
        <v>80.47866678861341</v>
      </c>
      <c r="F27" s="93">
        <f t="shared" si="2"/>
        <v>78.805666788613053</v>
      </c>
      <c r="G27" s="93"/>
      <c r="H27" s="39">
        <f t="shared" si="3"/>
        <v>2.4695756737683316</v>
      </c>
      <c r="I27" s="93">
        <v>81.511675089783012</v>
      </c>
      <c r="J27" s="93">
        <v>-19.797720579312639</v>
      </c>
      <c r="K27" s="93">
        <v>22.520863469623457</v>
      </c>
      <c r="L27" s="93">
        <f t="shared" si="4"/>
        <v>2.7231428903108181</v>
      </c>
      <c r="N27" s="39">
        <f t="shared" si="5"/>
        <v>2.5552337751491017</v>
      </c>
      <c r="O27" s="93">
        <v>150.28991841904894</v>
      </c>
      <c r="P27" s="93">
        <v>8.7057795230669974</v>
      </c>
      <c r="Q27" s="93">
        <v>43.133091870505552</v>
      </c>
      <c r="R27" s="93">
        <f t="shared" si="6"/>
        <v>51.838871393572546</v>
      </c>
      <c r="S27" s="106"/>
      <c r="T27" s="39">
        <f t="shared" si="7"/>
        <v>2.9581093378684198</v>
      </c>
      <c r="U27" s="93">
        <v>43.800406491167763</v>
      </c>
      <c r="V27" s="93">
        <v>9.418941056245286</v>
      </c>
      <c r="W27" s="93">
        <v>14.824711448484381</v>
      </c>
      <c r="X27" s="93">
        <f t="shared" si="8"/>
        <v>24.243652504729667</v>
      </c>
      <c r="Y27" s="90" t="str">
        <f t="shared" si="0"/>
        <v>Health and social work</v>
      </c>
      <c r="Z27" s="39">
        <f t="shared" si="9"/>
        <v>3.1186773432537507</v>
      </c>
      <c r="AA27" s="11">
        <v>64.293915126009693</v>
      </c>
      <c r="AB27" s="93">
        <v>17.722549991381833</v>
      </c>
      <c r="AC27" s="93">
        <v>23.112480454512202</v>
      </c>
      <c r="AD27" s="93">
        <f t="shared" si="10"/>
        <v>40.835030445894034</v>
      </c>
      <c r="AE27" s="93"/>
      <c r="AF27" s="39">
        <f t="shared" si="11"/>
        <v>3.0783063740929206</v>
      </c>
      <c r="AG27" s="93">
        <v>9.9195473983854772</v>
      </c>
      <c r="AH27" s="93">
        <v>1.4973424642898829</v>
      </c>
      <c r="AI27" s="93">
        <v>3.5131923201060649</v>
      </c>
      <c r="AJ27" s="93">
        <f t="shared" si="12"/>
        <v>5.010534784395948</v>
      </c>
      <c r="AL27" s="39">
        <f t="shared" si="13"/>
        <v>3.1315372831501653</v>
      </c>
      <c r="AM27" s="93">
        <v>25.525698517196087</v>
      </c>
      <c r="AN27" s="93">
        <v>10.147584573449684</v>
      </c>
      <c r="AO27" s="93">
        <v>9.2193201705336563</v>
      </c>
      <c r="AP27" s="93">
        <f t="shared" si="14"/>
        <v>19.366904743983341</v>
      </c>
      <c r="AQ27" s="106"/>
      <c r="AR27" s="39">
        <f t="shared" si="15"/>
        <v>3.121149070624285</v>
      </c>
      <c r="AS27" s="93">
        <v>28.848669210428131</v>
      </c>
      <c r="AT27" s="93">
        <v>6.0776229536422628</v>
      </c>
      <c r="AU27" s="93">
        <v>10.379967963872479</v>
      </c>
      <c r="AV27" s="93">
        <f t="shared" si="16"/>
        <v>16.457590917514743</v>
      </c>
      <c r="AW27" s="90" t="str">
        <f t="shared" si="17"/>
        <v>Health and social work</v>
      </c>
      <c r="AX27" s="39">
        <f t="shared" si="18"/>
        <v>2.6759668403012915</v>
      </c>
      <c r="AY27" s="11">
        <v>16.521747365931887</v>
      </c>
      <c r="AZ27" s="93">
        <v>-0.90533997621618789</v>
      </c>
      <c r="BA27" s="93">
        <v>4.9933832774217386</v>
      </c>
      <c r="BB27" s="93">
        <f t="shared" si="19"/>
        <v>4.088043301205551</v>
      </c>
      <c r="BC27" s="93"/>
      <c r="BD27" s="39">
        <f t="shared" si="20"/>
        <v>2.5787165892088737</v>
      </c>
      <c r="BE27" s="93">
        <v>2.1756544236878499</v>
      </c>
      <c r="BF27" s="93">
        <v>-0.17162265131127769</v>
      </c>
      <c r="BG27" s="93">
        <v>0.63082928217437373</v>
      </c>
      <c r="BH27" s="93">
        <f t="shared" si="21"/>
        <v>0.45920663086309604</v>
      </c>
      <c r="BJ27" s="39">
        <f t="shared" si="22"/>
        <v>2.6312555462310261</v>
      </c>
      <c r="BK27" s="93">
        <v>8.5774116106248197</v>
      </c>
      <c r="BL27" s="93">
        <v>-1.3110321038488253</v>
      </c>
      <c r="BM27" s="93">
        <v>2.5438144946044696</v>
      </c>
      <c r="BN27" s="93">
        <f t="shared" si="23"/>
        <v>1.2327823907556443</v>
      </c>
      <c r="BO27" s="106"/>
      <c r="BP27" s="39">
        <f t="shared" si="24"/>
        <v>2.7783786676990552</v>
      </c>
      <c r="BQ27" s="93">
        <v>5.7686813316192156</v>
      </c>
      <c r="BR27" s="93">
        <v>0.57731477894391503</v>
      </c>
      <c r="BS27" s="93">
        <v>1.8187395006428966</v>
      </c>
      <c r="BT27" s="93">
        <f t="shared" si="25"/>
        <v>2.3960542795868118</v>
      </c>
      <c r="BU27" s="90" t="str">
        <f t="shared" si="26"/>
        <v>Health and social work</v>
      </c>
      <c r="BV27" s="39">
        <f t="shared" si="27"/>
        <v>2.4185311777933372</v>
      </c>
      <c r="BW27" s="11">
        <v>185.64731569674743</v>
      </c>
      <c r="BX27" s="93">
        <v>-20.042065793695048</v>
      </c>
      <c r="BY27" s="93">
        <v>50.114846449207548</v>
      </c>
      <c r="BZ27" s="93">
        <f t="shared" si="28"/>
        <v>30.072780655512499</v>
      </c>
      <c r="CA27" s="93"/>
      <c r="CB27" s="39">
        <f t="shared" si="29"/>
        <v>2.3870453919311752</v>
      </c>
      <c r="CC27" s="93">
        <v>65.07948365464064</v>
      </c>
      <c r="CD27" s="93">
        <v>-20.422001047817911</v>
      </c>
      <c r="CE27" s="93">
        <v>17.314254108560334</v>
      </c>
      <c r="CF27" s="93">
        <f t="shared" si="30"/>
        <v>-3.1077469392575772</v>
      </c>
      <c r="CH27" s="39">
        <f t="shared" si="31"/>
        <v>2.4258065702267961</v>
      </c>
      <c r="CI27" s="93">
        <v>111.69445579336453</v>
      </c>
      <c r="CJ27" s="93">
        <v>-1.7999732059359685</v>
      </c>
      <c r="CK27" s="93">
        <v>30.252323208272195</v>
      </c>
      <c r="CL27" s="93">
        <f t="shared" si="32"/>
        <v>28.452350002336225</v>
      </c>
      <c r="CM27" s="106"/>
      <c r="CN27" s="39">
        <f t="shared" si="33"/>
        <v>2.5566857264312626</v>
      </c>
      <c r="CO27" s="93">
        <v>8.8733762487422378</v>
      </c>
      <c r="CP27" s="93">
        <v>2.1799084600588299</v>
      </c>
      <c r="CQ27" s="93">
        <v>2.5482691323750268</v>
      </c>
      <c r="CR27" s="93">
        <f t="shared" si="34"/>
        <v>4.7281775924338572</v>
      </c>
      <c r="CS27" s="90" t="str">
        <f t="shared" si="35"/>
        <v>Health and social work</v>
      </c>
      <c r="CT27" s="39">
        <f t="shared" si="36"/>
        <v>2.2325047123997521</v>
      </c>
      <c r="CU27" s="11">
        <v>9.139021811310748</v>
      </c>
      <c r="CV27" s="93">
        <v>1.5518557785290545</v>
      </c>
      <c r="CW27" s="93">
        <v>2.2579566074718973</v>
      </c>
      <c r="CX27" s="93">
        <f t="shared" si="37"/>
        <v>3.8098123860009521</v>
      </c>
      <c r="CY27" s="93"/>
      <c r="CZ27" s="39">
        <f t="shared" si="38"/>
        <v>2.2155897378276945</v>
      </c>
      <c r="DA27" s="93">
        <v>4.3369896130690391</v>
      </c>
      <c r="DB27" s="93">
        <v>-0.70143934447333278</v>
      </c>
      <c r="DC27" s="93">
        <v>1.0625877587826875</v>
      </c>
      <c r="DD27" s="93">
        <f t="shared" si="39"/>
        <v>0.36114841430935474</v>
      </c>
      <c r="DF27" s="39">
        <f t="shared" si="40"/>
        <v>2.2465820104417666</v>
      </c>
      <c r="DG27" s="93">
        <v>4.4923524978635268</v>
      </c>
      <c r="DH27" s="93">
        <v>1.6692002594021076</v>
      </c>
      <c r="DI27" s="93">
        <v>1.1176339970952323</v>
      </c>
      <c r="DJ27" s="93">
        <f t="shared" si="41"/>
        <v>2.7868342564973396</v>
      </c>
      <c r="DK27" s="106"/>
      <c r="DL27" s="39">
        <f t="shared" si="42"/>
        <v>2.2648343335861076</v>
      </c>
      <c r="DM27" s="93">
        <v>0.30967970037818215</v>
      </c>
      <c r="DN27" s="93">
        <v>0.58409486360027985</v>
      </c>
      <c r="DO27" s="93">
        <v>7.7734851593977319E-2</v>
      </c>
      <c r="DP27" s="93">
        <f t="shared" si="43"/>
        <v>0.66182971519425715</v>
      </c>
    </row>
    <row r="28" spans="1:120" x14ac:dyDescent="0.2">
      <c r="A28" s="90" t="str">
        <f>name!B24</f>
        <v>Arts and entertainment</v>
      </c>
      <c r="B28" s="39">
        <f t="shared" si="1"/>
        <v>2.6894345447805668</v>
      </c>
      <c r="C28" s="11">
        <v>583.99199872311158</v>
      </c>
      <c r="D28" s="93">
        <v>22.974992839555728</v>
      </c>
      <c r="E28" s="93">
        <v>177.49855672479771</v>
      </c>
      <c r="F28" s="93">
        <f t="shared" si="2"/>
        <v>200.47354956435345</v>
      </c>
      <c r="G28" s="93"/>
      <c r="H28" s="39">
        <f t="shared" si="3"/>
        <v>2.5241340757117703</v>
      </c>
      <c r="I28" s="93">
        <v>112.61142831364945</v>
      </c>
      <c r="J28" s="93">
        <v>-19.950461975362895</v>
      </c>
      <c r="K28" s="93">
        <v>31.880492992433172</v>
      </c>
      <c r="L28" s="93">
        <f t="shared" si="4"/>
        <v>11.930031017070277</v>
      </c>
      <c r="N28" s="39">
        <f t="shared" si="5"/>
        <v>2.5965813402446081</v>
      </c>
      <c r="O28" s="93">
        <v>322.09728549501801</v>
      </c>
      <c r="P28" s="93">
        <v>22.98072850143604</v>
      </c>
      <c r="Q28" s="93">
        <v>94.116022316887069</v>
      </c>
      <c r="R28" s="93">
        <f t="shared" si="6"/>
        <v>117.0967508183231</v>
      </c>
      <c r="S28" s="106"/>
      <c r="T28" s="39">
        <f t="shared" si="7"/>
        <v>3.0082665428908584</v>
      </c>
      <c r="U28" s="93">
        <v>149.28328491444404</v>
      </c>
      <c r="V28" s="93">
        <v>19.94472631348258</v>
      </c>
      <c r="W28" s="93">
        <v>51.5020414154775</v>
      </c>
      <c r="X28" s="93">
        <f t="shared" si="8"/>
        <v>71.446767728960083</v>
      </c>
      <c r="Y28" s="90" t="str">
        <f t="shared" si="0"/>
        <v>Arts and entertainment</v>
      </c>
      <c r="Z28" s="39">
        <f t="shared" si="9"/>
        <v>3.2588943559272998</v>
      </c>
      <c r="AA28" s="11">
        <v>161.66137310285907</v>
      </c>
      <c r="AB28" s="93">
        <v>1.3326548882882316</v>
      </c>
      <c r="AC28" s="93">
        <v>61.121073231490051</v>
      </c>
      <c r="AD28" s="93">
        <f t="shared" si="10"/>
        <v>62.453728119778283</v>
      </c>
      <c r="AE28" s="93"/>
      <c r="AF28" s="39">
        <f t="shared" si="11"/>
        <v>3.2768095159466437</v>
      </c>
      <c r="AG28" s="93">
        <v>13.303128548274954</v>
      </c>
      <c r="AH28" s="93">
        <v>-1.9338514027227476</v>
      </c>
      <c r="AI28" s="93">
        <v>5.0614902397360089</v>
      </c>
      <c r="AJ28" s="93">
        <f t="shared" si="12"/>
        <v>3.1276388370132615</v>
      </c>
      <c r="AL28" s="39">
        <f t="shared" si="13"/>
        <v>3.2222682296140004</v>
      </c>
      <c r="AM28" s="93">
        <v>61.167755464113846</v>
      </c>
      <c r="AN28" s="93">
        <v>-4.1267654969595462</v>
      </c>
      <c r="AO28" s="93">
        <v>22.827842408062001</v>
      </c>
      <c r="AP28" s="93">
        <f t="shared" si="14"/>
        <v>18.701076911102454</v>
      </c>
      <c r="AQ28" s="106"/>
      <c r="AR28" s="39">
        <f t="shared" si="15"/>
        <v>3.2817897264484586</v>
      </c>
      <c r="AS28" s="93">
        <v>87.190489090470265</v>
      </c>
      <c r="AT28" s="93">
        <v>7.3932717879705248</v>
      </c>
      <c r="AU28" s="93">
        <v>33.231740583692044</v>
      </c>
      <c r="AV28" s="93">
        <f t="shared" si="16"/>
        <v>40.625012371662571</v>
      </c>
      <c r="AW28" s="90" t="str">
        <f t="shared" si="17"/>
        <v>Arts and entertainment</v>
      </c>
      <c r="AX28" s="39">
        <f t="shared" si="18"/>
        <v>2.4581982255185597</v>
      </c>
      <c r="AY28" s="11">
        <v>274.12096692663408</v>
      </c>
      <c r="AZ28" s="93">
        <v>19.909375624336565</v>
      </c>
      <c r="BA28" s="93">
        <v>75.348629505054475</v>
      </c>
      <c r="BB28" s="93">
        <f t="shared" si="19"/>
        <v>95.258005129391037</v>
      </c>
      <c r="BC28" s="93"/>
      <c r="BD28" s="39">
        <f t="shared" si="20"/>
        <v>2.3965751535212299</v>
      </c>
      <c r="BE28" s="93">
        <v>52.434042602494252</v>
      </c>
      <c r="BF28" s="93">
        <v>-10.478560037555006</v>
      </c>
      <c r="BG28" s="93">
        <v>14.01177557326081</v>
      </c>
      <c r="BH28" s="93">
        <f t="shared" si="21"/>
        <v>3.5332155357058035</v>
      </c>
      <c r="BJ28" s="39">
        <f t="shared" si="22"/>
        <v>2.4303568044377055</v>
      </c>
      <c r="BK28" s="93">
        <v>169.82026195600062</v>
      </c>
      <c r="BL28" s="93">
        <v>22.045877770222617</v>
      </c>
      <c r="BM28" s="93">
        <v>46.091529986569107</v>
      </c>
      <c r="BN28" s="93">
        <f t="shared" si="23"/>
        <v>68.137407756791731</v>
      </c>
      <c r="BO28" s="106"/>
      <c r="BP28" s="39">
        <f t="shared" si="24"/>
        <v>2.6103523894776215</v>
      </c>
      <c r="BQ28" s="93">
        <v>51.866662368139195</v>
      </c>
      <c r="BR28" s="93">
        <v>8.3420578916689543</v>
      </c>
      <c r="BS28" s="93">
        <v>15.245323945224559</v>
      </c>
      <c r="BT28" s="93">
        <f t="shared" si="25"/>
        <v>23.587381836893513</v>
      </c>
      <c r="BU28" s="90" t="str">
        <f t="shared" si="26"/>
        <v>Arts and entertainment</v>
      </c>
      <c r="BV28" s="39">
        <f t="shared" si="27"/>
        <v>2.5546872517099084</v>
      </c>
      <c r="BW28" s="11">
        <v>107.2598983032326</v>
      </c>
      <c r="BX28" s="93">
        <v>-4.6347125764802879</v>
      </c>
      <c r="BY28" s="93">
        <v>30.776152696349076</v>
      </c>
      <c r="BZ28" s="93">
        <f t="shared" si="28"/>
        <v>26.14144011986879</v>
      </c>
      <c r="CA28" s="93"/>
      <c r="CB28" s="39">
        <f t="shared" si="29"/>
        <v>2.4937117735407188</v>
      </c>
      <c r="CC28" s="93">
        <v>30.58519142119675</v>
      </c>
      <c r="CD28" s="93">
        <v>-4.9664708583329622</v>
      </c>
      <c r="CE28" s="93">
        <v>8.5424270700257328</v>
      </c>
      <c r="CF28" s="93">
        <f t="shared" si="30"/>
        <v>3.5759562116927706</v>
      </c>
      <c r="CH28" s="39">
        <f t="shared" si="31"/>
        <v>2.5657893609980054</v>
      </c>
      <c r="CI28" s="93">
        <v>68.527793794387208</v>
      </c>
      <c r="CJ28" s="93">
        <v>-2.6111534978573356</v>
      </c>
      <c r="CK28" s="93">
        <v>19.75824225652681</v>
      </c>
      <c r="CL28" s="93">
        <f t="shared" si="32"/>
        <v>17.147088758669476</v>
      </c>
      <c r="CM28" s="106"/>
      <c r="CN28" s="39">
        <f t="shared" si="33"/>
        <v>2.6887677275016175</v>
      </c>
      <c r="CO28" s="93">
        <v>8.1469130876486417</v>
      </c>
      <c r="CP28" s="93">
        <v>2.9429117797100104</v>
      </c>
      <c r="CQ28" s="93">
        <v>2.4754833697965344</v>
      </c>
      <c r="CR28" s="93">
        <f t="shared" si="34"/>
        <v>5.4183951495065443</v>
      </c>
      <c r="CS28" s="90" t="str">
        <f t="shared" si="35"/>
        <v>Arts and entertainment</v>
      </c>
      <c r="CT28" s="39">
        <f t="shared" si="36"/>
        <v>2.2595665716523383</v>
      </c>
      <c r="CU28" s="11">
        <v>40.949760390385762</v>
      </c>
      <c r="CV28" s="93">
        <v>6.3676749034112179</v>
      </c>
      <c r="CW28" s="93">
        <v>10.252701291904129</v>
      </c>
      <c r="CX28" s="93">
        <f t="shared" si="37"/>
        <v>16.620376195315348</v>
      </c>
      <c r="CY28" s="93"/>
      <c r="CZ28" s="39">
        <f t="shared" si="38"/>
        <v>2.3528014807572273</v>
      </c>
      <c r="DA28" s="93">
        <v>16.289065741683487</v>
      </c>
      <c r="DB28" s="93">
        <v>-2.5715796767521768</v>
      </c>
      <c r="DC28" s="93">
        <v>4.264800109410622</v>
      </c>
      <c r="DD28" s="93">
        <f t="shared" si="39"/>
        <v>1.6932204326584452</v>
      </c>
      <c r="DF28" s="39">
        <f t="shared" si="40"/>
        <v>2.1812946342883111</v>
      </c>
      <c r="DG28" s="93">
        <v>22.581474280516332</v>
      </c>
      <c r="DH28" s="93">
        <v>7.6727697260303049</v>
      </c>
      <c r="DI28" s="93">
        <v>5.438407665729156</v>
      </c>
      <c r="DJ28" s="93">
        <f t="shared" si="41"/>
        <v>13.111177391759462</v>
      </c>
      <c r="DK28" s="106"/>
      <c r="DL28" s="39">
        <f t="shared" si="42"/>
        <v>2.372728806531299</v>
      </c>
      <c r="DM28" s="93">
        <v>2.0792203681859425</v>
      </c>
      <c r="DN28" s="93">
        <v>1.2664848541330906</v>
      </c>
      <c r="DO28" s="93">
        <v>0.54949351676435321</v>
      </c>
      <c r="DP28" s="93">
        <f t="shared" si="43"/>
        <v>1.8159783708974437</v>
      </c>
    </row>
    <row r="29" spans="1:120" x14ac:dyDescent="0.2">
      <c r="A29" s="90" t="str">
        <f>name!B25</f>
        <v>Other services</v>
      </c>
      <c r="B29" s="39">
        <f t="shared" si="1"/>
        <v>2.7838069142694266</v>
      </c>
      <c r="C29" s="11">
        <v>108.16125170522943</v>
      </c>
      <c r="D29" s="93">
        <v>8.1774730396989117</v>
      </c>
      <c r="E29" s="93">
        <v>34.176039083117807</v>
      </c>
      <c r="F29" s="93">
        <f t="shared" si="2"/>
        <v>42.353512122816717</v>
      </c>
      <c r="G29" s="93"/>
      <c r="H29" s="39">
        <f t="shared" si="3"/>
        <v>2.6834266880037649</v>
      </c>
      <c r="I29" s="93">
        <v>32.326959698464499</v>
      </c>
      <c r="J29" s="93">
        <v>-6.1167969801013387</v>
      </c>
      <c r="K29" s="93">
        <v>9.8008028887364027</v>
      </c>
      <c r="L29" s="93">
        <f t="shared" si="4"/>
        <v>3.6840059086350641</v>
      </c>
      <c r="N29" s="39">
        <f t="shared" si="5"/>
        <v>2.7760834170330817</v>
      </c>
      <c r="O29" s="93">
        <v>57.398886868822629</v>
      </c>
      <c r="P29" s="93">
        <v>7.6406602287910461</v>
      </c>
      <c r="Q29" s="93">
        <v>18.079760081959783</v>
      </c>
      <c r="R29" s="93">
        <f t="shared" si="6"/>
        <v>25.720420310750828</v>
      </c>
      <c r="S29" s="106"/>
      <c r="T29" s="39">
        <f t="shared" si="7"/>
        <v>2.981376043016648</v>
      </c>
      <c r="U29" s="93">
        <v>18.435405137942325</v>
      </c>
      <c r="V29" s="93">
        <v>6.6536097910092034</v>
      </c>
      <c r="W29" s="93">
        <v>6.2954761124216301</v>
      </c>
      <c r="X29" s="93">
        <f t="shared" si="8"/>
        <v>12.949085903430834</v>
      </c>
      <c r="Y29" s="90" t="str">
        <f t="shared" si="0"/>
        <v>Other services</v>
      </c>
      <c r="Z29" s="39">
        <f t="shared" si="9"/>
        <v>3.3946693153821483</v>
      </c>
      <c r="AA29" s="11">
        <v>18.73707769261355</v>
      </c>
      <c r="AB29" s="93">
        <v>3.9696712217231607</v>
      </c>
      <c r="AC29" s="93">
        <v>7.4256694078981278</v>
      </c>
      <c r="AD29" s="93">
        <f t="shared" si="10"/>
        <v>11.395340629621288</v>
      </c>
      <c r="AE29" s="93"/>
      <c r="AF29" s="39">
        <f t="shared" si="11"/>
        <v>3.6016336348735356</v>
      </c>
      <c r="AG29" s="93">
        <v>2.3415431027696858</v>
      </c>
      <c r="AH29" s="93">
        <v>0.24514900613498003</v>
      </c>
      <c r="AI29" s="93">
        <v>0.99401256180311637</v>
      </c>
      <c r="AJ29" s="93">
        <f t="shared" si="12"/>
        <v>1.2391615679380963</v>
      </c>
      <c r="AL29" s="39">
        <f t="shared" si="13"/>
        <v>3.5014338519299582</v>
      </c>
      <c r="AM29" s="93">
        <v>8.1965364975682427</v>
      </c>
      <c r="AN29" s="93">
        <v>1.8824630168780692</v>
      </c>
      <c r="AO29" s="93">
        <v>3.3670895885720658</v>
      </c>
      <c r="AP29" s="93">
        <f t="shared" si="14"/>
        <v>5.2495526054501349</v>
      </c>
      <c r="AQ29" s="106"/>
      <c r="AR29" s="39">
        <f t="shared" si="15"/>
        <v>3.2265730612790922</v>
      </c>
      <c r="AS29" s="93">
        <v>8.1989980922756232</v>
      </c>
      <c r="AT29" s="93">
        <v>1.8420591987101114</v>
      </c>
      <c r="AU29" s="93">
        <v>3.0645672575229463</v>
      </c>
      <c r="AV29" s="93">
        <f t="shared" si="16"/>
        <v>4.9066264562330577</v>
      </c>
      <c r="AW29" s="90" t="str">
        <f t="shared" si="17"/>
        <v>Other services</v>
      </c>
      <c r="AX29" s="39">
        <f t="shared" si="18"/>
        <v>2.6483238273837584</v>
      </c>
      <c r="AY29" s="11">
        <v>19.032176889267678</v>
      </c>
      <c r="AZ29" s="93">
        <v>1.0956652491419592</v>
      </c>
      <c r="BA29" s="93">
        <v>5.685467852803928</v>
      </c>
      <c r="BB29" s="93">
        <f t="shared" si="19"/>
        <v>6.7811331019458869</v>
      </c>
      <c r="BC29" s="93"/>
      <c r="BD29" s="39">
        <f t="shared" si="20"/>
        <v>2.5698311582555533</v>
      </c>
      <c r="BE29" s="93">
        <v>3.4123327833961343</v>
      </c>
      <c r="BF29" s="93">
        <v>-0.44962292514756064</v>
      </c>
      <c r="BG29" s="93">
        <v>0.9855918713750732</v>
      </c>
      <c r="BH29" s="93">
        <f t="shared" si="21"/>
        <v>0.53596894622751257</v>
      </c>
      <c r="BJ29" s="39">
        <f t="shared" si="22"/>
        <v>2.6113519594407553</v>
      </c>
      <c r="BK29" s="93">
        <v>10.441678809376455</v>
      </c>
      <c r="BL29" s="93">
        <v>0.67813132541245391</v>
      </c>
      <c r="BM29" s="93">
        <v>3.0704702368243959</v>
      </c>
      <c r="BN29" s="93">
        <f t="shared" si="23"/>
        <v>3.7486015622368498</v>
      </c>
      <c r="BO29" s="106"/>
      <c r="BP29" s="39">
        <f t="shared" si="24"/>
        <v>2.7736136732418482</v>
      </c>
      <c r="BQ29" s="93">
        <v>5.1781652964950879</v>
      </c>
      <c r="BR29" s="93">
        <v>0.86715684887706568</v>
      </c>
      <c r="BS29" s="93">
        <v>1.6294057446044583</v>
      </c>
      <c r="BT29" s="93">
        <f t="shared" si="25"/>
        <v>2.4965625934815239</v>
      </c>
      <c r="BU29" s="90" t="str">
        <f t="shared" si="26"/>
        <v>Other services</v>
      </c>
      <c r="BV29" s="39">
        <f t="shared" si="27"/>
        <v>2.6772484709001398</v>
      </c>
      <c r="BW29" s="11">
        <v>66.201397878138252</v>
      </c>
      <c r="BX29" s="93">
        <v>1.2456325163985658</v>
      </c>
      <c r="BY29" s="93">
        <v>20.01887239295467</v>
      </c>
      <c r="BZ29" s="93">
        <f t="shared" si="28"/>
        <v>21.264504909353235</v>
      </c>
      <c r="CA29" s="93"/>
      <c r="CB29" s="39">
        <f t="shared" si="29"/>
        <v>2.6461497895164943</v>
      </c>
      <c r="CC29" s="93">
        <v>24.360601420401576</v>
      </c>
      <c r="CD29" s="93">
        <v>-5.6900213912272246</v>
      </c>
      <c r="CE29" s="93">
        <v>7.2705240080694988</v>
      </c>
      <c r="CF29" s="93">
        <f t="shared" si="30"/>
        <v>1.5805026168422742</v>
      </c>
      <c r="CH29" s="39">
        <f t="shared" si="31"/>
        <v>2.6783758996457463</v>
      </c>
      <c r="CI29" s="93">
        <v>37.050128855405674</v>
      </c>
      <c r="CJ29" s="93">
        <v>3.896536363658667</v>
      </c>
      <c r="CK29" s="93">
        <v>11.209016818125267</v>
      </c>
      <c r="CL29" s="93">
        <f t="shared" si="32"/>
        <v>15.105553181783934</v>
      </c>
      <c r="CM29" s="106"/>
      <c r="CN29" s="39">
        <f t="shared" si="33"/>
        <v>2.8254837692558654</v>
      </c>
      <c r="CO29" s="93">
        <v>4.7906676023310046</v>
      </c>
      <c r="CP29" s="93">
        <v>3.0391175439671234</v>
      </c>
      <c r="CQ29" s="93">
        <v>1.5393315667599037</v>
      </c>
      <c r="CR29" s="93">
        <f t="shared" si="34"/>
        <v>4.5784491107270266</v>
      </c>
      <c r="CS29" s="90" t="str">
        <f t="shared" si="35"/>
        <v>Other services</v>
      </c>
      <c r="CT29" s="39">
        <f t="shared" si="36"/>
        <v>2.2533546481934286</v>
      </c>
      <c r="CU29" s="11">
        <v>4.1905992452099587</v>
      </c>
      <c r="CV29" s="93">
        <v>1.8665040524352257</v>
      </c>
      <c r="CW29" s="93">
        <v>1.046029429461087</v>
      </c>
      <c r="CX29" s="93">
        <f t="shared" si="37"/>
        <v>2.9125334818963129</v>
      </c>
      <c r="CY29" s="93"/>
      <c r="CZ29" s="39">
        <f t="shared" si="38"/>
        <v>2.2474701591650437</v>
      </c>
      <c r="DA29" s="93">
        <v>2.2124823918971015</v>
      </c>
      <c r="DB29" s="93">
        <v>-0.22230166986153393</v>
      </c>
      <c r="DC29" s="93">
        <v>0.55067444748871397</v>
      </c>
      <c r="DD29" s="93">
        <f t="shared" si="39"/>
        <v>0.32837277762718003</v>
      </c>
      <c r="DF29" s="39">
        <f t="shared" si="40"/>
        <v>2.2830190168655617</v>
      </c>
      <c r="DG29" s="93">
        <v>1.7105427064722503</v>
      </c>
      <c r="DH29" s="93">
        <v>1.1835295228418568</v>
      </c>
      <c r="DI29" s="93">
        <v>0.43318343843805091</v>
      </c>
      <c r="DJ29" s="93">
        <f t="shared" si="41"/>
        <v>1.6167129612799076</v>
      </c>
      <c r="DK29" s="106"/>
      <c r="DL29" s="39">
        <f t="shared" si="42"/>
        <v>2.1112277164391235</v>
      </c>
      <c r="DM29" s="93">
        <v>0.26757414684060715</v>
      </c>
      <c r="DN29" s="93">
        <v>0.90527619945490279</v>
      </c>
      <c r="DO29" s="93">
        <v>6.2171543534321853E-2</v>
      </c>
      <c r="DP29" s="93">
        <f t="shared" si="43"/>
        <v>0.96744774298922465</v>
      </c>
    </row>
    <row r="30" spans="1:120" x14ac:dyDescent="0.2">
      <c r="A30" s="90">
        <f>name!B26</f>
        <v>0</v>
      </c>
      <c r="B30" s="39">
        <f t="shared" si="1"/>
        <v>2.81853341281606</v>
      </c>
      <c r="C30" s="11">
        <v>3.6239999999999957</v>
      </c>
      <c r="D30" s="93">
        <v>0.24699999999999425</v>
      </c>
      <c r="E30" s="93">
        <v>1.161223619177874</v>
      </c>
      <c r="F30" s="93">
        <f t="shared" si="2"/>
        <v>1.4082236191778683</v>
      </c>
      <c r="G30" s="93"/>
      <c r="H30" s="39">
        <f t="shared" si="3"/>
        <v>2.6181998345442992</v>
      </c>
      <c r="I30" s="93">
        <v>0.8854137576985297</v>
      </c>
      <c r="J30" s="93">
        <v>-0.37920842251297887</v>
      </c>
      <c r="K30" s="93">
        <v>0.26112881202833382</v>
      </c>
      <c r="L30" s="93">
        <f t="shared" si="4"/>
        <v>-0.11807961048464505</v>
      </c>
      <c r="N30" s="39">
        <f t="shared" si="5"/>
        <v>2.6529788153066836</v>
      </c>
      <c r="O30" s="93">
        <v>1.3832584282800451</v>
      </c>
      <c r="P30" s="93">
        <v>0.23337200314420425</v>
      </c>
      <c r="Q30" s="93">
        <v>0.41403459662136033</v>
      </c>
      <c r="R30" s="93">
        <f t="shared" si="6"/>
        <v>0.64740659976556458</v>
      </c>
      <c r="S30" s="106"/>
      <c r="T30" s="39">
        <f t="shared" si="7"/>
        <v>3.1122102767148885</v>
      </c>
      <c r="U30" s="93">
        <v>1.3553278140214204</v>
      </c>
      <c r="V30" s="93">
        <v>0.39283641936876895</v>
      </c>
      <c r="W30" s="93">
        <v>0.48606021052817994</v>
      </c>
      <c r="X30" s="93">
        <f t="shared" si="8"/>
        <v>0.87889662989694894</v>
      </c>
      <c r="Y30" s="90">
        <f t="shared" si="0"/>
        <v>0</v>
      </c>
      <c r="Z30" s="39">
        <f t="shared" si="9"/>
        <v>2.9443653428279148</v>
      </c>
      <c r="AA30" s="11">
        <v>1.8811280324430137</v>
      </c>
      <c r="AB30" s="93">
        <v>0.12648602226143923</v>
      </c>
      <c r="AC30" s="93">
        <v>0.63332866226922047</v>
      </c>
      <c r="AD30" s="93">
        <f t="shared" si="10"/>
        <v>0.7598146845306597</v>
      </c>
      <c r="AE30" s="93"/>
      <c r="AF30" s="39">
        <f t="shared" si="11"/>
        <v>2.5616056481945648</v>
      </c>
      <c r="AG30" s="93">
        <v>0.39195326978431944</v>
      </c>
      <c r="AH30" s="93">
        <v>-0.20952388317933862</v>
      </c>
      <c r="AI30" s="93">
        <v>0.11280379340146277</v>
      </c>
      <c r="AJ30" s="93">
        <f t="shared" si="12"/>
        <v>-9.6720089777875856E-2</v>
      </c>
      <c r="AL30" s="39">
        <f t="shared" si="13"/>
        <v>2.6346340495356335</v>
      </c>
      <c r="AM30" s="93">
        <v>0.4129117991411031</v>
      </c>
      <c r="AN30" s="93">
        <v>-1.2440580648808345E-2</v>
      </c>
      <c r="AO30" s="93">
        <v>0.1226340711227917</v>
      </c>
      <c r="AP30" s="93">
        <f t="shared" si="14"/>
        <v>0.11019349047398336</v>
      </c>
      <c r="AQ30" s="106"/>
      <c r="AR30" s="39">
        <f t="shared" si="15"/>
        <v>3.1958990333170068</v>
      </c>
      <c r="AS30" s="93">
        <v>1.0762629635175913</v>
      </c>
      <c r="AT30" s="93">
        <v>0.34845048608958623</v>
      </c>
      <c r="AU30" s="93">
        <v>0.39789079774496594</v>
      </c>
      <c r="AV30" s="93">
        <f t="shared" si="16"/>
        <v>0.74634128383455223</v>
      </c>
      <c r="AW30" s="90">
        <f t="shared" si="17"/>
        <v>0</v>
      </c>
      <c r="AX30" s="39">
        <f t="shared" si="18"/>
        <v>2.6556901882889949</v>
      </c>
      <c r="AY30" s="11">
        <v>0.79016052016002847</v>
      </c>
      <c r="AZ30" s="93">
        <v>-5.5512159780558507E-3</v>
      </c>
      <c r="BA30" s="93">
        <v>0.23678073042517134</v>
      </c>
      <c r="BB30" s="93">
        <f t="shared" si="19"/>
        <v>0.23122951444711548</v>
      </c>
      <c r="BC30" s="93"/>
      <c r="BD30" s="39">
        <f t="shared" si="20"/>
        <v>2.6320188411371737</v>
      </c>
      <c r="BE30" s="93">
        <v>0.10890628043772764</v>
      </c>
      <c r="BF30" s="93">
        <v>-3.6714040606319942E-2</v>
      </c>
      <c r="BG30" s="93">
        <v>3.2308984136424024E-2</v>
      </c>
      <c r="BH30" s="93">
        <f t="shared" si="21"/>
        <v>-4.4050564698959183E-3</v>
      </c>
      <c r="BJ30" s="39">
        <f t="shared" si="22"/>
        <v>2.632798184440821</v>
      </c>
      <c r="BK30" s="93">
        <v>0.54343409949213617</v>
      </c>
      <c r="BL30" s="93">
        <v>6.5977065103502874E-2</v>
      </c>
      <c r="BM30" s="93">
        <v>0.16127289650651028</v>
      </c>
      <c r="BN30" s="93">
        <f t="shared" si="23"/>
        <v>0.22724996161001315</v>
      </c>
      <c r="BO30" s="106"/>
      <c r="BP30" s="39">
        <f t="shared" si="24"/>
        <v>2.7640342004974006</v>
      </c>
      <c r="BQ30" s="93">
        <v>0.13782014023016467</v>
      </c>
      <c r="BR30" s="93">
        <v>-3.4814240475238789E-2</v>
      </c>
      <c r="BS30" s="93">
        <v>4.319884978223705E-2</v>
      </c>
      <c r="BT30" s="93">
        <f t="shared" si="25"/>
        <v>8.3846093069982613E-3</v>
      </c>
      <c r="BU30" s="90">
        <f t="shared" si="26"/>
        <v>0</v>
      </c>
      <c r="BV30" s="39">
        <f t="shared" si="27"/>
        <v>2.7443857826882523</v>
      </c>
      <c r="BW30" s="11">
        <v>0.71149816309577474</v>
      </c>
      <c r="BX30" s="93">
        <v>0.24504437900903087</v>
      </c>
      <c r="BY30" s="93">
        <v>0.22122934558787391</v>
      </c>
      <c r="BZ30" s="93">
        <f t="shared" si="28"/>
        <v>0.46627372459690475</v>
      </c>
      <c r="CA30" s="93"/>
      <c r="CB30" s="39">
        <f t="shared" si="29"/>
        <v>2.6198589066564582</v>
      </c>
      <c r="CC30" s="93">
        <v>0.18443335988879814</v>
      </c>
      <c r="CD30" s="93">
        <v>-4.0323210155314967E-2</v>
      </c>
      <c r="CE30" s="93">
        <v>5.4432240278174497E-2</v>
      </c>
      <c r="CF30" s="93">
        <f t="shared" si="30"/>
        <v>1.410903012285953E-2</v>
      </c>
      <c r="CH30" s="39">
        <f t="shared" si="31"/>
        <v>2.782142672137855</v>
      </c>
      <c r="CI30" s="93">
        <v>0.38582009293331226</v>
      </c>
      <c r="CJ30" s="93">
        <v>0.20616741540992439</v>
      </c>
      <c r="CK30" s="93">
        <v>0.12182654230872253</v>
      </c>
      <c r="CL30" s="93">
        <f t="shared" si="32"/>
        <v>0.32799395771864692</v>
      </c>
      <c r="CM30" s="106"/>
      <c r="CN30" s="39">
        <f t="shared" si="33"/>
        <v>2.802650191366185</v>
      </c>
      <c r="CO30" s="93">
        <v>0.14124471027366434</v>
      </c>
      <c r="CP30" s="93">
        <v>7.9200173754421455E-2</v>
      </c>
      <c r="CQ30" s="93">
        <v>4.4970563000976925E-2</v>
      </c>
      <c r="CR30" s="93">
        <f t="shared" si="34"/>
        <v>0.12417073675539839</v>
      </c>
      <c r="CS30" s="90">
        <f t="shared" si="35"/>
        <v>0</v>
      </c>
      <c r="CT30" s="39">
        <f t="shared" si="36"/>
        <v>2.5769124618272299</v>
      </c>
      <c r="CU30" s="11">
        <v>0.24121328430117833</v>
      </c>
      <c r="CV30" s="93">
        <v>-0.11897918529242003</v>
      </c>
      <c r="CW30" s="93">
        <v>6.9884880895608265E-2</v>
      </c>
      <c r="CX30" s="93">
        <f t="shared" si="37"/>
        <v>-4.9094304396811769E-2</v>
      </c>
      <c r="CY30" s="93"/>
      <c r="CZ30" s="39">
        <f t="shared" si="38"/>
        <v>2.7192664271063816</v>
      </c>
      <c r="DA30" s="93">
        <v>0.20012084758768453</v>
      </c>
      <c r="DB30" s="93">
        <v>-9.2647288572005396E-2</v>
      </c>
      <c r="DC30" s="93">
        <v>6.1583794212272509E-2</v>
      </c>
      <c r="DD30" s="93">
        <f t="shared" si="39"/>
        <v>-3.1063494359732886E-2</v>
      </c>
      <c r="DF30" s="39">
        <f t="shared" si="40"/>
        <v>1.8569836908540527</v>
      </c>
      <c r="DG30" s="93">
        <v>4.1092436713493816E-2</v>
      </c>
      <c r="DH30" s="93">
        <v>-2.6331896720414642E-2</v>
      </c>
      <c r="DI30" s="93">
        <v>8.3010866833357552E-3</v>
      </c>
      <c r="DJ30" s="93">
        <f t="shared" si="41"/>
        <v>-1.8030810037078886E-2</v>
      </c>
      <c r="DK30" s="106"/>
      <c r="DL30" s="39">
        <f t="shared" si="42"/>
        <v>0</v>
      </c>
      <c r="DM30" s="93">
        <v>0</v>
      </c>
      <c r="DN30" s="93">
        <v>0</v>
      </c>
      <c r="DO30" s="93">
        <v>0</v>
      </c>
      <c r="DP30" s="93">
        <f t="shared" si="43"/>
        <v>0</v>
      </c>
    </row>
    <row r="31" spans="1:120" x14ac:dyDescent="0.2">
      <c r="A31" s="90">
        <f>name!B27</f>
        <v>0</v>
      </c>
      <c r="B31" s="39">
        <f t="shared" si="1"/>
        <v>2.6734729787020628</v>
      </c>
      <c r="C31" s="11">
        <v>5.3973840679838156</v>
      </c>
      <c r="D31" s="93">
        <v>1.1408021816129781</v>
      </c>
      <c r="E31" s="93">
        <v>1.6295494976716494</v>
      </c>
      <c r="F31" s="93">
        <f t="shared" si="2"/>
        <v>2.7703516792846274</v>
      </c>
      <c r="G31" s="93"/>
      <c r="H31" s="39">
        <f t="shared" si="3"/>
        <v>2.4242144760953321</v>
      </c>
      <c r="I31" s="93">
        <v>0.66792410715744144</v>
      </c>
      <c r="J31" s="93">
        <v>8.7081733597755159E-2</v>
      </c>
      <c r="K31" s="93">
        <v>0.18077459401533136</v>
      </c>
      <c r="L31" s="93">
        <f t="shared" si="4"/>
        <v>0.26785632761308653</v>
      </c>
      <c r="N31" s="39">
        <f t="shared" si="5"/>
        <v>2.609263332573919</v>
      </c>
      <c r="O31" s="93">
        <v>2.0775695012091084</v>
      </c>
      <c r="P31" s="93">
        <v>0.2544737074116219</v>
      </c>
      <c r="Q31" s="93">
        <v>0.6103809444492555</v>
      </c>
      <c r="R31" s="93">
        <f t="shared" si="6"/>
        <v>0.8648546518608774</v>
      </c>
      <c r="S31" s="106"/>
      <c r="T31" s="39">
        <f t="shared" si="7"/>
        <v>2.7851854419137734</v>
      </c>
      <c r="U31" s="93">
        <v>2.6518904596172663</v>
      </c>
      <c r="V31" s="93">
        <v>0.79924674060360146</v>
      </c>
      <c r="W31" s="93">
        <v>0.83839395920706195</v>
      </c>
      <c r="X31" s="93">
        <f t="shared" si="8"/>
        <v>1.6376406998106634</v>
      </c>
      <c r="Y31" s="90">
        <f t="shared" si="0"/>
        <v>0</v>
      </c>
      <c r="Z31" s="39">
        <f t="shared" si="9"/>
        <v>2.8165513572584899</v>
      </c>
      <c r="AA31" s="11">
        <v>2.214362158393115</v>
      </c>
      <c r="AB31" s="93">
        <v>0.76697330164247091</v>
      </c>
      <c r="AC31" s="93">
        <v>0.7089754858112105</v>
      </c>
      <c r="AD31" s="93">
        <f t="shared" si="10"/>
        <v>1.4759487874536814</v>
      </c>
      <c r="AE31" s="93"/>
      <c r="AF31" s="39">
        <f t="shared" si="11"/>
        <v>2.4947991741868014</v>
      </c>
      <c r="AG31" s="93">
        <v>9.3295900311954727E-2</v>
      </c>
      <c r="AH31" s="93">
        <v>7.3611029159494539E-3</v>
      </c>
      <c r="AI31" s="93">
        <v>2.6070156753053058E-2</v>
      </c>
      <c r="AJ31" s="93">
        <f t="shared" si="12"/>
        <v>3.3431259669002511E-2</v>
      </c>
      <c r="AL31" s="39">
        <f t="shared" si="13"/>
        <v>2.7753358006801676</v>
      </c>
      <c r="AM31" s="93">
        <v>0.4972447918516455</v>
      </c>
      <c r="AN31" s="93">
        <v>9.6394295735497987E-2</v>
      </c>
      <c r="AO31" s="93">
        <v>0.15657684325353696</v>
      </c>
      <c r="AP31" s="93">
        <f t="shared" si="14"/>
        <v>0.25297113898903495</v>
      </c>
      <c r="AQ31" s="106"/>
      <c r="AR31" s="39">
        <f t="shared" si="15"/>
        <v>2.8473360407721415</v>
      </c>
      <c r="AS31" s="93">
        <v>1.6238214662295147</v>
      </c>
      <c r="AT31" s="93">
        <v>0.66321790299102346</v>
      </c>
      <c r="AU31" s="93">
        <v>0.52632848580462055</v>
      </c>
      <c r="AV31" s="93">
        <f t="shared" si="16"/>
        <v>1.1895463887956441</v>
      </c>
      <c r="AW31" s="90">
        <f t="shared" si="17"/>
        <v>0</v>
      </c>
      <c r="AX31" s="39">
        <f t="shared" si="18"/>
        <v>2.6299606183572521</v>
      </c>
      <c r="AY31" s="11">
        <v>2.2783095768098032</v>
      </c>
      <c r="AZ31" s="93">
        <v>0.28087299486229567</v>
      </c>
      <c r="BA31" s="93">
        <v>0.67530864231188981</v>
      </c>
      <c r="BB31" s="93">
        <f t="shared" si="19"/>
        <v>0.95618163717418547</v>
      </c>
      <c r="BC31" s="93"/>
      <c r="BD31" s="39">
        <f t="shared" si="20"/>
        <v>2.5631080985660804</v>
      </c>
      <c r="BE31" s="93">
        <v>0.22101247964060855</v>
      </c>
      <c r="BF31" s="93">
        <v>-1.6947941898083588E-2</v>
      </c>
      <c r="BG31" s="93">
        <v>6.3648887364331108E-2</v>
      </c>
      <c r="BH31" s="93">
        <f t="shared" si="21"/>
        <v>4.670094546624752E-2</v>
      </c>
      <c r="BJ31" s="39">
        <f t="shared" si="22"/>
        <v>2.5856877347969265</v>
      </c>
      <c r="BK31" s="93">
        <v>1.1148096584511451</v>
      </c>
      <c r="BL31" s="93">
        <v>0.19268434666122614</v>
      </c>
      <c r="BM31" s="93">
        <v>0.32421576182958223</v>
      </c>
      <c r="BN31" s="93">
        <f t="shared" si="23"/>
        <v>0.51690010849080836</v>
      </c>
      <c r="BO31" s="106"/>
      <c r="BP31" s="39">
        <f t="shared" si="24"/>
        <v>2.6976564051442775</v>
      </c>
      <c r="BQ31" s="93">
        <v>0.94248743871804974</v>
      </c>
      <c r="BR31" s="93">
        <v>0.10513659009915316</v>
      </c>
      <c r="BS31" s="93">
        <v>0.28744399311797653</v>
      </c>
      <c r="BT31" s="93">
        <f t="shared" si="25"/>
        <v>0.39258058321712969</v>
      </c>
      <c r="BU31" s="90">
        <f t="shared" si="26"/>
        <v>0</v>
      </c>
      <c r="BV31" s="39">
        <f t="shared" si="27"/>
        <v>2.6073314286228833</v>
      </c>
      <c r="BW31" s="11">
        <v>0.44551231145339021</v>
      </c>
      <c r="BX31" s="93">
        <v>-8.3373030656131442E-3</v>
      </c>
      <c r="BY31" s="93">
        <v>0.13078107806231981</v>
      </c>
      <c r="BZ31" s="93">
        <f t="shared" si="28"/>
        <v>0.12244377499670667</v>
      </c>
      <c r="CA31" s="93"/>
      <c r="CB31" s="39">
        <f t="shared" si="29"/>
        <v>2.4365291604826034</v>
      </c>
      <c r="CC31" s="93">
        <v>8.6276945213152031E-2</v>
      </c>
      <c r="CD31" s="93">
        <v>-4.2074055456051036E-2</v>
      </c>
      <c r="CE31" s="93">
        <v>2.3482855274529982E-2</v>
      </c>
      <c r="CF31" s="93">
        <f t="shared" si="30"/>
        <v>-1.8591200181521054E-2</v>
      </c>
      <c r="CH31" s="39">
        <f t="shared" si="31"/>
        <v>2.6262299218310803</v>
      </c>
      <c r="CI31" s="93">
        <v>0.29498731949520918</v>
      </c>
      <c r="CJ31" s="93">
        <v>2.0855293533474064E-2</v>
      </c>
      <c r="CK31" s="93">
        <v>8.7297539162572352E-2</v>
      </c>
      <c r="CL31" s="93">
        <f t="shared" si="32"/>
        <v>0.10815283269604642</v>
      </c>
      <c r="CM31" s="106"/>
      <c r="CN31" s="39">
        <f t="shared" si="33"/>
        <v>2.7472823291570414</v>
      </c>
      <c r="CO31" s="93">
        <v>6.4248046745029E-2</v>
      </c>
      <c r="CP31" s="93">
        <v>1.2881458856963826E-2</v>
      </c>
      <c r="CQ31" s="93">
        <v>2.000068362521747E-2</v>
      </c>
      <c r="CR31" s="93">
        <f t="shared" si="34"/>
        <v>3.2882142482181298E-2</v>
      </c>
      <c r="CS31" s="90">
        <f t="shared" si="35"/>
        <v>0</v>
      </c>
      <c r="CT31" s="39">
        <f t="shared" si="36"/>
        <v>2.2508925088840614</v>
      </c>
      <c r="CU31" s="11">
        <v>0.45920002132750753</v>
      </c>
      <c r="CV31" s="93">
        <v>0.10129318817382489</v>
      </c>
      <c r="CW31" s="93">
        <v>0.11448429148622874</v>
      </c>
      <c r="CX31" s="93">
        <f t="shared" si="37"/>
        <v>0.21577747966005362</v>
      </c>
      <c r="CY31" s="93"/>
      <c r="CZ31" s="39">
        <f t="shared" si="38"/>
        <v>2.2790784934704211</v>
      </c>
      <c r="DA31" s="93">
        <v>0.26733878199172612</v>
      </c>
      <c r="DB31" s="93">
        <v>0.13874262803594034</v>
      </c>
      <c r="DC31" s="93">
        <v>6.7572694623417223E-2</v>
      </c>
      <c r="DD31" s="93">
        <f t="shared" si="39"/>
        <v>0.20631532265935756</v>
      </c>
      <c r="DF31" s="39">
        <f t="shared" si="40"/>
        <v>2.2401417134240154</v>
      </c>
      <c r="DG31" s="93">
        <v>0.17052773141110822</v>
      </c>
      <c r="DH31" s="93">
        <v>-5.5460228518576328E-2</v>
      </c>
      <c r="DI31" s="93">
        <v>4.2290800203563968E-2</v>
      </c>
      <c r="DJ31" s="93">
        <f t="shared" si="41"/>
        <v>-1.316942831501236E-2</v>
      </c>
      <c r="DK31" s="106"/>
      <c r="DL31" s="39">
        <f t="shared" si="42"/>
        <v>1.9799306613629053</v>
      </c>
      <c r="DM31" s="93">
        <v>2.1333507924673225E-2</v>
      </c>
      <c r="DN31" s="93">
        <v>1.8010788656460896E-2</v>
      </c>
      <c r="DO31" s="93">
        <v>4.6207966592475454E-3</v>
      </c>
      <c r="DP31" s="93">
        <f t="shared" si="43"/>
        <v>2.2631585315708441E-2</v>
      </c>
    </row>
    <row r="32" spans="1:120" x14ac:dyDescent="0.2">
      <c r="A32" s="90">
        <f>name!B28</f>
        <v>0</v>
      </c>
      <c r="B32" s="39">
        <f t="shared" si="1"/>
        <v>2.7212419765566098</v>
      </c>
      <c r="C32" s="11">
        <v>123.7608458367669</v>
      </c>
      <c r="D32" s="93">
        <v>13.119074771958418</v>
      </c>
      <c r="E32" s="93">
        <v>38.116429497024313</v>
      </c>
      <c r="F32" s="93">
        <f t="shared" si="2"/>
        <v>51.23550426898273</v>
      </c>
      <c r="G32" s="93"/>
      <c r="H32" s="39">
        <f t="shared" si="3"/>
        <v>2.5243885852895165</v>
      </c>
      <c r="I32" s="93">
        <v>26.847077802333636</v>
      </c>
      <c r="J32" s="93">
        <v>-7.8031435741815161</v>
      </c>
      <c r="K32" s="93">
        <v>7.6013099907891046</v>
      </c>
      <c r="L32" s="93">
        <f t="shared" si="4"/>
        <v>-0.20183358339241142</v>
      </c>
      <c r="N32" s="39">
        <f t="shared" si="5"/>
        <v>2.6624455318525975</v>
      </c>
      <c r="O32" s="93">
        <v>63.941359181744446</v>
      </c>
      <c r="P32" s="93">
        <v>7.8349731558739144</v>
      </c>
      <c r="Q32" s="93">
        <v>19.215469387990549</v>
      </c>
      <c r="R32" s="93">
        <f t="shared" si="6"/>
        <v>27.050442543864463</v>
      </c>
      <c r="S32" s="106"/>
      <c r="T32" s="39">
        <f t="shared" si="7"/>
        <v>2.9906749697417023</v>
      </c>
      <c r="U32" s="93">
        <v>32.972408852688829</v>
      </c>
      <c r="V32" s="93">
        <v>13.087245190266019</v>
      </c>
      <c r="W32" s="93">
        <v>11.299650118244649</v>
      </c>
      <c r="X32" s="93">
        <f t="shared" si="8"/>
        <v>24.386895308510667</v>
      </c>
      <c r="Y32" s="90">
        <f t="shared" si="0"/>
        <v>0</v>
      </c>
      <c r="Z32" s="39">
        <f t="shared" si="9"/>
        <v>3.0765850108950499</v>
      </c>
      <c r="AA32" s="11">
        <v>38.83635765848959</v>
      </c>
      <c r="AB32" s="93">
        <v>9.7986800365741935</v>
      </c>
      <c r="AC32" s="93">
        <v>13.745837027625093</v>
      </c>
      <c r="AD32" s="93">
        <f t="shared" si="10"/>
        <v>23.544517064199287</v>
      </c>
      <c r="AE32" s="93"/>
      <c r="AF32" s="39">
        <f t="shared" si="11"/>
        <v>3.0191901547181432</v>
      </c>
      <c r="AG32" s="93">
        <v>2.7303033528832836</v>
      </c>
      <c r="AH32" s="93">
        <v>7.5430584829441968E-2</v>
      </c>
      <c r="AI32" s="93">
        <v>0.94583812987341553</v>
      </c>
      <c r="AJ32" s="93">
        <f t="shared" si="12"/>
        <v>1.0212687147028574</v>
      </c>
      <c r="AL32" s="39">
        <f t="shared" si="13"/>
        <v>3.0173281094963533</v>
      </c>
      <c r="AM32" s="93">
        <v>15.834000720976697</v>
      </c>
      <c r="AN32" s="93">
        <v>4.2727073292572078</v>
      </c>
      <c r="AO32" s="93">
        <v>5.4813988049700901</v>
      </c>
      <c r="AP32" s="93">
        <f t="shared" si="14"/>
        <v>9.7541061342272979</v>
      </c>
      <c r="AQ32" s="106"/>
      <c r="AR32" s="39">
        <f t="shared" si="15"/>
        <v>3.1303340410858471</v>
      </c>
      <c r="AS32" s="93">
        <v>20.272053584629607</v>
      </c>
      <c r="AT32" s="93">
        <v>5.4505421224875432</v>
      </c>
      <c r="AU32" s="93">
        <v>7.3186000927815886</v>
      </c>
      <c r="AV32" s="93">
        <f t="shared" si="16"/>
        <v>12.769142215269131</v>
      </c>
      <c r="AW32" s="90">
        <f t="shared" si="17"/>
        <v>0</v>
      </c>
      <c r="AX32" s="39">
        <f t="shared" si="18"/>
        <v>2.6584881857450782</v>
      </c>
      <c r="AY32" s="11">
        <v>47.806403154901318</v>
      </c>
      <c r="AZ32" s="93">
        <v>-7.0421609841178725</v>
      </c>
      <c r="BA32" s="93">
        <v>14.342678022761262</v>
      </c>
      <c r="BB32" s="93">
        <f t="shared" si="19"/>
        <v>7.30051703864339</v>
      </c>
      <c r="BC32" s="93"/>
      <c r="BD32" s="39">
        <f t="shared" si="20"/>
        <v>2.6161806421257428</v>
      </c>
      <c r="BE32" s="93">
        <v>10.847301910693686</v>
      </c>
      <c r="BF32" s="93">
        <v>-4.5098176413100948</v>
      </c>
      <c r="BG32" s="93">
        <v>3.196354334448817</v>
      </c>
      <c r="BH32" s="93">
        <f t="shared" si="21"/>
        <v>-1.3134633068612778</v>
      </c>
      <c r="BJ32" s="39">
        <f t="shared" si="22"/>
        <v>2.6374751567947108</v>
      </c>
      <c r="BK32" s="93">
        <v>28.371369231702417</v>
      </c>
      <c r="BL32" s="93">
        <v>-3.0931884379730161</v>
      </c>
      <c r="BM32" s="93">
        <v>8.4364337781793513</v>
      </c>
      <c r="BN32" s="93">
        <f t="shared" si="23"/>
        <v>5.3432453402063356</v>
      </c>
      <c r="BO32" s="106"/>
      <c r="BP32" s="39">
        <f t="shared" si="24"/>
        <v>2.7805305911498435</v>
      </c>
      <c r="BQ32" s="93">
        <v>8.5877320125052172</v>
      </c>
      <c r="BR32" s="93">
        <v>0.56084509516523873</v>
      </c>
      <c r="BS32" s="93">
        <v>2.7098899101330933</v>
      </c>
      <c r="BT32" s="93">
        <f t="shared" si="25"/>
        <v>3.2707350052983322</v>
      </c>
      <c r="BU32" s="90">
        <f t="shared" si="26"/>
        <v>0</v>
      </c>
      <c r="BV32" s="39">
        <f t="shared" si="27"/>
        <v>2.6565095608896083</v>
      </c>
      <c r="BW32" s="11">
        <v>19.849533341962385</v>
      </c>
      <c r="BX32" s="93">
        <v>1.9836189361300114</v>
      </c>
      <c r="BY32" s="93">
        <v>5.9502012149531671</v>
      </c>
      <c r="BZ32" s="93">
        <f t="shared" si="28"/>
        <v>7.9338201510831787</v>
      </c>
      <c r="CA32" s="93"/>
      <c r="CB32" s="39">
        <f t="shared" si="29"/>
        <v>2.6205599538537738</v>
      </c>
      <c r="CC32" s="93">
        <v>6.8203543745401731</v>
      </c>
      <c r="CD32" s="93">
        <v>-1.6267924145713057</v>
      </c>
      <c r="CE32" s="93">
        <v>2.0135102832400635</v>
      </c>
      <c r="CF32" s="93">
        <f t="shared" si="30"/>
        <v>0.38671786866875779</v>
      </c>
      <c r="CH32" s="39">
        <f t="shared" si="31"/>
        <v>2.6438862721386736</v>
      </c>
      <c r="CI32" s="93">
        <v>10.586487257709154</v>
      </c>
      <c r="CJ32" s="93">
        <v>1.7602610215326151</v>
      </c>
      <c r="CK32" s="93">
        <v>3.1565507372840993</v>
      </c>
      <c r="CL32" s="93">
        <f t="shared" si="32"/>
        <v>4.9168117588167144</v>
      </c>
      <c r="CM32" s="106"/>
      <c r="CN32" s="39">
        <f t="shared" si="33"/>
        <v>2.8103646649090264</v>
      </c>
      <c r="CO32" s="93">
        <v>2.4426917097130554</v>
      </c>
      <c r="CP32" s="93">
        <v>1.850150329168702</v>
      </c>
      <c r="CQ32" s="93">
        <v>0.78014019442900417</v>
      </c>
      <c r="CR32" s="93">
        <f t="shared" si="34"/>
        <v>2.6302905235977061</v>
      </c>
      <c r="CS32" s="90">
        <f t="shared" si="35"/>
        <v>0</v>
      </c>
      <c r="CT32" s="39">
        <f t="shared" si="36"/>
        <v>2.1425269866725216</v>
      </c>
      <c r="CU32" s="11">
        <v>17.268551681413616</v>
      </c>
      <c r="CV32" s="93">
        <v>8.3789367833720867</v>
      </c>
      <c r="CW32" s="93">
        <v>4.0777132316847844</v>
      </c>
      <c r="CX32" s="93">
        <f t="shared" si="37"/>
        <v>12.456650015056871</v>
      </c>
      <c r="CY32" s="93"/>
      <c r="CZ32" s="39">
        <f t="shared" si="38"/>
        <v>2.0431060525095246</v>
      </c>
      <c r="DA32" s="93">
        <v>6.4491181642164932</v>
      </c>
      <c r="DB32" s="93">
        <v>-1.7419641031295572</v>
      </c>
      <c r="DC32" s="93">
        <v>1.4456072432268086</v>
      </c>
      <c r="DD32" s="93">
        <f t="shared" si="39"/>
        <v>-0.29635685990274863</v>
      </c>
      <c r="DF32" s="39">
        <f t="shared" si="40"/>
        <v>2.1249626362792373</v>
      </c>
      <c r="DG32" s="93">
        <v>9.1495019713561767</v>
      </c>
      <c r="DH32" s="93">
        <v>4.8951932430571077</v>
      </c>
      <c r="DI32" s="93">
        <v>2.1410860675570116</v>
      </c>
      <c r="DJ32" s="93">
        <f t="shared" si="41"/>
        <v>7.0362793106141197</v>
      </c>
      <c r="DK32" s="106"/>
      <c r="DL32" s="39">
        <f t="shared" si="42"/>
        <v>2.6111687821135154</v>
      </c>
      <c r="DM32" s="93">
        <v>1.6699315458409487</v>
      </c>
      <c r="DN32" s="93">
        <v>5.2257076434445349</v>
      </c>
      <c r="DO32" s="93">
        <v>0.49101992090096452</v>
      </c>
      <c r="DP32" s="93">
        <f t="shared" si="43"/>
        <v>5.7167275643454998</v>
      </c>
    </row>
    <row r="33" spans="1:120" x14ac:dyDescent="0.2">
      <c r="A33" s="90">
        <f>name!B29</f>
        <v>0</v>
      </c>
      <c r="B33" s="39">
        <f t="shared" si="1"/>
        <v>3.0653273318685947</v>
      </c>
      <c r="C33" s="11">
        <v>154.97099999999972</v>
      </c>
      <c r="D33" s="93">
        <v>3.3030000000000879</v>
      </c>
      <c r="E33" s="93">
        <v>54.621773436017577</v>
      </c>
      <c r="F33" s="93">
        <f t="shared" si="2"/>
        <v>57.924773436017666</v>
      </c>
      <c r="G33" s="93"/>
      <c r="H33" s="39">
        <f t="shared" si="3"/>
        <v>2.9436319407800893</v>
      </c>
      <c r="I33" s="93">
        <v>50.957790570188273</v>
      </c>
      <c r="J33" s="93">
        <v>-5.207332958391917</v>
      </c>
      <c r="K33" s="93">
        <v>17.151358481765701</v>
      </c>
      <c r="L33" s="93">
        <f t="shared" si="4"/>
        <v>11.944025523373785</v>
      </c>
      <c r="N33" s="39">
        <f t="shared" si="5"/>
        <v>3.080091904459592</v>
      </c>
      <c r="O33" s="93">
        <v>82.75191339584687</v>
      </c>
      <c r="P33" s="93">
        <v>5.6365125249630674</v>
      </c>
      <c r="Q33" s="93">
        <v>29.327542834156286</v>
      </c>
      <c r="R33" s="93">
        <f t="shared" si="6"/>
        <v>34.964055359119357</v>
      </c>
      <c r="S33" s="106"/>
      <c r="T33" s="39">
        <f t="shared" si="7"/>
        <v>3.2956222869682472</v>
      </c>
      <c r="U33" s="93">
        <v>21.261296033964598</v>
      </c>
      <c r="V33" s="93">
        <v>2.873820433428937</v>
      </c>
      <c r="W33" s="93">
        <v>8.1428721200955785</v>
      </c>
      <c r="X33" s="93">
        <f t="shared" si="8"/>
        <v>11.016692553524516</v>
      </c>
      <c r="Y33" s="90">
        <f t="shared" si="0"/>
        <v>0</v>
      </c>
      <c r="Z33" s="39">
        <f t="shared" si="9"/>
        <v>4.0504340600003408</v>
      </c>
      <c r="AA33" s="11">
        <v>43.296648877844632</v>
      </c>
      <c r="AB33" s="93">
        <v>-7.3473712231151156</v>
      </c>
      <c r="AC33" s="93">
        <v>21.104445332065058</v>
      </c>
      <c r="AD33" s="93">
        <f t="shared" si="10"/>
        <v>13.757074108949944</v>
      </c>
      <c r="AE33" s="93"/>
      <c r="AF33" s="39">
        <f t="shared" si="11"/>
        <v>4.0754800931313673</v>
      </c>
      <c r="AG33" s="93">
        <v>10.106732188154798</v>
      </c>
      <c r="AH33" s="93">
        <v>-4.7657768055697005</v>
      </c>
      <c r="AI33" s="93">
        <v>4.9626340231866539</v>
      </c>
      <c r="AJ33" s="93">
        <f t="shared" si="12"/>
        <v>0.19685721761695341</v>
      </c>
      <c r="AL33" s="39">
        <f t="shared" si="13"/>
        <v>4.032928627335286</v>
      </c>
      <c r="AM33" s="93">
        <v>24.904995907126381</v>
      </c>
      <c r="AN33" s="93">
        <v>-2.8493267756162344</v>
      </c>
      <c r="AO33" s="93">
        <v>12.077372396997415</v>
      </c>
      <c r="AP33" s="93">
        <f t="shared" si="14"/>
        <v>9.228045621381181</v>
      </c>
      <c r="AQ33" s="106"/>
      <c r="AR33" s="39">
        <f t="shared" si="15"/>
        <v>4.0724091362593917</v>
      </c>
      <c r="AS33" s="93">
        <v>8.2849207825634537</v>
      </c>
      <c r="AT33" s="93">
        <v>0.26773235807081874</v>
      </c>
      <c r="AU33" s="93">
        <v>4.0644389118809876</v>
      </c>
      <c r="AV33" s="93">
        <f t="shared" si="16"/>
        <v>4.3321712699518065</v>
      </c>
      <c r="AW33" s="90">
        <f t="shared" si="17"/>
        <v>0</v>
      </c>
      <c r="AX33" s="39">
        <f t="shared" si="18"/>
        <v>2.5547598396461035</v>
      </c>
      <c r="AY33" s="11">
        <v>78.997845710276223</v>
      </c>
      <c r="AZ33" s="93">
        <v>9.7021663700437788</v>
      </c>
      <c r="BA33" s="93">
        <v>22.667623064076533</v>
      </c>
      <c r="BB33" s="93">
        <f t="shared" si="19"/>
        <v>32.369789434120314</v>
      </c>
      <c r="BC33" s="93"/>
      <c r="BD33" s="39">
        <f t="shared" si="20"/>
        <v>2.5174195387168252</v>
      </c>
      <c r="BE33" s="93">
        <v>26.37395315468379</v>
      </c>
      <c r="BF33" s="93">
        <v>1.6686028083983007</v>
      </c>
      <c r="BG33" s="93">
        <v>7.4443560709851919</v>
      </c>
      <c r="BH33" s="93">
        <f t="shared" si="21"/>
        <v>9.112958879383493</v>
      </c>
      <c r="BJ33" s="39">
        <f t="shared" si="22"/>
        <v>2.5486671581746334</v>
      </c>
      <c r="BK33" s="93">
        <v>42.663657472306795</v>
      </c>
      <c r="BL33" s="93">
        <v>6.2773062085895344</v>
      </c>
      <c r="BM33" s="93">
        <v>12.209289576322305</v>
      </c>
      <c r="BN33" s="93">
        <f t="shared" si="23"/>
        <v>18.486595784911842</v>
      </c>
      <c r="BO33" s="106"/>
      <c r="BP33" s="39">
        <f t="shared" si="24"/>
        <v>2.6788844840362147</v>
      </c>
      <c r="BQ33" s="93">
        <v>9.9602350832856388</v>
      </c>
      <c r="BR33" s="93">
        <v>1.7562573530559429</v>
      </c>
      <c r="BS33" s="93">
        <v>3.0139774167690323</v>
      </c>
      <c r="BT33" s="93">
        <f t="shared" si="25"/>
        <v>4.7702347698249756</v>
      </c>
      <c r="BU33" s="90">
        <f t="shared" si="26"/>
        <v>0</v>
      </c>
      <c r="BV33" s="39">
        <f t="shared" si="27"/>
        <v>2.6173395636761576</v>
      </c>
      <c r="BW33" s="11">
        <v>3.1913404184740064</v>
      </c>
      <c r="BX33" s="93">
        <v>1.1226335486044625</v>
      </c>
      <c r="BY33" s="93">
        <v>0.94085301244670572</v>
      </c>
      <c r="BZ33" s="93">
        <f t="shared" si="28"/>
        <v>2.0634865610511683</v>
      </c>
      <c r="CA33" s="93"/>
      <c r="CB33" s="39">
        <f t="shared" si="29"/>
        <v>2.5929383707474774</v>
      </c>
      <c r="CC33" s="93">
        <v>1.3470262007787908</v>
      </c>
      <c r="CD33" s="93">
        <v>-0.26599294418410591</v>
      </c>
      <c r="CE33" s="93">
        <v>0.39297973448013812</v>
      </c>
      <c r="CF33" s="93">
        <f t="shared" si="30"/>
        <v>0.12698679029603221</v>
      </c>
      <c r="CH33" s="39">
        <f t="shared" si="31"/>
        <v>2.6512654768499289</v>
      </c>
      <c r="CI33" s="93">
        <v>1.6842985207880887</v>
      </c>
      <c r="CJ33" s="93">
        <v>1.2839192112138034</v>
      </c>
      <c r="CK33" s="93">
        <v>0.50377617701394806</v>
      </c>
      <c r="CL33" s="93">
        <f t="shared" si="32"/>
        <v>1.7876953882277515</v>
      </c>
      <c r="CM33" s="106"/>
      <c r="CN33" s="39">
        <f t="shared" si="33"/>
        <v>2.4638723480357561</v>
      </c>
      <c r="CO33" s="93">
        <v>0.16001569690712689</v>
      </c>
      <c r="CP33" s="93">
        <v>0.10470728157476483</v>
      </c>
      <c r="CQ33" s="93">
        <v>4.4097100952619553E-2</v>
      </c>
      <c r="CR33" s="93">
        <f t="shared" si="34"/>
        <v>0.14880438252738437</v>
      </c>
      <c r="CS33" s="90">
        <f t="shared" si="35"/>
        <v>0</v>
      </c>
      <c r="CT33" s="39">
        <f t="shared" si="36"/>
        <v>2.939646040038868</v>
      </c>
      <c r="CU33" s="11">
        <v>29.485164993404876</v>
      </c>
      <c r="CV33" s="93">
        <v>-0.17442869553303728</v>
      </c>
      <c r="CW33" s="93">
        <v>9.9088520274292744</v>
      </c>
      <c r="CX33" s="93">
        <f t="shared" si="37"/>
        <v>9.7344233318962363</v>
      </c>
      <c r="CY33" s="93"/>
      <c r="CZ33" s="39">
        <f t="shared" si="38"/>
        <v>2.9037153176336705</v>
      </c>
      <c r="DA33" s="93">
        <v>13.13007902657089</v>
      </c>
      <c r="DB33" s="93">
        <v>-1.8441660170364109</v>
      </c>
      <c r="DC33" s="93">
        <v>4.3513886531137187</v>
      </c>
      <c r="DD33" s="93">
        <f t="shared" si="39"/>
        <v>2.5072226360773078</v>
      </c>
      <c r="DF33" s="39">
        <f t="shared" si="40"/>
        <v>2.9399957923162523</v>
      </c>
      <c r="DG33" s="93">
        <v>13.498961495625606</v>
      </c>
      <c r="DH33" s="93">
        <v>0.92461388077596329</v>
      </c>
      <c r="DI33" s="93">
        <v>4.5371046838226157</v>
      </c>
      <c r="DJ33" s="93">
        <f t="shared" si="41"/>
        <v>5.4617185645985789</v>
      </c>
      <c r="DK33" s="106"/>
      <c r="DL33" s="39">
        <f t="shared" si="42"/>
        <v>3.1017595685842725</v>
      </c>
      <c r="DM33" s="93">
        <v>2.856124471208378</v>
      </c>
      <c r="DN33" s="93">
        <v>0.74512344072741044</v>
      </c>
      <c r="DO33" s="93">
        <v>1.0203586904929389</v>
      </c>
      <c r="DP33" s="93">
        <f t="shared" si="43"/>
        <v>1.7654821312203492</v>
      </c>
    </row>
    <row r="34" spans="1:120" x14ac:dyDescent="0.2">
      <c r="A34" s="90">
        <f>name!B30</f>
        <v>0</v>
      </c>
      <c r="B34" s="39">
        <f t="shared" si="1"/>
        <v>2.9160956930703641</v>
      </c>
      <c r="C34" s="11">
        <v>23.473999999999943</v>
      </c>
      <c r="D34" s="93">
        <v>1.4800000000000508</v>
      </c>
      <c r="E34" s="93">
        <v>7.8170489049169243</v>
      </c>
      <c r="F34" s="93">
        <f t="shared" si="2"/>
        <v>9.2970489049169753</v>
      </c>
      <c r="G34" s="93"/>
      <c r="H34" s="39">
        <f t="shared" si="3"/>
        <v>2.8413998152179376</v>
      </c>
      <c r="I34" s="93">
        <v>1.0959429864268337</v>
      </c>
      <c r="J34" s="93">
        <v>-0.1037259015403591</v>
      </c>
      <c r="K34" s="93">
        <v>0.35439010241011099</v>
      </c>
      <c r="L34" s="93">
        <f t="shared" si="4"/>
        <v>0.25066420086975189</v>
      </c>
      <c r="N34" s="39">
        <f t="shared" si="5"/>
        <v>2.7368083593868553</v>
      </c>
      <c r="O34" s="93">
        <v>5.7095877901633001</v>
      </c>
      <c r="P34" s="93">
        <v>-0.37327834266091714</v>
      </c>
      <c r="Q34" s="93">
        <v>1.7697896880944277</v>
      </c>
      <c r="R34" s="93">
        <f t="shared" si="6"/>
        <v>1.3965113454335105</v>
      </c>
      <c r="S34" s="106"/>
      <c r="T34" s="39">
        <f t="shared" si="7"/>
        <v>2.9817357423914226</v>
      </c>
      <c r="U34" s="93">
        <v>16.668469223409804</v>
      </c>
      <c r="V34" s="93">
        <v>1.9570042442013271</v>
      </c>
      <c r="W34" s="93">
        <v>5.6928691144123853</v>
      </c>
      <c r="X34" s="93">
        <f t="shared" si="8"/>
        <v>7.6498733586137124</v>
      </c>
      <c r="Y34" s="90">
        <f t="shared" si="0"/>
        <v>0</v>
      </c>
      <c r="Z34" s="39">
        <f t="shared" si="9"/>
        <v>2.9622047611067126</v>
      </c>
      <c r="AA34" s="11">
        <v>19.751750114413298</v>
      </c>
      <c r="AB34" s="93">
        <v>1.9847428369989049</v>
      </c>
      <c r="AC34" s="93">
        <v>6.6957068627363743</v>
      </c>
      <c r="AD34" s="93">
        <f t="shared" si="10"/>
        <v>8.6804496997352789</v>
      </c>
      <c r="AE34" s="93"/>
      <c r="AF34" s="39">
        <f t="shared" si="11"/>
        <v>2.8503434562277441</v>
      </c>
      <c r="AG34" s="93">
        <v>0.53141404120681335</v>
      </c>
      <c r="AH34" s="93">
        <v>5.7773207866578854E-3</v>
      </c>
      <c r="AI34" s="93">
        <v>0.17245277094298822</v>
      </c>
      <c r="AJ34" s="93">
        <f t="shared" si="12"/>
        <v>0.1782300917296461</v>
      </c>
      <c r="AL34" s="39">
        <f t="shared" si="13"/>
        <v>2.8052118952712313</v>
      </c>
      <c r="AM34" s="93">
        <v>3.8176590294715562</v>
      </c>
      <c r="AN34" s="93">
        <v>-9.3651610208796005E-2</v>
      </c>
      <c r="AO34" s="93">
        <v>1.2167495955135688</v>
      </c>
      <c r="AP34" s="93">
        <f t="shared" si="14"/>
        <v>1.1230979853047727</v>
      </c>
      <c r="AQ34" s="106"/>
      <c r="AR34" s="39">
        <f t="shared" si="15"/>
        <v>3.0046124829515852</v>
      </c>
      <c r="AS34" s="93">
        <v>15.402677043734929</v>
      </c>
      <c r="AT34" s="93">
        <v>2.0726171264210431</v>
      </c>
      <c r="AU34" s="93">
        <v>5.3065044962798176</v>
      </c>
      <c r="AV34" s="93">
        <f t="shared" si="16"/>
        <v>7.3791216227008611</v>
      </c>
      <c r="AW34" s="90">
        <f t="shared" si="17"/>
        <v>0</v>
      </c>
      <c r="AX34" s="39">
        <f t="shared" si="18"/>
        <v>2.6373612310459427</v>
      </c>
      <c r="AY34" s="11">
        <v>2.374731535280187</v>
      </c>
      <c r="AZ34" s="93">
        <v>-0.52610301968475415</v>
      </c>
      <c r="BA34" s="93">
        <v>0.70610956275344761</v>
      </c>
      <c r="BB34" s="93">
        <f t="shared" si="19"/>
        <v>0.18000654306869346</v>
      </c>
      <c r="BC34" s="93"/>
      <c r="BD34" s="39">
        <f t="shared" si="20"/>
        <v>2.6142974667533903</v>
      </c>
      <c r="BE34" s="93">
        <v>0.19374258077031151</v>
      </c>
      <c r="BF34" s="93">
        <v>-6.9067346278153099E-2</v>
      </c>
      <c r="BG34" s="93">
        <v>5.7043738869553398E-2</v>
      </c>
      <c r="BH34" s="93">
        <f t="shared" si="21"/>
        <v>-1.2023607408599701E-2</v>
      </c>
      <c r="BJ34" s="39">
        <f t="shared" si="22"/>
        <v>2.5779959595980673</v>
      </c>
      <c r="BK34" s="93">
        <v>1.3032102618231316</v>
      </c>
      <c r="BL34" s="93">
        <v>-0.29057782168208351</v>
      </c>
      <c r="BM34" s="93">
        <v>0.37774669225068269</v>
      </c>
      <c r="BN34" s="93">
        <f t="shared" si="23"/>
        <v>8.7168870568599177E-2</v>
      </c>
      <c r="BO34" s="106"/>
      <c r="BP34" s="39">
        <f t="shared" si="24"/>
        <v>2.7299783965388569</v>
      </c>
      <c r="BQ34" s="93">
        <v>0.87777869268674391</v>
      </c>
      <c r="BR34" s="93">
        <v>-0.16645785172451752</v>
      </c>
      <c r="BS34" s="93">
        <v>0.27131913163321136</v>
      </c>
      <c r="BT34" s="93">
        <f t="shared" si="25"/>
        <v>0.10486127990869384</v>
      </c>
      <c r="BU34" s="90">
        <f t="shared" si="26"/>
        <v>0</v>
      </c>
      <c r="BV34" s="39">
        <f t="shared" si="27"/>
        <v>2.6468617353205159</v>
      </c>
      <c r="BW34" s="11">
        <v>1.0085113638560528</v>
      </c>
      <c r="BX34" s="93">
        <v>-2.6892226884003306E-2</v>
      </c>
      <c r="BY34" s="93">
        <v>0.30108528970707676</v>
      </c>
      <c r="BZ34" s="93">
        <f t="shared" si="28"/>
        <v>0.27419306282307343</v>
      </c>
      <c r="CA34" s="93"/>
      <c r="CB34" s="39">
        <f t="shared" si="29"/>
        <v>2.9715317472071456</v>
      </c>
      <c r="CC34" s="93">
        <v>0.11005468485323042</v>
      </c>
      <c r="CD34" s="93">
        <v>-1.7792453645316623E-2</v>
      </c>
      <c r="CE34" s="93">
        <v>3.7441322944962968E-2</v>
      </c>
      <c r="CF34" s="93">
        <f t="shared" si="30"/>
        <v>1.9648869299646345E-2</v>
      </c>
      <c r="CH34" s="39">
        <f t="shared" si="31"/>
        <v>2.6078916675794428</v>
      </c>
      <c r="CI34" s="93">
        <v>0.53681981591731076</v>
      </c>
      <c r="CJ34" s="93">
        <v>-2.205025681449153E-2</v>
      </c>
      <c r="CK34" s="93">
        <v>0.1576225040625937</v>
      </c>
      <c r="CL34" s="93">
        <f t="shared" si="32"/>
        <v>0.13557224724810218</v>
      </c>
      <c r="CM34" s="106"/>
      <c r="CN34" s="39">
        <f t="shared" si="33"/>
        <v>2.604308479860018</v>
      </c>
      <c r="CO34" s="93">
        <v>0.36163686308551168</v>
      </c>
      <c r="CP34" s="93">
        <v>1.2950483575804845E-2</v>
      </c>
      <c r="CQ34" s="93">
        <v>0.10602146269952011</v>
      </c>
      <c r="CR34" s="93">
        <f t="shared" si="34"/>
        <v>0.11897194627532495</v>
      </c>
      <c r="CS34" s="90">
        <f t="shared" si="35"/>
        <v>0</v>
      </c>
      <c r="CT34" s="39">
        <f t="shared" si="36"/>
        <v>2.9446387229132842</v>
      </c>
      <c r="CU34" s="11">
        <v>0.33900698645039778</v>
      </c>
      <c r="CV34" s="93">
        <v>4.8252409569903426E-2</v>
      </c>
      <c r="CW34" s="93">
        <v>0.11414718972002513</v>
      </c>
      <c r="CX34" s="93">
        <f t="shared" si="37"/>
        <v>0.16239959928992856</v>
      </c>
      <c r="CY34" s="93"/>
      <c r="CZ34" s="39">
        <f t="shared" si="38"/>
        <v>2.9346268426516664</v>
      </c>
      <c r="DA34" s="93">
        <v>0.26073167959647875</v>
      </c>
      <c r="DB34" s="93">
        <v>-2.2643422403547261E-2</v>
      </c>
      <c r="DC34" s="93">
        <v>8.7452269652606385E-2</v>
      </c>
      <c r="DD34" s="93">
        <f t="shared" si="39"/>
        <v>6.4808847249059123E-2</v>
      </c>
      <c r="DF34" s="39">
        <f t="shared" si="40"/>
        <v>2.9736967059325492</v>
      </c>
      <c r="DG34" s="93">
        <v>5.1898682951301692E-2</v>
      </c>
      <c r="DH34" s="93">
        <v>3.3001346044453983E-2</v>
      </c>
      <c r="DI34" s="93">
        <v>1.7670896267582607E-2</v>
      </c>
      <c r="DJ34" s="93">
        <f t="shared" si="41"/>
        <v>5.067224231203659E-2</v>
      </c>
      <c r="DK34" s="106"/>
      <c r="DL34" s="39">
        <f t="shared" si="42"/>
        <v>2.986239445321015</v>
      </c>
      <c r="DM34" s="93">
        <v>2.637662390261741E-2</v>
      </c>
      <c r="DN34" s="93">
        <v>3.7894485928996711E-2</v>
      </c>
      <c r="DO34" s="93">
        <v>9.0240237998361478E-3</v>
      </c>
      <c r="DP34" s="93">
        <f t="shared" si="43"/>
        <v>4.6918509728832859E-2</v>
      </c>
    </row>
    <row r="35" spans="1:120" x14ac:dyDescent="0.2">
      <c r="A35" s="90">
        <f>name!B31</f>
        <v>0</v>
      </c>
      <c r="B35" s="39">
        <f t="shared" si="1"/>
        <v>2.8621080323697479</v>
      </c>
      <c r="C35" s="11">
        <v>28.894999999999936</v>
      </c>
      <c r="D35" s="93">
        <v>1.6460000000000381</v>
      </c>
      <c r="E35" s="93">
        <v>9.420712233917067</v>
      </c>
      <c r="F35" s="93">
        <f t="shared" si="2"/>
        <v>11.066712233917105</v>
      </c>
      <c r="G35" s="93"/>
      <c r="H35" s="39">
        <f t="shared" si="3"/>
        <v>2.6633825373017173</v>
      </c>
      <c r="I35" s="93">
        <v>1.9794220652335754</v>
      </c>
      <c r="J35" s="93">
        <v>-0.35248216003289656</v>
      </c>
      <c r="K35" s="93">
        <v>0.59508506788336712</v>
      </c>
      <c r="L35" s="93">
        <f t="shared" si="4"/>
        <v>0.24260290785047056</v>
      </c>
      <c r="N35" s="39">
        <f t="shared" si="5"/>
        <v>2.6696771260062091</v>
      </c>
      <c r="O35" s="93">
        <v>10.289648262531291</v>
      </c>
      <c r="P35" s="93">
        <v>0.71798490602012099</v>
      </c>
      <c r="Q35" s="93">
        <v>3.1016441026996522</v>
      </c>
      <c r="R35" s="93">
        <f t="shared" si="6"/>
        <v>3.8196290087197733</v>
      </c>
      <c r="S35" s="106"/>
      <c r="T35" s="39">
        <f t="shared" si="7"/>
        <v>3.0027901952621061</v>
      </c>
      <c r="U35" s="93">
        <v>16.625929672235067</v>
      </c>
      <c r="V35" s="93">
        <v>1.2804972540128137</v>
      </c>
      <c r="W35" s="93">
        <v>5.7239830633340478</v>
      </c>
      <c r="X35" s="93">
        <f t="shared" si="8"/>
        <v>7.0044803173468617</v>
      </c>
      <c r="Y35" s="90">
        <f t="shared" si="0"/>
        <v>0</v>
      </c>
      <c r="Z35" s="39">
        <f t="shared" si="9"/>
        <v>3.0215443790052143</v>
      </c>
      <c r="AA35" s="11">
        <v>17.580481963655998</v>
      </c>
      <c r="AB35" s="93">
        <v>2.8098087008328023</v>
      </c>
      <c r="AC35" s="93">
        <v>6.095681909765899</v>
      </c>
      <c r="AD35" s="93">
        <f t="shared" si="10"/>
        <v>8.9054906105987008</v>
      </c>
      <c r="AE35" s="93"/>
      <c r="AF35" s="39">
        <f t="shared" si="11"/>
        <v>2.9707695648767851</v>
      </c>
      <c r="AG35" s="93">
        <v>0.5967101275394916</v>
      </c>
      <c r="AH35" s="93">
        <v>0.21095192443473093</v>
      </c>
      <c r="AI35" s="93">
        <v>0.20294549270816775</v>
      </c>
      <c r="AJ35" s="93">
        <f t="shared" si="12"/>
        <v>0.41389741714289868</v>
      </c>
      <c r="AL35" s="39">
        <f t="shared" si="13"/>
        <v>2.828445336027241</v>
      </c>
      <c r="AM35" s="93">
        <v>4.2778021615675197</v>
      </c>
      <c r="AN35" s="93">
        <v>1.1605153808737563</v>
      </c>
      <c r="AO35" s="93">
        <v>1.3761664496642632</v>
      </c>
      <c r="AP35" s="93">
        <f t="shared" si="14"/>
        <v>2.5366818305380194</v>
      </c>
      <c r="AQ35" s="106"/>
      <c r="AR35" s="39">
        <f t="shared" si="15"/>
        <v>3.0881955582803711</v>
      </c>
      <c r="AS35" s="93">
        <v>12.705969674548985</v>
      </c>
      <c r="AT35" s="93">
        <v>1.4383413955243152</v>
      </c>
      <c r="AU35" s="93">
        <v>4.5165699673934689</v>
      </c>
      <c r="AV35" s="93">
        <f t="shared" si="16"/>
        <v>5.9549113629177839</v>
      </c>
      <c r="AW35" s="90">
        <f t="shared" si="17"/>
        <v>0</v>
      </c>
      <c r="AX35" s="39">
        <f t="shared" si="18"/>
        <v>2.6020134806948869</v>
      </c>
      <c r="AY35" s="11">
        <v>7.0600510279774715</v>
      </c>
      <c r="AZ35" s="93">
        <v>-0.82070299664328927</v>
      </c>
      <c r="BA35" s="93">
        <v>2.067760735617695</v>
      </c>
      <c r="BB35" s="93">
        <f t="shared" si="19"/>
        <v>1.2470577389744057</v>
      </c>
      <c r="BC35" s="93"/>
      <c r="BD35" s="39">
        <f t="shared" si="20"/>
        <v>2.5053318006841074</v>
      </c>
      <c r="BE35" s="93">
        <v>0.58242692656334427</v>
      </c>
      <c r="BF35" s="93">
        <v>-0.32828833435573068</v>
      </c>
      <c r="BG35" s="93">
        <v>0.16351669099146005</v>
      </c>
      <c r="BH35" s="93">
        <f t="shared" si="21"/>
        <v>-0.16477164336427064</v>
      </c>
      <c r="BJ35" s="39">
        <f t="shared" si="22"/>
        <v>2.528922957277846</v>
      </c>
      <c r="BK35" s="93">
        <v>3.4980513979754475</v>
      </c>
      <c r="BL35" s="93">
        <v>-0.21403758136916518</v>
      </c>
      <c r="BM35" s="93">
        <v>0.99240143264883662</v>
      </c>
      <c r="BN35" s="93">
        <f t="shared" si="23"/>
        <v>0.77836385127967145</v>
      </c>
      <c r="BO35" s="106"/>
      <c r="BP35" s="39">
        <f t="shared" si="24"/>
        <v>2.7058922134773455</v>
      </c>
      <c r="BQ35" s="93">
        <v>2.9795727034386803</v>
      </c>
      <c r="BR35" s="93">
        <v>-0.27837708091839342</v>
      </c>
      <c r="BS35" s="93">
        <v>0.91184261197739835</v>
      </c>
      <c r="BT35" s="93">
        <f t="shared" si="25"/>
        <v>0.63346553105900494</v>
      </c>
      <c r="BU35" s="90">
        <f t="shared" si="26"/>
        <v>0</v>
      </c>
      <c r="BV35" s="39">
        <f t="shared" si="27"/>
        <v>2.6025333799874595</v>
      </c>
      <c r="BW35" s="11">
        <v>3.9916086369088277</v>
      </c>
      <c r="BX35" s="93">
        <v>-0.36860749517507152</v>
      </c>
      <c r="BY35" s="93">
        <v>1.1693311871886336</v>
      </c>
      <c r="BZ35" s="93">
        <f t="shared" si="28"/>
        <v>0.80072369201356208</v>
      </c>
      <c r="CA35" s="93"/>
      <c r="CB35" s="39">
        <f t="shared" si="29"/>
        <v>2.5262794249925946</v>
      </c>
      <c r="CC35" s="93">
        <v>0.76479151317239202</v>
      </c>
      <c r="CD35" s="93">
        <v>-0.20773686960970486</v>
      </c>
      <c r="CE35" s="93">
        <v>0.21671918013294533</v>
      </c>
      <c r="CF35" s="93">
        <f t="shared" si="30"/>
        <v>8.9823105232404721E-3</v>
      </c>
      <c r="CH35" s="39">
        <f t="shared" si="31"/>
        <v>2.5896950806788999</v>
      </c>
      <c r="CI35" s="93">
        <v>2.4153471822787229</v>
      </c>
      <c r="CJ35" s="93">
        <v>-0.2502303844660983</v>
      </c>
      <c r="CK35" s="93">
        <v>0.70366416736616388</v>
      </c>
      <c r="CL35" s="93">
        <f t="shared" si="32"/>
        <v>0.45343378290006559</v>
      </c>
      <c r="CM35" s="106"/>
      <c r="CN35" s="39">
        <f t="shared" si="33"/>
        <v>2.7118274856430702</v>
      </c>
      <c r="CO35" s="93">
        <v>0.81146994145771245</v>
      </c>
      <c r="CP35" s="93">
        <v>8.9359758900731598E-2</v>
      </c>
      <c r="CQ35" s="93">
        <v>0.24894783968952428</v>
      </c>
      <c r="CR35" s="93">
        <f t="shared" si="34"/>
        <v>0.33830759859025589</v>
      </c>
      <c r="CS35" s="90">
        <f t="shared" si="35"/>
        <v>0</v>
      </c>
      <c r="CT35" s="39">
        <f t="shared" si="36"/>
        <v>2.9279629310322131</v>
      </c>
      <c r="CU35" s="11">
        <v>0.26285837145763702</v>
      </c>
      <c r="CV35" s="93">
        <v>2.5501790985596576E-2</v>
      </c>
      <c r="CW35" s="93">
        <v>8.7938401344838837E-2</v>
      </c>
      <c r="CX35" s="93">
        <f t="shared" si="37"/>
        <v>0.11344019233043541</v>
      </c>
      <c r="CY35" s="93"/>
      <c r="CZ35" s="39">
        <f t="shared" si="38"/>
        <v>2.9343651326463327</v>
      </c>
      <c r="DA35" s="93">
        <v>3.5493497958347456E-2</v>
      </c>
      <c r="DB35" s="93">
        <v>-2.740888050219192E-2</v>
      </c>
      <c r="DC35" s="93">
        <v>1.1903704050793999E-2</v>
      </c>
      <c r="DD35" s="93">
        <f t="shared" si="39"/>
        <v>-1.5505176451397921E-2</v>
      </c>
      <c r="DF35" s="39">
        <f t="shared" si="40"/>
        <v>2.6485565988142667</v>
      </c>
      <c r="DG35" s="93">
        <v>9.8447520709600847E-2</v>
      </c>
      <c r="DH35" s="93">
        <v>2.1737490981628024E-2</v>
      </c>
      <c r="DI35" s="93">
        <v>2.941205302038874E-2</v>
      </c>
      <c r="DJ35" s="93">
        <f t="shared" si="41"/>
        <v>5.1149544002016767E-2</v>
      </c>
      <c r="DK35" s="106"/>
      <c r="DL35" s="39">
        <f t="shared" si="42"/>
        <v>3.1350944801386671</v>
      </c>
      <c r="DM35" s="93">
        <v>0.12891735278968872</v>
      </c>
      <c r="DN35" s="93">
        <v>3.1173180506160469E-2</v>
      </c>
      <c r="DO35" s="93">
        <v>4.6622644273656109E-2</v>
      </c>
      <c r="DP35" s="93">
        <f t="shared" si="43"/>
        <v>7.7795824779816586E-2</v>
      </c>
    </row>
    <row r="36" spans="1:120" x14ac:dyDescent="0.2">
      <c r="A36" s="90">
        <f>name!B32</f>
        <v>0</v>
      </c>
      <c r="B36" s="39">
        <f t="shared" si="1"/>
        <v>2.9945367077332863</v>
      </c>
      <c r="C36" s="11">
        <v>56.486999999999881</v>
      </c>
      <c r="D36" s="93">
        <v>9.4270000000000458</v>
      </c>
      <c r="E36" s="93">
        <v>19.386548178062384</v>
      </c>
      <c r="F36" s="93">
        <f t="shared" si="2"/>
        <v>28.81354817806243</v>
      </c>
      <c r="G36" s="93"/>
      <c r="H36" s="39">
        <f t="shared" si="3"/>
        <v>2.6683655064911882</v>
      </c>
      <c r="I36" s="93">
        <v>3.0739661220094856</v>
      </c>
      <c r="J36" s="93">
        <v>1.6985913874363638</v>
      </c>
      <c r="K36" s="93">
        <v>0.92608514366015537</v>
      </c>
      <c r="L36" s="93">
        <f t="shared" si="4"/>
        <v>2.6246765310965192</v>
      </c>
      <c r="N36" s="39">
        <f t="shared" si="5"/>
        <v>2.7983270973520824</v>
      </c>
      <c r="O36" s="93">
        <v>10.80483185043264</v>
      </c>
      <c r="P36" s="93">
        <v>0.32429358730751345</v>
      </c>
      <c r="Q36" s="93">
        <v>3.4341351738504251</v>
      </c>
      <c r="R36" s="93">
        <f t="shared" si="6"/>
        <v>3.7584287611579388</v>
      </c>
      <c r="S36" s="106"/>
      <c r="T36" s="39">
        <f t="shared" si="7"/>
        <v>3.0668385216106264</v>
      </c>
      <c r="U36" s="93">
        <v>42.608202027557752</v>
      </c>
      <c r="V36" s="93">
        <v>7.4041150252561669</v>
      </c>
      <c r="W36" s="93">
        <v>15.026327860551801</v>
      </c>
      <c r="X36" s="93">
        <f t="shared" si="8"/>
        <v>22.430442885807967</v>
      </c>
      <c r="Y36" s="90">
        <f t="shared" si="0"/>
        <v>0</v>
      </c>
      <c r="Z36" s="39">
        <f t="shared" si="9"/>
        <v>3.0309771831799281</v>
      </c>
      <c r="AA36" s="11">
        <v>51.021735996170101</v>
      </c>
      <c r="AB36" s="93">
        <v>9.5647099325395999</v>
      </c>
      <c r="AC36" s="93">
        <v>17.753710691282151</v>
      </c>
      <c r="AD36" s="93">
        <f t="shared" si="10"/>
        <v>27.318420623821751</v>
      </c>
      <c r="AE36" s="93"/>
      <c r="AF36" s="39">
        <f t="shared" si="11"/>
        <v>2.7156970530987756</v>
      </c>
      <c r="AG36" s="93">
        <v>1.8966772091595998</v>
      </c>
      <c r="AH36" s="93">
        <v>1.1084660999032749</v>
      </c>
      <c r="AI36" s="93">
        <v>0.58280846211724435</v>
      </c>
      <c r="AJ36" s="93">
        <f t="shared" si="12"/>
        <v>1.6912745620205194</v>
      </c>
      <c r="AL36" s="39">
        <f t="shared" si="13"/>
        <v>2.8544377950161515</v>
      </c>
      <c r="AM36" s="93">
        <v>8.7151787782400429</v>
      </c>
      <c r="AN36" s="93">
        <v>0.37231764916359472</v>
      </c>
      <c r="AO36" s="93">
        <v>2.8328178136294691</v>
      </c>
      <c r="AP36" s="93">
        <f t="shared" si="14"/>
        <v>3.2051354627930637</v>
      </c>
      <c r="AQ36" s="106"/>
      <c r="AR36" s="39">
        <f t="shared" si="15"/>
        <v>3.0832355344662776</v>
      </c>
      <c r="AS36" s="93">
        <v>40.409880008770457</v>
      </c>
      <c r="AT36" s="93">
        <v>8.0839261834727303</v>
      </c>
      <c r="AU36" s="93">
        <v>14.338084415535439</v>
      </c>
      <c r="AV36" s="93">
        <f t="shared" si="16"/>
        <v>22.422010599008168</v>
      </c>
      <c r="AW36" s="90">
        <f t="shared" si="17"/>
        <v>0</v>
      </c>
      <c r="AX36" s="39">
        <f t="shared" si="18"/>
        <v>2.6442828612915692</v>
      </c>
      <c r="AY36" s="11">
        <v>4.1117223502687619</v>
      </c>
      <c r="AZ36" s="93">
        <v>-1.2602457015033561</v>
      </c>
      <c r="BA36" s="93">
        <v>1.2261898817352725</v>
      </c>
      <c r="BB36" s="93">
        <f t="shared" si="19"/>
        <v>-3.4055819768083584E-2</v>
      </c>
      <c r="BC36" s="93"/>
      <c r="BD36" s="39">
        <f t="shared" si="20"/>
        <v>2.5250973136344612</v>
      </c>
      <c r="BE36" s="93">
        <v>0.59212142104784216</v>
      </c>
      <c r="BF36" s="93">
        <v>5.5003227893673415E-2</v>
      </c>
      <c r="BG36" s="93">
        <v>0.1677019969682341</v>
      </c>
      <c r="BH36" s="93">
        <f t="shared" si="21"/>
        <v>0.22270522486190752</v>
      </c>
      <c r="BJ36" s="39">
        <f t="shared" si="22"/>
        <v>2.5953522288273634</v>
      </c>
      <c r="BK36" s="93">
        <v>1.6781048923637909</v>
      </c>
      <c r="BL36" s="93">
        <v>-0.50299398657548378</v>
      </c>
      <c r="BM36" s="93">
        <v>0.49007829174845352</v>
      </c>
      <c r="BN36" s="93">
        <f t="shared" si="23"/>
        <v>-1.2915694827030255E-2</v>
      </c>
      <c r="BO36" s="106"/>
      <c r="BP36" s="39">
        <f t="shared" si="24"/>
        <v>2.7266024857339533</v>
      </c>
      <c r="BQ36" s="93">
        <v>1.8414960368571291</v>
      </c>
      <c r="BR36" s="93">
        <v>-0.81225494282154564</v>
      </c>
      <c r="BS36" s="93">
        <v>0.56840959301858496</v>
      </c>
      <c r="BT36" s="93">
        <f t="shared" si="25"/>
        <v>-0.24384534980296069</v>
      </c>
      <c r="BU36" s="90">
        <f t="shared" si="26"/>
        <v>0</v>
      </c>
      <c r="BV36" s="39">
        <f t="shared" si="27"/>
        <v>2.6699286086445007</v>
      </c>
      <c r="BW36" s="11">
        <v>0.94096087042845011</v>
      </c>
      <c r="BX36" s="93">
        <v>1.0673588590067584</v>
      </c>
      <c r="BY36" s="93">
        <v>0.28366707092484866</v>
      </c>
      <c r="BZ36" s="93">
        <f t="shared" si="28"/>
        <v>1.3510259299316072</v>
      </c>
      <c r="CA36" s="93"/>
      <c r="CB36" s="39">
        <f t="shared" si="29"/>
        <v>2.4755931087015126</v>
      </c>
      <c r="CC36" s="93">
        <v>0.24637925552867021</v>
      </c>
      <c r="CD36" s="93">
        <v>0.45294770729803285</v>
      </c>
      <c r="CE36" s="93">
        <v>6.8256840443345096E-2</v>
      </c>
      <c r="CF36" s="93">
        <f t="shared" si="30"/>
        <v>0.52120454774137792</v>
      </c>
      <c r="CH36" s="39">
        <f t="shared" si="31"/>
        <v>2.5317857369329788</v>
      </c>
      <c r="CI36" s="93">
        <v>0.34250238229029917</v>
      </c>
      <c r="CJ36" s="93">
        <v>0.47722061778305425</v>
      </c>
      <c r="CK36" s="93">
        <v>9.7291120958866453E-2</v>
      </c>
      <c r="CL36" s="93">
        <f t="shared" si="32"/>
        <v>0.57451173874192074</v>
      </c>
      <c r="CM36" s="106"/>
      <c r="CN36" s="39">
        <f t="shared" si="33"/>
        <v>2.9352369214464158</v>
      </c>
      <c r="CO36" s="93">
        <v>0.35207923260948076</v>
      </c>
      <c r="CP36" s="93">
        <v>0.13719053392567115</v>
      </c>
      <c r="CQ36" s="93">
        <v>0.1181191095226371</v>
      </c>
      <c r="CR36" s="93">
        <f t="shared" si="34"/>
        <v>0.25530964344830825</v>
      </c>
      <c r="CS36" s="90">
        <f t="shared" si="35"/>
        <v>0</v>
      </c>
      <c r="CT36" s="39">
        <f t="shared" si="36"/>
        <v>2.6431615692057875</v>
      </c>
      <c r="CU36" s="11">
        <v>0.41258078313257079</v>
      </c>
      <c r="CV36" s="93">
        <v>5.5176909957042726E-2</v>
      </c>
      <c r="CW36" s="93">
        <v>0.12298053412010829</v>
      </c>
      <c r="CX36" s="93">
        <f t="shared" si="37"/>
        <v>0.17815744407715101</v>
      </c>
      <c r="CY36" s="93"/>
      <c r="CZ36" s="39">
        <f t="shared" si="38"/>
        <v>2.7900274591234453</v>
      </c>
      <c r="DA36" s="93">
        <v>0.33878823627337318</v>
      </c>
      <c r="DB36" s="93">
        <v>8.2174352341382664E-2</v>
      </c>
      <c r="DC36" s="93">
        <v>0.10731784413133177</v>
      </c>
      <c r="DD36" s="93">
        <f t="shared" si="39"/>
        <v>0.18949219647271442</v>
      </c>
      <c r="DF36" s="39">
        <f t="shared" si="40"/>
        <v>1.8569836908540527</v>
      </c>
      <c r="DG36" s="93">
        <v>6.9045797538509451E-2</v>
      </c>
      <c r="DH36" s="93">
        <v>-2.2250693063651759E-2</v>
      </c>
      <c r="DI36" s="93">
        <v>1.3947947513635921E-2</v>
      </c>
      <c r="DJ36" s="93">
        <f t="shared" si="41"/>
        <v>-8.3027455500158387E-3</v>
      </c>
      <c r="DK36" s="106"/>
      <c r="DL36" s="39">
        <f t="shared" si="42"/>
        <v>3.1320498905442085</v>
      </c>
      <c r="DM36" s="93">
        <v>4.7467493206881754E-3</v>
      </c>
      <c r="DN36" s="93">
        <v>-4.7467493206881754E-3</v>
      </c>
      <c r="DO36" s="93">
        <v>1.714742475140592E-3</v>
      </c>
      <c r="DP36" s="93">
        <f t="shared" si="43"/>
        <v>-3.0320068455475836E-3</v>
      </c>
    </row>
    <row r="37" spans="1:120" x14ac:dyDescent="0.2">
      <c r="A37" s="90">
        <f>name!B33</f>
        <v>0</v>
      </c>
      <c r="B37" s="39">
        <f t="shared" si="1"/>
        <v>3.0105219210724066</v>
      </c>
      <c r="C37" s="11">
        <v>138.06999999999971</v>
      </c>
      <c r="D37" s="93">
        <v>5.2479999999998874</v>
      </c>
      <c r="E37" s="93">
        <v>47.674174099563118</v>
      </c>
      <c r="F37" s="93">
        <f t="shared" si="2"/>
        <v>52.922174099563009</v>
      </c>
      <c r="G37" s="93"/>
      <c r="H37" s="39">
        <f t="shared" si="3"/>
        <v>2.7387217667445674</v>
      </c>
      <c r="I37" s="93">
        <v>5.0762170042485808</v>
      </c>
      <c r="J37" s="93">
        <v>-1.6886317271375544</v>
      </c>
      <c r="K37" s="93">
        <v>1.5747035569122914</v>
      </c>
      <c r="L37" s="93">
        <f t="shared" si="4"/>
        <v>-0.11392817022526303</v>
      </c>
      <c r="N37" s="39">
        <f t="shared" si="5"/>
        <v>2.8045296362573024</v>
      </c>
      <c r="O37" s="93">
        <v>28.306731283971203</v>
      </c>
      <c r="P37" s="93">
        <v>-8.2765906536960721</v>
      </c>
      <c r="Q37" s="93">
        <v>9.0193352638725663</v>
      </c>
      <c r="R37" s="93">
        <f t="shared" si="6"/>
        <v>0.74274461017649429</v>
      </c>
      <c r="S37" s="106"/>
      <c r="T37" s="39">
        <f t="shared" si="7"/>
        <v>3.078543964604763</v>
      </c>
      <c r="U37" s="93">
        <v>104.68705171177994</v>
      </c>
      <c r="V37" s="93">
        <v>15.213222380833514</v>
      </c>
      <c r="W37" s="93">
        <v>37.080135278778265</v>
      </c>
      <c r="X37" s="93">
        <f t="shared" si="8"/>
        <v>52.293357659611779</v>
      </c>
      <c r="Y37" s="90">
        <f t="shared" si="0"/>
        <v>0</v>
      </c>
      <c r="Z37" s="39">
        <f t="shared" si="9"/>
        <v>3.1854311581563932</v>
      </c>
      <c r="AA37" s="11">
        <v>84.169352157623123</v>
      </c>
      <c r="AB37" s="93">
        <v>11.293223881137797</v>
      </c>
      <c r="AC37" s="93">
        <v>31.000236702092703</v>
      </c>
      <c r="AD37" s="93">
        <f t="shared" si="10"/>
        <v>42.293460583230498</v>
      </c>
      <c r="AE37" s="93"/>
      <c r="AF37" s="39">
        <f t="shared" si="11"/>
        <v>2.8758144240809802</v>
      </c>
      <c r="AG37" s="93">
        <v>1.561209729824472</v>
      </c>
      <c r="AH37" s="93">
        <v>-0.14303116627554172</v>
      </c>
      <c r="AI37" s="93">
        <v>0.51176550062084825</v>
      </c>
      <c r="AJ37" s="93">
        <f t="shared" si="12"/>
        <v>0.36873433434530656</v>
      </c>
      <c r="AL37" s="39">
        <f t="shared" si="13"/>
        <v>3.0188955093647607</v>
      </c>
      <c r="AM37" s="93">
        <v>12.208732860551185</v>
      </c>
      <c r="AN37" s="93">
        <v>-2.5285459351532285</v>
      </c>
      <c r="AO37" s="93">
        <v>4.2289079044003817</v>
      </c>
      <c r="AP37" s="93">
        <f t="shared" si="14"/>
        <v>1.7003619692471532</v>
      </c>
      <c r="AQ37" s="106"/>
      <c r="AR37" s="39">
        <f t="shared" si="15"/>
        <v>3.2208226301510656</v>
      </c>
      <c r="AS37" s="93">
        <v>70.39940956724746</v>
      </c>
      <c r="AT37" s="93">
        <v>13.964800982566569</v>
      </c>
      <c r="AU37" s="93">
        <v>26.259563297071477</v>
      </c>
      <c r="AV37" s="93">
        <f t="shared" si="16"/>
        <v>40.224364279638046</v>
      </c>
      <c r="AW37" s="90">
        <f t="shared" si="17"/>
        <v>0</v>
      </c>
      <c r="AX37" s="39">
        <f t="shared" si="18"/>
        <v>2.7267134522667158</v>
      </c>
      <c r="AY37" s="11">
        <v>51.927409634180037</v>
      </c>
      <c r="AZ37" s="93">
        <v>-6.0856524291559531</v>
      </c>
      <c r="BA37" s="93">
        <v>16.029026927967443</v>
      </c>
      <c r="BB37" s="93">
        <f t="shared" si="19"/>
        <v>9.9433744988114903</v>
      </c>
      <c r="BC37" s="93"/>
      <c r="BD37" s="39">
        <f t="shared" si="20"/>
        <v>2.6091217857213467</v>
      </c>
      <c r="BE37" s="93">
        <v>2.7243795006504485</v>
      </c>
      <c r="BF37" s="93">
        <v>-1.1532037322243214</v>
      </c>
      <c r="BG37" s="93">
        <v>0.80036230481528592</v>
      </c>
      <c r="BH37" s="93">
        <f t="shared" si="21"/>
        <v>-0.35284142740903546</v>
      </c>
      <c r="BJ37" s="39">
        <f t="shared" si="22"/>
        <v>2.6299443244254261</v>
      </c>
      <c r="BK37" s="93">
        <v>15.359163285338358</v>
      </c>
      <c r="BL37" s="93">
        <v>-5.9558823651697637</v>
      </c>
      <c r="BM37" s="93">
        <v>4.5525435996448893</v>
      </c>
      <c r="BN37" s="93">
        <f t="shared" si="23"/>
        <v>-1.4033387655248744</v>
      </c>
      <c r="BO37" s="106"/>
      <c r="BP37" s="39">
        <f t="shared" si="24"/>
        <v>2.7797379262401334</v>
      </c>
      <c r="BQ37" s="93">
        <v>33.843866848191233</v>
      </c>
      <c r="BR37" s="93">
        <v>1.0234336682381324</v>
      </c>
      <c r="BS37" s="93">
        <v>10.676121023507269</v>
      </c>
      <c r="BT37" s="93">
        <f t="shared" si="25"/>
        <v>11.699554691745401</v>
      </c>
      <c r="BU37" s="90">
        <f t="shared" si="26"/>
        <v>0</v>
      </c>
      <c r="BV37" s="39">
        <f t="shared" si="27"/>
        <v>2.6792477491861755</v>
      </c>
      <c r="BW37" s="11">
        <v>0.56980182682378044</v>
      </c>
      <c r="BX37" s="93">
        <v>1.0313467302711063E-2</v>
      </c>
      <c r="BY37" s="93">
        <v>0.17244888032198771</v>
      </c>
      <c r="BZ37" s="93">
        <f t="shared" si="28"/>
        <v>0.18276234762469878</v>
      </c>
      <c r="CA37" s="93"/>
      <c r="CB37" s="39">
        <f t="shared" si="29"/>
        <v>2.8367883930212612</v>
      </c>
      <c r="CC37" s="93">
        <v>0.20099431010344829</v>
      </c>
      <c r="CD37" s="93">
        <v>-5.7907920738398629E-2</v>
      </c>
      <c r="CE37" s="93">
        <v>6.4875370800946713E-2</v>
      </c>
      <c r="CF37" s="93">
        <f t="shared" si="30"/>
        <v>6.9674500625480848E-3</v>
      </c>
      <c r="CH37" s="39">
        <f t="shared" si="31"/>
        <v>2.5723272891071236</v>
      </c>
      <c r="CI37" s="93">
        <v>0.24513927427280902</v>
      </c>
      <c r="CJ37" s="93">
        <v>6.3410914542454982E-2</v>
      </c>
      <c r="CK37" s="93">
        <v>7.0881032615846981E-2</v>
      </c>
      <c r="CL37" s="93">
        <f t="shared" si="32"/>
        <v>0.13429194715830195</v>
      </c>
      <c r="CM37" s="106"/>
      <c r="CN37" s="39">
        <f t="shared" si="33"/>
        <v>2.6322808837923928</v>
      </c>
      <c r="CO37" s="93">
        <v>0.12366824244752304</v>
      </c>
      <c r="CP37" s="93">
        <v>4.8104734986547104E-3</v>
      </c>
      <c r="CQ37" s="93">
        <v>3.6692476905194005E-2</v>
      </c>
      <c r="CR37" s="93">
        <f t="shared" si="34"/>
        <v>4.1502950403848715E-2</v>
      </c>
      <c r="CS37" s="90">
        <f t="shared" si="35"/>
        <v>0</v>
      </c>
      <c r="CT37" s="39">
        <f t="shared" si="36"/>
        <v>2.9441443737506567</v>
      </c>
      <c r="CU37" s="11">
        <v>1.4034363813727799</v>
      </c>
      <c r="CV37" s="93">
        <v>3.0115080715330519E-2</v>
      </c>
      <c r="CW37" s="93">
        <v>0.47246158918098952</v>
      </c>
      <c r="CX37" s="93">
        <f t="shared" si="37"/>
        <v>0.50257666989631999</v>
      </c>
      <c r="CY37" s="93"/>
      <c r="CZ37" s="39">
        <f t="shared" si="38"/>
        <v>2.9337226933785931</v>
      </c>
      <c r="DA37" s="93">
        <v>0.58963346367021108</v>
      </c>
      <c r="DB37" s="93">
        <v>-0.33448890789929281</v>
      </c>
      <c r="DC37" s="93">
        <v>0.19770038067521037</v>
      </c>
      <c r="DD37" s="93">
        <f t="shared" si="39"/>
        <v>-0.13678852722408244</v>
      </c>
      <c r="DF37" s="39">
        <f t="shared" si="40"/>
        <v>2.9566467111862726</v>
      </c>
      <c r="DG37" s="93">
        <v>0.49369586380885072</v>
      </c>
      <c r="DH37" s="93">
        <v>0.14442673208446449</v>
      </c>
      <c r="DI37" s="93">
        <v>0.16700272721144677</v>
      </c>
      <c r="DJ37" s="93">
        <f t="shared" si="41"/>
        <v>0.31142945929591126</v>
      </c>
      <c r="DK37" s="106"/>
      <c r="DL37" s="39">
        <f t="shared" si="42"/>
        <v>2.944039552625588</v>
      </c>
      <c r="DM37" s="93">
        <v>0.32010705389371841</v>
      </c>
      <c r="DN37" s="93">
        <v>0.22017725653015885</v>
      </c>
      <c r="DO37" s="93">
        <v>0.10775848129433241</v>
      </c>
      <c r="DP37" s="93">
        <f t="shared" si="43"/>
        <v>0.32793573782449126</v>
      </c>
    </row>
    <row r="38" spans="1:120" x14ac:dyDescent="0.2">
      <c r="A38" s="90">
        <f>name!B34</f>
        <v>0</v>
      </c>
      <c r="B38" s="39">
        <f t="shared" si="1"/>
        <v>2.8257154904523185</v>
      </c>
      <c r="C38" s="11">
        <v>26.81499999999993</v>
      </c>
      <c r="D38" s="93">
        <v>7.5369999999999937</v>
      </c>
      <c r="E38" s="93">
        <v>8.6169620938889029</v>
      </c>
      <c r="F38" s="93">
        <f t="shared" si="2"/>
        <v>16.153962093888897</v>
      </c>
      <c r="G38" s="93"/>
      <c r="H38" s="39">
        <f t="shared" si="3"/>
        <v>2.7595137651860391</v>
      </c>
      <c r="I38" s="93">
        <v>9.6078449399321268</v>
      </c>
      <c r="J38" s="93">
        <v>1.1945418938920125</v>
      </c>
      <c r="K38" s="93">
        <v>3.0059681556585636</v>
      </c>
      <c r="L38" s="93">
        <f t="shared" si="4"/>
        <v>4.2005100495505765</v>
      </c>
      <c r="N38" s="39">
        <f t="shared" si="5"/>
        <v>2.7341953758082793</v>
      </c>
      <c r="O38" s="93">
        <v>9.4171479489873615</v>
      </c>
      <c r="P38" s="93">
        <v>4.3258837135697759</v>
      </c>
      <c r="Q38" s="93">
        <v>2.9158776210009156</v>
      </c>
      <c r="R38" s="93">
        <f t="shared" si="6"/>
        <v>7.2417613345706915</v>
      </c>
      <c r="S38" s="106"/>
      <c r="T38" s="39">
        <f t="shared" si="7"/>
        <v>3.0157359045575483</v>
      </c>
      <c r="U38" s="93">
        <v>7.7900071110804436</v>
      </c>
      <c r="V38" s="93">
        <v>2.0165743925382058</v>
      </c>
      <c r="W38" s="93">
        <v>2.6951163172294232</v>
      </c>
      <c r="X38" s="93">
        <f t="shared" si="8"/>
        <v>4.7116907097676286</v>
      </c>
      <c r="Y38" s="90">
        <f t="shared" si="0"/>
        <v>0</v>
      </c>
      <c r="Z38" s="39">
        <f t="shared" si="9"/>
        <v>2.9620533437984875</v>
      </c>
      <c r="AA38" s="11">
        <v>14.110138053458403</v>
      </c>
      <c r="AB38" s="93">
        <v>3.9764107081502162</v>
      </c>
      <c r="AC38" s="93">
        <v>4.782961494721258</v>
      </c>
      <c r="AD38" s="93">
        <f t="shared" si="10"/>
        <v>8.7593722028714751</v>
      </c>
      <c r="AE38" s="93"/>
      <c r="AF38" s="39">
        <f t="shared" si="11"/>
        <v>3.0508290138248517</v>
      </c>
      <c r="AG38" s="93">
        <v>2.6202275395242833</v>
      </c>
      <c r="AH38" s="93">
        <v>0.73551593091479284</v>
      </c>
      <c r="AI38" s="93">
        <v>0.91855524570148372</v>
      </c>
      <c r="AJ38" s="93">
        <f t="shared" si="12"/>
        <v>1.6540711766162766</v>
      </c>
      <c r="AL38" s="39">
        <f t="shared" si="13"/>
        <v>2.7890299588156253</v>
      </c>
      <c r="AM38" s="93">
        <v>5.0463247440146821</v>
      </c>
      <c r="AN38" s="93">
        <v>1.6277822226639092</v>
      </c>
      <c r="AO38" s="93">
        <v>1.5978779135482615</v>
      </c>
      <c r="AP38" s="93">
        <f t="shared" si="14"/>
        <v>3.2256601362121708</v>
      </c>
      <c r="AQ38" s="106"/>
      <c r="AR38" s="39">
        <f t="shared" si="15"/>
        <v>3.0598777753332529</v>
      </c>
      <c r="AS38" s="93">
        <v>6.4435857699194363</v>
      </c>
      <c r="AT38" s="93">
        <v>1.6131125545715137</v>
      </c>
      <c r="AU38" s="93">
        <v>2.266528335471512</v>
      </c>
      <c r="AV38" s="93">
        <f t="shared" si="16"/>
        <v>3.8796408900430257</v>
      </c>
      <c r="AW38" s="90">
        <f t="shared" si="17"/>
        <v>0</v>
      </c>
      <c r="AX38" s="39">
        <f t="shared" si="18"/>
        <v>2.6178151526021098</v>
      </c>
      <c r="AY38" s="11">
        <v>7.6620754162084248</v>
      </c>
      <c r="AZ38" s="93">
        <v>4.1655399185813149</v>
      </c>
      <c r="BA38" s="93">
        <v>2.2593497360645594</v>
      </c>
      <c r="BB38" s="93">
        <f t="shared" si="19"/>
        <v>6.4248896546458738</v>
      </c>
      <c r="BC38" s="93"/>
      <c r="BD38" s="39">
        <f t="shared" si="20"/>
        <v>2.5608888175541633</v>
      </c>
      <c r="BE38" s="93">
        <v>3.3773615761310447</v>
      </c>
      <c r="BF38" s="93">
        <v>1.945929096670862</v>
      </c>
      <c r="BG38" s="93">
        <v>0.97169760077091438</v>
      </c>
      <c r="BH38" s="93">
        <f t="shared" si="21"/>
        <v>2.9176266974417766</v>
      </c>
      <c r="BJ38" s="39">
        <f t="shared" si="22"/>
        <v>2.6173073729337526</v>
      </c>
      <c r="BK38" s="93">
        <v>3.0704844325527145</v>
      </c>
      <c r="BL38" s="93">
        <v>1.9069257326115823</v>
      </c>
      <c r="BM38" s="93">
        <v>0.90521045953698565</v>
      </c>
      <c r="BN38" s="93">
        <f t="shared" si="23"/>
        <v>2.8121361921485679</v>
      </c>
      <c r="BO38" s="106"/>
      <c r="BP38" s="39">
        <f t="shared" si="24"/>
        <v>2.7759432511544002</v>
      </c>
      <c r="BQ38" s="93">
        <v>1.2142294075246651</v>
      </c>
      <c r="BR38" s="93">
        <v>0.31268508929887001</v>
      </c>
      <c r="BS38" s="93">
        <v>0.38244167575665899</v>
      </c>
      <c r="BT38" s="93">
        <f t="shared" si="25"/>
        <v>0.69512676505552906</v>
      </c>
      <c r="BU38" s="90">
        <f t="shared" si="26"/>
        <v>0</v>
      </c>
      <c r="BV38" s="39">
        <f t="shared" si="27"/>
        <v>2.414473236517467</v>
      </c>
      <c r="BW38" s="11">
        <v>1.7431494173157795</v>
      </c>
      <c r="BX38" s="93">
        <v>0.61248561781568023</v>
      </c>
      <c r="BY38" s="93">
        <v>0.46968017566679687</v>
      </c>
      <c r="BZ38" s="93">
        <f t="shared" si="28"/>
        <v>1.0821657934824771</v>
      </c>
      <c r="CA38" s="93"/>
      <c r="CB38" s="39">
        <f t="shared" si="29"/>
        <v>2.3405169267602499</v>
      </c>
      <c r="CC38" s="93">
        <v>1.2042700345147108</v>
      </c>
      <c r="CD38" s="93">
        <v>0.30980767932272152</v>
      </c>
      <c r="CE38" s="93">
        <v>0.31347892181305265</v>
      </c>
      <c r="CF38" s="93">
        <f t="shared" si="30"/>
        <v>0.62328660113577417</v>
      </c>
      <c r="CH38" s="39">
        <f t="shared" si="31"/>
        <v>2.5716323827520871</v>
      </c>
      <c r="CI38" s="93">
        <v>0.51030481802269645</v>
      </c>
      <c r="CJ38" s="93">
        <v>0.30519047738461286</v>
      </c>
      <c r="CK38" s="93">
        <v>0.14750801317099851</v>
      </c>
      <c r="CL38" s="93">
        <f t="shared" si="32"/>
        <v>0.4526984905556114</v>
      </c>
      <c r="CM38" s="106"/>
      <c r="CN38" s="39">
        <f t="shared" si="33"/>
        <v>2.6917180041436728</v>
      </c>
      <c r="CO38" s="93">
        <v>2.8574564778372218E-2</v>
      </c>
      <c r="CP38" s="93">
        <v>-2.5125388916541216E-3</v>
      </c>
      <c r="CQ38" s="93">
        <v>8.6932406827457485E-3</v>
      </c>
      <c r="CR38" s="93">
        <f t="shared" si="34"/>
        <v>6.1807017910916265E-3</v>
      </c>
      <c r="CS38" s="90">
        <f t="shared" si="35"/>
        <v>0</v>
      </c>
      <c r="CT38" s="39">
        <f t="shared" si="36"/>
        <v>2.930505677421591</v>
      </c>
      <c r="CU38" s="11">
        <v>3.299637113017325</v>
      </c>
      <c r="CV38" s="93">
        <v>-1.2174362445472158</v>
      </c>
      <c r="CW38" s="93">
        <v>1.1049706874362895</v>
      </c>
      <c r="CX38" s="93">
        <f t="shared" si="37"/>
        <v>-0.11246555711092632</v>
      </c>
      <c r="CY38" s="93"/>
      <c r="CZ38" s="39">
        <f t="shared" si="38"/>
        <v>2.919374445859102</v>
      </c>
      <c r="DA38" s="93">
        <v>2.4059857897620875</v>
      </c>
      <c r="DB38" s="93">
        <v>-1.7967108130163638</v>
      </c>
      <c r="DC38" s="93">
        <v>0.80223638737311287</v>
      </c>
      <c r="DD38" s="93">
        <f t="shared" si="39"/>
        <v>-0.99447442564325095</v>
      </c>
      <c r="DF38" s="39">
        <f t="shared" si="40"/>
        <v>2.937506325372885</v>
      </c>
      <c r="DG38" s="93">
        <v>0.79003395439726709</v>
      </c>
      <c r="DH38" s="93">
        <v>0.48598528090967197</v>
      </c>
      <c r="DI38" s="93">
        <v>0.26528123474467041</v>
      </c>
      <c r="DJ38" s="93">
        <f t="shared" si="41"/>
        <v>0.75126651565434233</v>
      </c>
      <c r="DK38" s="106"/>
      <c r="DL38" s="39">
        <f t="shared" si="42"/>
        <v>3.1336395897629599</v>
      </c>
      <c r="DM38" s="93">
        <v>0.10361736885797046</v>
      </c>
      <c r="DN38" s="93">
        <v>9.3289287559476172E-2</v>
      </c>
      <c r="DO38" s="93">
        <v>3.7453065318506049E-2</v>
      </c>
      <c r="DP38" s="93">
        <f t="shared" si="43"/>
        <v>0.13074235287798222</v>
      </c>
    </row>
    <row r="39" spans="1:120" x14ac:dyDescent="0.2">
      <c r="A39" s="90">
        <f>name!B35</f>
        <v>0</v>
      </c>
      <c r="B39" s="39">
        <f t="shared" si="1"/>
        <v>2.9211108203484271</v>
      </c>
      <c r="C39" s="11">
        <v>368.77606295320101</v>
      </c>
      <c r="D39" s="93">
        <v>84.761622092085645</v>
      </c>
      <c r="E39" s="93">
        <v>123.04528099391801</v>
      </c>
      <c r="F39" s="93">
        <f t="shared" si="2"/>
        <v>207.80690308600367</v>
      </c>
      <c r="G39" s="93"/>
      <c r="H39" s="39">
        <f t="shared" si="3"/>
        <v>2.7717249598931071</v>
      </c>
      <c r="I39" s="93">
        <v>32.837927119185728</v>
      </c>
      <c r="J39" s="93">
        <v>4.3237049506459986</v>
      </c>
      <c r="K39" s="93">
        <v>10.325129723137874</v>
      </c>
      <c r="L39" s="93">
        <f t="shared" si="4"/>
        <v>14.648834673783872</v>
      </c>
      <c r="N39" s="39">
        <f t="shared" si="5"/>
        <v>2.7656612940708758</v>
      </c>
      <c r="O39" s="93">
        <v>92.687769994006359</v>
      </c>
      <c r="P39" s="93">
        <v>19.710235186067983</v>
      </c>
      <c r="Q39" s="93">
        <v>29.071671128619347</v>
      </c>
      <c r="R39" s="93">
        <f t="shared" si="6"/>
        <v>48.781906314687333</v>
      </c>
      <c r="S39" s="106"/>
      <c r="T39" s="39">
        <f t="shared" si="7"/>
        <v>2.9997068221470746</v>
      </c>
      <c r="U39" s="93">
        <v>243.25036584000898</v>
      </c>
      <c r="V39" s="93">
        <v>60.727681955371672</v>
      </c>
      <c r="W39" s="93">
        <v>83.648480142160807</v>
      </c>
      <c r="X39" s="93">
        <f t="shared" si="8"/>
        <v>144.37616209753247</v>
      </c>
      <c r="Y39" s="90">
        <f t="shared" si="0"/>
        <v>0</v>
      </c>
      <c r="Z39" s="39">
        <f t="shared" si="9"/>
        <v>2.9792358460889012</v>
      </c>
      <c r="AA39" s="11">
        <v>289.04342517306725</v>
      </c>
      <c r="AB39" s="93">
        <v>66.861243610511465</v>
      </c>
      <c r="AC39" s="93">
        <v>98.624387051621596</v>
      </c>
      <c r="AD39" s="93">
        <f t="shared" si="10"/>
        <v>165.48563066213308</v>
      </c>
      <c r="AE39" s="93"/>
      <c r="AF39" s="39">
        <f t="shared" si="11"/>
        <v>2.8543057167711661</v>
      </c>
      <c r="AG39" s="93">
        <v>18.48236538854206</v>
      </c>
      <c r="AH39" s="93">
        <v>4.0960252972031945</v>
      </c>
      <c r="AI39" s="93">
        <v>6.0072701306023175</v>
      </c>
      <c r="AJ39" s="93">
        <f t="shared" si="12"/>
        <v>10.103295427805513</v>
      </c>
      <c r="AL39" s="39">
        <f t="shared" si="13"/>
        <v>2.8320236000210164</v>
      </c>
      <c r="AM39" s="93">
        <v>54.824002647872582</v>
      </c>
      <c r="AN39" s="93">
        <v>11.073850669427829</v>
      </c>
      <c r="AO39" s="93">
        <v>17.662068695155931</v>
      </c>
      <c r="AP39" s="93">
        <f t="shared" si="14"/>
        <v>28.735919364583758</v>
      </c>
      <c r="AQ39" s="106"/>
      <c r="AR39" s="39">
        <f t="shared" si="15"/>
        <v>3.0269513060553033</v>
      </c>
      <c r="AS39" s="93">
        <v>215.73705713665262</v>
      </c>
      <c r="AT39" s="93">
        <v>51.691367643880433</v>
      </c>
      <c r="AU39" s="93">
        <v>74.955048225863351</v>
      </c>
      <c r="AV39" s="93">
        <f t="shared" si="16"/>
        <v>126.64641586974378</v>
      </c>
      <c r="AW39" s="90">
        <f t="shared" si="17"/>
        <v>0</v>
      </c>
      <c r="AX39" s="39">
        <f t="shared" si="18"/>
        <v>2.6968748254135422</v>
      </c>
      <c r="AY39" s="11">
        <v>69.208761822942577</v>
      </c>
      <c r="AZ39" s="93">
        <v>17.364813908921313</v>
      </c>
      <c r="BA39" s="93">
        <v>21.100721406247324</v>
      </c>
      <c r="BB39" s="93">
        <f t="shared" si="19"/>
        <v>38.465535315168637</v>
      </c>
      <c r="BC39" s="93"/>
      <c r="BD39" s="39">
        <f t="shared" si="20"/>
        <v>2.6111478879813799</v>
      </c>
      <c r="BE39" s="93">
        <v>8.5643903989708114</v>
      </c>
      <c r="BF39" s="93">
        <v>2.5133510791903837</v>
      </c>
      <c r="BG39" s="93">
        <v>2.5182161637376153</v>
      </c>
      <c r="BH39" s="93">
        <f t="shared" si="21"/>
        <v>5.0315672429279985</v>
      </c>
      <c r="BJ39" s="39">
        <f t="shared" si="22"/>
        <v>2.646322122033018</v>
      </c>
      <c r="BK39" s="93">
        <v>33.438393051364635</v>
      </c>
      <c r="BL39" s="93">
        <v>5.8534198050841955</v>
      </c>
      <c r="BM39" s="93">
        <v>9.9805580750418521</v>
      </c>
      <c r="BN39" s="93">
        <f t="shared" si="23"/>
        <v>15.833977880126048</v>
      </c>
      <c r="BO39" s="106"/>
      <c r="BP39" s="39">
        <f t="shared" si="24"/>
        <v>2.7854120715325115</v>
      </c>
      <c r="BQ39" s="93">
        <v>27.205978372607124</v>
      </c>
      <c r="BR39" s="93">
        <v>8.9980430246467371</v>
      </c>
      <c r="BS39" s="93">
        <v>8.6019471674678574</v>
      </c>
      <c r="BT39" s="93">
        <f t="shared" si="25"/>
        <v>17.599990192114596</v>
      </c>
      <c r="BU39" s="90">
        <f t="shared" si="26"/>
        <v>0</v>
      </c>
      <c r="BV39" s="39">
        <f t="shared" si="27"/>
        <v>2.5118352045522041</v>
      </c>
      <c r="BW39" s="11">
        <v>3.8656530906609365</v>
      </c>
      <c r="BX39" s="93">
        <v>1.3479415735600602</v>
      </c>
      <c r="BY39" s="93">
        <v>1.08842630099127</v>
      </c>
      <c r="BZ39" s="93">
        <f t="shared" si="28"/>
        <v>2.4363678745513302</v>
      </c>
      <c r="CA39" s="93"/>
      <c r="CB39" s="39">
        <f t="shared" si="29"/>
        <v>2.415283547581426</v>
      </c>
      <c r="CC39" s="93">
        <v>1.9483930173046786</v>
      </c>
      <c r="CD39" s="93">
        <v>0.36760454555590533</v>
      </c>
      <c r="CE39" s="93">
        <v>0.52517741956185582</v>
      </c>
      <c r="CF39" s="93">
        <f t="shared" si="30"/>
        <v>0.89278196511776109</v>
      </c>
      <c r="CH39" s="39">
        <f t="shared" si="31"/>
        <v>2.60322084904967</v>
      </c>
      <c r="CI39" s="93">
        <v>1.6099297426070227</v>
      </c>
      <c r="CJ39" s="93">
        <v>0.94206574115965114</v>
      </c>
      <c r="CK39" s="93">
        <v>0.47176413259982158</v>
      </c>
      <c r="CL39" s="93">
        <f t="shared" si="32"/>
        <v>1.4138298737594728</v>
      </c>
      <c r="CM39" s="106"/>
      <c r="CN39" s="39">
        <f t="shared" si="33"/>
        <v>2.6399932413593952</v>
      </c>
      <c r="CO39" s="93">
        <v>0.30733033074923499</v>
      </c>
      <c r="CP39" s="93">
        <v>3.8271286844503753E-2</v>
      </c>
      <c r="CQ39" s="93">
        <v>9.148474882959258E-2</v>
      </c>
      <c r="CR39" s="93">
        <f t="shared" si="34"/>
        <v>0.12975603567409633</v>
      </c>
      <c r="CS39" s="90">
        <f t="shared" si="35"/>
        <v>0</v>
      </c>
      <c r="CT39" s="39">
        <f t="shared" si="36"/>
        <v>2.9328961439813339</v>
      </c>
      <c r="CU39" s="11">
        <v>6.6582228665302994</v>
      </c>
      <c r="CV39" s="93">
        <v>-0.81237700090717724</v>
      </c>
      <c r="CW39" s="93">
        <v>2.2317462350578254</v>
      </c>
      <c r="CX39" s="93">
        <f t="shared" si="37"/>
        <v>1.4193692341506483</v>
      </c>
      <c r="CY39" s="93"/>
      <c r="CZ39" s="39">
        <f t="shared" si="38"/>
        <v>2.9056172918835443</v>
      </c>
      <c r="DA39" s="93">
        <v>3.8427783143681786</v>
      </c>
      <c r="DB39" s="93">
        <v>-2.6532759713034841</v>
      </c>
      <c r="DC39" s="93">
        <v>1.2744660092360849</v>
      </c>
      <c r="DD39" s="93">
        <f t="shared" si="39"/>
        <v>-1.3788099620673993</v>
      </c>
      <c r="DF39" s="39">
        <f t="shared" si="40"/>
        <v>2.9700241427257357</v>
      </c>
      <c r="DG39" s="93">
        <v>2.8154445521621203</v>
      </c>
      <c r="DH39" s="93">
        <v>1.840898970396307</v>
      </c>
      <c r="DI39" s="93">
        <v>0.95728022582174022</v>
      </c>
      <c r="DJ39" s="93">
        <f t="shared" si="41"/>
        <v>2.7981791962180473</v>
      </c>
      <c r="DK39" s="106"/>
      <c r="DL39" s="39">
        <f t="shared" si="42"/>
        <v>0</v>
      </c>
      <c r="DM39" s="93">
        <v>0</v>
      </c>
      <c r="DN39" s="93">
        <v>0</v>
      </c>
      <c r="DO39" s="93">
        <v>0</v>
      </c>
      <c r="DP39" s="93">
        <f t="shared" si="43"/>
        <v>0</v>
      </c>
    </row>
    <row r="40" spans="1:120" x14ac:dyDescent="0.2">
      <c r="A40" s="90">
        <f>name!B36</f>
        <v>0</v>
      </c>
      <c r="B40" s="39">
        <f t="shared" si="1"/>
        <v>2.6156670918794589</v>
      </c>
      <c r="C40" s="11">
        <v>59.103598741996336</v>
      </c>
      <c r="D40" s="93">
        <v>10.931351340026987</v>
      </c>
      <c r="E40" s="93">
        <v>17.412118425033665</v>
      </c>
      <c r="F40" s="93">
        <f t="shared" si="2"/>
        <v>28.343469765060654</v>
      </c>
      <c r="G40" s="93"/>
      <c r="H40" s="39">
        <f t="shared" si="3"/>
        <v>2.9162137159606694</v>
      </c>
      <c r="I40" s="93">
        <v>7.0907516731659292</v>
      </c>
      <c r="J40" s="93">
        <v>1.9187056475680879</v>
      </c>
      <c r="K40" s="93">
        <v>2.3613912018919283</v>
      </c>
      <c r="L40" s="93">
        <f t="shared" si="4"/>
        <v>4.2800968494600165</v>
      </c>
      <c r="N40" s="39">
        <f t="shared" si="5"/>
        <v>2.7970408811855085</v>
      </c>
      <c r="O40" s="93">
        <v>18.191156691215305</v>
      </c>
      <c r="P40" s="93">
        <v>8.022238906562599</v>
      </c>
      <c r="Q40" s="93">
        <v>5.7787557135900602</v>
      </c>
      <c r="R40" s="93">
        <f t="shared" si="6"/>
        <v>13.800994620152659</v>
      </c>
      <c r="S40" s="106"/>
      <c r="T40" s="39">
        <f t="shared" si="7"/>
        <v>2.4523227678848292</v>
      </c>
      <c r="U40" s="93">
        <v>33.821690377615099</v>
      </c>
      <c r="V40" s="93">
        <v>0.99040678589629894</v>
      </c>
      <c r="W40" s="93">
        <v>9.2719715095516726</v>
      </c>
      <c r="X40" s="93">
        <f t="shared" si="8"/>
        <v>10.262378295447972</v>
      </c>
      <c r="Y40" s="90">
        <f t="shared" si="0"/>
        <v>0</v>
      </c>
      <c r="Z40" s="39">
        <f t="shared" si="9"/>
        <v>2.484409578072122</v>
      </c>
      <c r="AA40" s="11">
        <v>44.995646288457721</v>
      </c>
      <c r="AB40" s="93">
        <v>0.7961289357498379</v>
      </c>
      <c r="AC40" s="93">
        <v>12.515037145045216</v>
      </c>
      <c r="AD40" s="93">
        <f t="shared" si="10"/>
        <v>13.311166080795054</v>
      </c>
      <c r="AE40" s="93"/>
      <c r="AF40" s="39">
        <f t="shared" si="11"/>
        <v>2.5511173362787742</v>
      </c>
      <c r="AG40" s="93">
        <v>2.5406257516550319</v>
      </c>
      <c r="AH40" s="93">
        <v>0.3259075522826399</v>
      </c>
      <c r="AI40" s="93">
        <v>0.72784543832994497</v>
      </c>
      <c r="AJ40" s="93">
        <f t="shared" si="12"/>
        <v>1.0537529906125849</v>
      </c>
      <c r="AL40" s="39">
        <f t="shared" si="13"/>
        <v>2.6421330232528906</v>
      </c>
      <c r="AM40" s="93">
        <v>11.02643601927363</v>
      </c>
      <c r="AN40" s="93">
        <v>-0.16285332189494414</v>
      </c>
      <c r="AO40" s="93">
        <v>3.2852845394032442</v>
      </c>
      <c r="AP40" s="93">
        <f t="shared" si="14"/>
        <v>3.1224312175083</v>
      </c>
      <c r="AQ40" s="106"/>
      <c r="AR40" s="39">
        <f t="shared" si="15"/>
        <v>2.4231158731658597</v>
      </c>
      <c r="AS40" s="93">
        <v>31.42858451752906</v>
      </c>
      <c r="AT40" s="93">
        <v>0.63307470536214216</v>
      </c>
      <c r="AU40" s="93">
        <v>8.5019071673120266</v>
      </c>
      <c r="AV40" s="93">
        <f t="shared" si="16"/>
        <v>9.1349818726741692</v>
      </c>
      <c r="AW40" s="90">
        <f t="shared" si="17"/>
        <v>0</v>
      </c>
      <c r="AX40" s="39">
        <f t="shared" si="18"/>
        <v>2.675817093692956</v>
      </c>
      <c r="AY40" s="11">
        <v>5.0502971452334489</v>
      </c>
      <c r="AZ40" s="93">
        <v>0.88079477764455349</v>
      </c>
      <c r="BA40" s="93">
        <v>1.5262601500564552</v>
      </c>
      <c r="BB40" s="93">
        <f t="shared" si="19"/>
        <v>2.4070549277010089</v>
      </c>
      <c r="BC40" s="93"/>
      <c r="BD40" s="39">
        <f t="shared" si="20"/>
        <v>2.6176394496400412</v>
      </c>
      <c r="BE40" s="93">
        <v>0.56332121807974112</v>
      </c>
      <c r="BF40" s="93">
        <v>6.7884082218324399E-2</v>
      </c>
      <c r="BG40" s="93">
        <v>0.16609650552913752</v>
      </c>
      <c r="BH40" s="93">
        <f t="shared" si="21"/>
        <v>0.23398058774746192</v>
      </c>
      <c r="BJ40" s="39">
        <f t="shared" si="22"/>
        <v>2.6168774278747309</v>
      </c>
      <c r="BK40" s="93">
        <v>2.8001519292734307</v>
      </c>
      <c r="BL40" s="93">
        <v>0.57994096053429567</v>
      </c>
      <c r="BM40" s="93">
        <v>0.8253617461934516</v>
      </c>
      <c r="BN40" s="93">
        <f t="shared" si="23"/>
        <v>1.4053027067277473</v>
      </c>
      <c r="BO40" s="106"/>
      <c r="BP40" s="39">
        <f t="shared" si="24"/>
        <v>2.7921892804910087</v>
      </c>
      <c r="BQ40" s="93">
        <v>1.6868239978802764</v>
      </c>
      <c r="BR40" s="93">
        <v>0.23296973489193351</v>
      </c>
      <c r="BS40" s="93">
        <v>0.53480189833386615</v>
      </c>
      <c r="BT40" s="93">
        <f t="shared" si="25"/>
        <v>0.76777163322579967</v>
      </c>
      <c r="BU40" s="90">
        <f t="shared" si="26"/>
        <v>0</v>
      </c>
      <c r="BV40" s="39">
        <f t="shared" si="27"/>
        <v>3.3032406781256851</v>
      </c>
      <c r="BW40" s="11">
        <v>7.5734451294849583</v>
      </c>
      <c r="BX40" s="93">
        <v>9.9445968505973621</v>
      </c>
      <c r="BY40" s="93">
        <v>2.9082842096564585</v>
      </c>
      <c r="BZ40" s="93">
        <f t="shared" si="28"/>
        <v>12.852881060253821</v>
      </c>
      <c r="CA40" s="93"/>
      <c r="CB40" s="39">
        <f t="shared" si="29"/>
        <v>3.3739759257654933</v>
      </c>
      <c r="CC40" s="93">
        <v>2.7837448344029059</v>
      </c>
      <c r="CD40" s="93">
        <v>2.278224621913898</v>
      </c>
      <c r="CE40" s="93">
        <v>1.0954503018874868</v>
      </c>
      <c r="CF40" s="93">
        <f t="shared" si="30"/>
        <v>3.373674923801385</v>
      </c>
      <c r="CH40" s="39">
        <f t="shared" si="31"/>
        <v>3.3175945471649371</v>
      </c>
      <c r="CI40" s="93">
        <v>4.0993032054196004</v>
      </c>
      <c r="CJ40" s="93">
        <v>7.5439376770551005</v>
      </c>
      <c r="CK40" s="93">
        <v>1.582064592612429</v>
      </c>
      <c r="CL40" s="93">
        <f t="shared" si="32"/>
        <v>9.1260022696675289</v>
      </c>
      <c r="CM40" s="106"/>
      <c r="CN40" s="39">
        <f t="shared" si="33"/>
        <v>2.9257200385051085</v>
      </c>
      <c r="CO40" s="93">
        <v>0.69039708966245217</v>
      </c>
      <c r="CP40" s="93">
        <v>0.1224345516283623</v>
      </c>
      <c r="CQ40" s="93">
        <v>0.23076931515654289</v>
      </c>
      <c r="CR40" s="93">
        <f t="shared" si="34"/>
        <v>0.35320386678490517</v>
      </c>
      <c r="CS40" s="90">
        <f t="shared" si="35"/>
        <v>0</v>
      </c>
      <c r="CT40" s="39">
        <f t="shared" si="36"/>
        <v>2.7499012245735921</v>
      </c>
      <c r="CU40" s="11">
        <v>1.4842101788202127</v>
      </c>
      <c r="CV40" s="93">
        <v>-0.69016922396476632</v>
      </c>
      <c r="CW40" s="93">
        <v>0.46253692027553084</v>
      </c>
      <c r="CX40" s="93">
        <f t="shared" si="37"/>
        <v>-0.22763230368923548</v>
      </c>
      <c r="CY40" s="93"/>
      <c r="CZ40" s="39">
        <f t="shared" si="38"/>
        <v>2.7308671095884973</v>
      </c>
      <c r="DA40" s="93">
        <v>1.2030598690282495</v>
      </c>
      <c r="DB40" s="93">
        <v>-0.75331060884677437</v>
      </c>
      <c r="DC40" s="93">
        <v>0.37199895614535888</v>
      </c>
      <c r="DD40" s="93">
        <f t="shared" si="39"/>
        <v>-0.38131165270141548</v>
      </c>
      <c r="DF40" s="39">
        <f t="shared" si="40"/>
        <v>2.8492227911662393</v>
      </c>
      <c r="DG40" s="93">
        <v>0.26526553724864882</v>
      </c>
      <c r="DH40" s="93">
        <v>6.1213590868147122E-2</v>
      </c>
      <c r="DI40" s="93">
        <v>8.6044835380935866E-2</v>
      </c>
      <c r="DJ40" s="93">
        <f t="shared" si="41"/>
        <v>0.14725842624908297</v>
      </c>
      <c r="DK40" s="106"/>
      <c r="DL40" s="39">
        <f t="shared" si="42"/>
        <v>2.5221830839160519</v>
      </c>
      <c r="DM40" s="93">
        <v>1.5884772543314236E-2</v>
      </c>
      <c r="DN40" s="93">
        <v>1.9277940138610408E-3</v>
      </c>
      <c r="DO40" s="93">
        <v>4.4931287492361305E-3</v>
      </c>
      <c r="DP40" s="93">
        <f t="shared" si="43"/>
        <v>6.4209227630971713E-3</v>
      </c>
    </row>
    <row r="41" spans="1:120" x14ac:dyDescent="0.2">
      <c r="A41" s="90">
        <f>name!B37</f>
        <v>0</v>
      </c>
      <c r="B41" s="39">
        <f t="shared" si="1"/>
        <v>2.6219584526235851</v>
      </c>
      <c r="C41" s="11">
        <v>9.5199829855549893</v>
      </c>
      <c r="D41" s="93">
        <v>1.2808958930051737</v>
      </c>
      <c r="E41" s="93">
        <v>2.8121772094303279</v>
      </c>
      <c r="F41" s="93">
        <f t="shared" si="2"/>
        <v>4.0930731024355014</v>
      </c>
      <c r="G41" s="93"/>
      <c r="H41" s="39">
        <f t="shared" si="3"/>
        <v>2.4658199500782629</v>
      </c>
      <c r="I41" s="93">
        <v>0.81619786230081037</v>
      </c>
      <c r="J41" s="93">
        <v>0.237585138792064</v>
      </c>
      <c r="K41" s="93">
        <v>0.22512559128548079</v>
      </c>
      <c r="L41" s="93">
        <f t="shared" si="4"/>
        <v>0.46271073007754482</v>
      </c>
      <c r="N41" s="39">
        <f t="shared" si="5"/>
        <v>2.6634862095569645</v>
      </c>
      <c r="O41" s="93">
        <v>2.0711276399167695</v>
      </c>
      <c r="P41" s="93">
        <v>0.44161042637100889</v>
      </c>
      <c r="Q41" s="93">
        <v>0.62268224619976209</v>
      </c>
      <c r="R41" s="93">
        <f t="shared" si="6"/>
        <v>1.0642926725707711</v>
      </c>
      <c r="S41" s="106"/>
      <c r="T41" s="39">
        <f t="shared" si="7"/>
        <v>2.628048625603352</v>
      </c>
      <c r="U41" s="93">
        <v>6.6326574833374119</v>
      </c>
      <c r="V41" s="93">
        <v>0.60170032784210092</v>
      </c>
      <c r="W41" s="93">
        <v>1.9643693719450848</v>
      </c>
      <c r="X41" s="93">
        <f t="shared" si="8"/>
        <v>2.5660696997871857</v>
      </c>
      <c r="Y41" s="90">
        <f t="shared" si="0"/>
        <v>0</v>
      </c>
      <c r="Z41" s="39">
        <f t="shared" si="9"/>
        <v>2.6231625982701789</v>
      </c>
      <c r="AA41" s="11">
        <v>7.8178668346409639</v>
      </c>
      <c r="AB41" s="93">
        <v>0.85873650454850714</v>
      </c>
      <c r="AC41" s="93">
        <v>2.3105650783484251</v>
      </c>
      <c r="AD41" s="93">
        <f t="shared" si="10"/>
        <v>3.1693015828969324</v>
      </c>
      <c r="AE41" s="93"/>
      <c r="AF41" s="39">
        <f t="shared" si="11"/>
        <v>2.4078323200257934</v>
      </c>
      <c r="AG41" s="93">
        <v>0.42302413000387928</v>
      </c>
      <c r="AH41" s="93">
        <v>0.33710538828897285</v>
      </c>
      <c r="AI41" s="93">
        <v>0.11363296527709778</v>
      </c>
      <c r="AJ41" s="93">
        <f t="shared" si="12"/>
        <v>0.45073835356607062</v>
      </c>
      <c r="AL41" s="39">
        <f t="shared" si="13"/>
        <v>2.7256227849607129</v>
      </c>
      <c r="AM41" s="93">
        <v>1.0976496509709948</v>
      </c>
      <c r="AN41" s="93">
        <v>1.0248190705673856E-3</v>
      </c>
      <c r="AO41" s="93">
        <v>0.33867155545083699</v>
      </c>
      <c r="AP41" s="93">
        <f t="shared" si="14"/>
        <v>0.33969637452140439</v>
      </c>
      <c r="AQ41" s="106"/>
      <c r="AR41" s="39">
        <f t="shared" si="15"/>
        <v>2.6195513042214014</v>
      </c>
      <c r="AS41" s="93">
        <v>6.2971930536660903</v>
      </c>
      <c r="AT41" s="93">
        <v>0.52060629718896689</v>
      </c>
      <c r="AU41" s="93">
        <v>1.8582605576204905</v>
      </c>
      <c r="AV41" s="93">
        <f t="shared" si="16"/>
        <v>2.3788668548094574</v>
      </c>
      <c r="AW41" s="90">
        <f t="shared" si="17"/>
        <v>0</v>
      </c>
      <c r="AX41" s="39">
        <f t="shared" si="18"/>
        <v>2.6785764491621844</v>
      </c>
      <c r="AY41" s="11">
        <v>0.96217009441048162</v>
      </c>
      <c r="AZ41" s="93">
        <v>0.19915521880321993</v>
      </c>
      <c r="BA41" s="93">
        <v>0.29111606469515938</v>
      </c>
      <c r="BB41" s="93">
        <f t="shared" si="19"/>
        <v>0.49027128349837934</v>
      </c>
      <c r="BC41" s="93"/>
      <c r="BD41" s="39">
        <f t="shared" si="20"/>
        <v>2.6372048618027666</v>
      </c>
      <c r="BE41" s="93">
        <v>0.12023971653791019</v>
      </c>
      <c r="BF41" s="93">
        <v>4.7709276205164207E-3</v>
      </c>
      <c r="BG41" s="93">
        <v>3.5750049535400286E-2</v>
      </c>
      <c r="BH41" s="93">
        <f t="shared" si="21"/>
        <v>4.052097715591671E-2</v>
      </c>
      <c r="BJ41" s="39">
        <f t="shared" si="22"/>
        <v>2.6370907343919114</v>
      </c>
      <c r="BK41" s="93">
        <v>0.59167940202908853</v>
      </c>
      <c r="BL41" s="93">
        <v>0.15764745541630559</v>
      </c>
      <c r="BM41" s="93">
        <v>0.17591143975903728</v>
      </c>
      <c r="BN41" s="93">
        <f t="shared" si="23"/>
        <v>0.33355889517534287</v>
      </c>
      <c r="BO41" s="106"/>
      <c r="BP41" s="39">
        <f t="shared" si="24"/>
        <v>2.7957236007542408</v>
      </c>
      <c r="BQ41" s="93">
        <v>0.25025097584348277</v>
      </c>
      <c r="BR41" s="93">
        <v>3.6736835766397878E-2</v>
      </c>
      <c r="BS41" s="93">
        <v>7.945457540072183E-2</v>
      </c>
      <c r="BT41" s="93">
        <f t="shared" si="25"/>
        <v>0.1161914111671197</v>
      </c>
      <c r="BU41" s="90">
        <f t="shared" si="26"/>
        <v>0</v>
      </c>
      <c r="BV41" s="39">
        <f t="shared" si="27"/>
        <v>2.5508183926929773</v>
      </c>
      <c r="BW41" s="11">
        <v>0.50584005818189604</v>
      </c>
      <c r="BX41" s="93">
        <v>0.32238456824668921</v>
      </c>
      <c r="BY41" s="93">
        <v>0.1448954785012399</v>
      </c>
      <c r="BZ41" s="93">
        <f t="shared" si="28"/>
        <v>0.46728004674792911</v>
      </c>
      <c r="CA41" s="93"/>
      <c r="CB41" s="39">
        <f t="shared" si="29"/>
        <v>2.5367449852401247</v>
      </c>
      <c r="CC41" s="93">
        <v>9.1589573227019994E-2</v>
      </c>
      <c r="CD41" s="93">
        <v>-4.2808638867016524E-3</v>
      </c>
      <c r="CE41" s="93">
        <v>2.6073802070792795E-2</v>
      </c>
      <c r="CF41" s="93">
        <f t="shared" si="30"/>
        <v>2.1792938184091143E-2</v>
      </c>
      <c r="CH41" s="39">
        <f t="shared" si="31"/>
        <v>2.5204548632431933</v>
      </c>
      <c r="CI41" s="93">
        <v>0.33966700342259021</v>
      </c>
      <c r="CJ41" s="93">
        <v>0.28850292379729831</v>
      </c>
      <c r="CK41" s="93">
        <v>9.6003947721158597E-2</v>
      </c>
      <c r="CL41" s="93">
        <f t="shared" si="32"/>
        <v>0.38450687151845692</v>
      </c>
      <c r="CM41" s="106"/>
      <c r="CN41" s="39">
        <f t="shared" si="33"/>
        <v>2.7051379124598762</v>
      </c>
      <c r="CO41" s="93">
        <v>7.458348153228582E-2</v>
      </c>
      <c r="CP41" s="93">
        <v>3.8162508336092499E-2</v>
      </c>
      <c r="CQ41" s="93">
        <v>2.2817728709288516E-2</v>
      </c>
      <c r="CR41" s="93">
        <f t="shared" si="34"/>
        <v>6.0980237045381011E-2</v>
      </c>
      <c r="CS41" s="90">
        <f t="shared" si="35"/>
        <v>0</v>
      </c>
      <c r="CT41" s="39">
        <f t="shared" si="36"/>
        <v>2.5010642333554323</v>
      </c>
      <c r="CU41" s="11">
        <v>0.23410599832164924</v>
      </c>
      <c r="CV41" s="93">
        <v>-9.9380398593242464E-2</v>
      </c>
      <c r="CW41" s="93">
        <v>6.5600587885503062E-2</v>
      </c>
      <c r="CX41" s="93">
        <f t="shared" si="37"/>
        <v>-3.3779810707739402E-2</v>
      </c>
      <c r="CY41" s="93"/>
      <c r="CZ41" s="39">
        <f t="shared" si="38"/>
        <v>2.4503054838948435</v>
      </c>
      <c r="DA41" s="93">
        <v>0.18134444253200094</v>
      </c>
      <c r="DB41" s="93">
        <v>-0.10001031323072365</v>
      </c>
      <c r="DC41" s="93">
        <v>4.9668774402189947E-2</v>
      </c>
      <c r="DD41" s="93">
        <f t="shared" si="39"/>
        <v>-5.0341538828533705E-2</v>
      </c>
      <c r="DF41" s="39">
        <f t="shared" si="40"/>
        <v>2.5559091493363884</v>
      </c>
      <c r="DG41" s="93">
        <v>4.2131583494095966E-2</v>
      </c>
      <c r="DH41" s="93">
        <v>-5.5647719131624168E-3</v>
      </c>
      <c r="DI41" s="93">
        <v>1.2095303268729192E-2</v>
      </c>
      <c r="DJ41" s="93">
        <f t="shared" si="41"/>
        <v>6.5305313555667748E-3</v>
      </c>
      <c r="DK41" s="106"/>
      <c r="DL41" s="39">
        <f t="shared" si="42"/>
        <v>3.1295401767871711</v>
      </c>
      <c r="DM41" s="93">
        <v>1.0629972295552376E-2</v>
      </c>
      <c r="DN41" s="93">
        <v>6.1946865506436119E-3</v>
      </c>
      <c r="DO41" s="93">
        <v>3.8365102145839292E-3</v>
      </c>
      <c r="DP41" s="93">
        <f t="shared" si="43"/>
        <v>1.003119676522754E-2</v>
      </c>
    </row>
    <row r="42" spans="1:120" x14ac:dyDescent="0.2">
      <c r="A42" s="90">
        <f>name!B38</f>
        <v>0</v>
      </c>
      <c r="B42" s="39">
        <f t="shared" si="1"/>
        <v>2.7659066814350819</v>
      </c>
      <c r="C42" s="11">
        <v>41.327917877507424</v>
      </c>
      <c r="D42" s="93">
        <v>5.5428905332373821</v>
      </c>
      <c r="E42" s="93">
        <v>12.963865628503205</v>
      </c>
      <c r="F42" s="93">
        <f t="shared" si="2"/>
        <v>18.506756161740586</v>
      </c>
      <c r="G42" s="93"/>
      <c r="H42" s="39">
        <f t="shared" si="3"/>
        <v>2.5883895459776651</v>
      </c>
      <c r="I42" s="93">
        <v>6.6477909633603698</v>
      </c>
      <c r="J42" s="93">
        <v>0.46903863547743174</v>
      </c>
      <c r="K42" s="93">
        <v>1.9356115118566004</v>
      </c>
      <c r="L42" s="93">
        <f t="shared" si="4"/>
        <v>2.4046501473340323</v>
      </c>
      <c r="N42" s="39">
        <f t="shared" si="5"/>
        <v>2.6369495607399429</v>
      </c>
      <c r="O42" s="93">
        <v>13.326579267199337</v>
      </c>
      <c r="P42" s="93">
        <v>1.877839557749986</v>
      </c>
      <c r="Q42" s="93">
        <v>3.9618702925814446</v>
      </c>
      <c r="R42" s="93">
        <f t="shared" si="6"/>
        <v>5.8397098503314311</v>
      </c>
      <c r="S42" s="106"/>
      <c r="T42" s="39">
        <f t="shared" si="7"/>
        <v>2.8999820012332478</v>
      </c>
      <c r="U42" s="93">
        <v>21.35354764694771</v>
      </c>
      <c r="V42" s="93">
        <v>3.1960123400099647</v>
      </c>
      <c r="W42" s="93">
        <v>7.0663838240651593</v>
      </c>
      <c r="X42" s="93">
        <f t="shared" si="8"/>
        <v>10.262396164075124</v>
      </c>
      <c r="Y42" s="90">
        <f t="shared" si="0"/>
        <v>0</v>
      </c>
      <c r="Z42" s="39">
        <f t="shared" si="9"/>
        <v>2.8515281797403702</v>
      </c>
      <c r="AA42" s="11">
        <v>28.851400371214467</v>
      </c>
      <c r="AB42" s="93">
        <v>2.9117941769720685</v>
      </c>
      <c r="AC42" s="93">
        <v>9.3671654902328125</v>
      </c>
      <c r="AD42" s="93">
        <f t="shared" si="10"/>
        <v>12.27895966720488</v>
      </c>
      <c r="AE42" s="93"/>
      <c r="AF42" s="39">
        <f t="shared" si="11"/>
        <v>2.7312978006911237</v>
      </c>
      <c r="AG42" s="93">
        <v>2.3074493769266002</v>
      </c>
      <c r="AH42" s="93">
        <v>8.8154748807107802E-2</v>
      </c>
      <c r="AI42" s="93">
        <v>0.7136146359797787</v>
      </c>
      <c r="AJ42" s="93">
        <f t="shared" si="12"/>
        <v>0.80176938478688653</v>
      </c>
      <c r="AL42" s="39">
        <f t="shared" si="13"/>
        <v>2.6978647455589311</v>
      </c>
      <c r="AM42" s="93">
        <v>7.996889456722271</v>
      </c>
      <c r="AN42" s="93">
        <v>0.23978644928801202</v>
      </c>
      <c r="AO42" s="93">
        <v>2.4391384738532835</v>
      </c>
      <c r="AP42" s="93">
        <f t="shared" si="14"/>
        <v>2.6789249231412957</v>
      </c>
      <c r="AQ42" s="106"/>
      <c r="AR42" s="39">
        <f t="shared" si="15"/>
        <v>2.9319352041224489</v>
      </c>
      <c r="AS42" s="93">
        <v>18.547061537565593</v>
      </c>
      <c r="AT42" s="93">
        <v>2.5838529788769486</v>
      </c>
      <c r="AU42" s="93">
        <v>6.2144123803997511</v>
      </c>
      <c r="AV42" s="93">
        <f t="shared" si="16"/>
        <v>8.7982653592766997</v>
      </c>
      <c r="AW42" s="90">
        <f t="shared" si="17"/>
        <v>0</v>
      </c>
      <c r="AX42" s="39">
        <f t="shared" si="18"/>
        <v>2.5785306073743852</v>
      </c>
      <c r="AY42" s="11">
        <v>6.5037812929444394</v>
      </c>
      <c r="AZ42" s="93">
        <v>1.0757665767010658</v>
      </c>
      <c r="BA42" s="93">
        <v>1.8856141436015186</v>
      </c>
      <c r="BB42" s="93">
        <f t="shared" si="19"/>
        <v>2.9613807203025844</v>
      </c>
      <c r="BC42" s="93"/>
      <c r="BD42" s="39">
        <f t="shared" si="20"/>
        <v>2.4818332070334348</v>
      </c>
      <c r="BE42" s="93">
        <v>1.8237775728680967</v>
      </c>
      <c r="BF42" s="93">
        <v>0.40035255591572777</v>
      </c>
      <c r="BG42" s="93">
        <v>0.50667745232067052</v>
      </c>
      <c r="BH42" s="93">
        <f t="shared" si="21"/>
        <v>0.90703000823639823</v>
      </c>
      <c r="BJ42" s="39">
        <f t="shared" si="22"/>
        <v>2.5440839893432932</v>
      </c>
      <c r="BK42" s="93">
        <v>2.6329814450846953</v>
      </c>
      <c r="BL42" s="93">
        <v>0.36645710610714699</v>
      </c>
      <c r="BM42" s="93">
        <v>0.75198133827523139</v>
      </c>
      <c r="BN42" s="93">
        <f t="shared" si="23"/>
        <v>1.1184384443823783</v>
      </c>
      <c r="BO42" s="106"/>
      <c r="BP42" s="39">
        <f t="shared" si="24"/>
        <v>2.7078220766586059</v>
      </c>
      <c r="BQ42" s="93">
        <v>2.0470222749916469</v>
      </c>
      <c r="BR42" s="93">
        <v>0.30895691467819097</v>
      </c>
      <c r="BS42" s="93">
        <v>0.62695535300561678</v>
      </c>
      <c r="BT42" s="93">
        <f t="shared" si="25"/>
        <v>0.93591226768380775</v>
      </c>
      <c r="BU42" s="90">
        <f t="shared" si="26"/>
        <v>0</v>
      </c>
      <c r="BV42" s="39">
        <f t="shared" si="27"/>
        <v>2.4352549002091939</v>
      </c>
      <c r="BW42" s="11">
        <v>3.9926676757116213</v>
      </c>
      <c r="BX42" s="93">
        <v>1.3942061283114771</v>
      </c>
      <c r="BY42" s="93">
        <v>1.0860923018676825</v>
      </c>
      <c r="BZ42" s="93">
        <f t="shared" si="28"/>
        <v>2.4802984301791593</v>
      </c>
      <c r="CA42" s="93"/>
      <c r="CB42" s="39">
        <f t="shared" si="29"/>
        <v>2.3820319758712349</v>
      </c>
      <c r="CC42" s="93">
        <v>1.5804510737327937</v>
      </c>
      <c r="CD42" s="93">
        <v>0.54763313458440666</v>
      </c>
      <c r="CE42" s="93">
        <v>0.41949600254904829</v>
      </c>
      <c r="CF42" s="93">
        <f t="shared" si="30"/>
        <v>0.96712913713345494</v>
      </c>
      <c r="CH42" s="39">
        <f t="shared" si="31"/>
        <v>2.4397967914120189</v>
      </c>
      <c r="CI42" s="93">
        <v>1.8177774091588061</v>
      </c>
      <c r="CJ42" s="93">
        <v>0.71493905267938562</v>
      </c>
      <c r="CK42" s="93">
        <v>0.49550036268130071</v>
      </c>
      <c r="CL42" s="93">
        <f t="shared" si="32"/>
        <v>1.2104394153606863</v>
      </c>
      <c r="CM42" s="106"/>
      <c r="CN42" s="39">
        <f t="shared" si="33"/>
        <v>2.5618317898631338</v>
      </c>
      <c r="CO42" s="93">
        <v>0.59443919282002144</v>
      </c>
      <c r="CP42" s="93">
        <v>0.13163394104768467</v>
      </c>
      <c r="CQ42" s="93">
        <v>0.1710959366373333</v>
      </c>
      <c r="CR42" s="93">
        <f t="shared" si="34"/>
        <v>0.30272987768501797</v>
      </c>
      <c r="CS42" s="90">
        <f t="shared" si="35"/>
        <v>0</v>
      </c>
      <c r="CT42" s="39">
        <f t="shared" si="36"/>
        <v>2.7812246199814927</v>
      </c>
      <c r="CU42" s="11">
        <v>1.9800685376368916</v>
      </c>
      <c r="CV42" s="93">
        <v>0.16112365125277109</v>
      </c>
      <c r="CW42" s="93">
        <v>0.62499369280119021</v>
      </c>
      <c r="CX42" s="93">
        <f t="shared" si="37"/>
        <v>0.78611734405396128</v>
      </c>
      <c r="CY42" s="93"/>
      <c r="CZ42" s="39">
        <f t="shared" si="38"/>
        <v>2.7841153979467625</v>
      </c>
      <c r="DA42" s="93">
        <v>0.93611293983287924</v>
      </c>
      <c r="DB42" s="93">
        <v>-0.56710180382981035</v>
      </c>
      <c r="DC42" s="93">
        <v>0.29582342100710285</v>
      </c>
      <c r="DD42" s="93">
        <f t="shared" si="39"/>
        <v>-0.2712783828227075</v>
      </c>
      <c r="DF42" s="39">
        <f t="shared" si="40"/>
        <v>2.7618510900035087</v>
      </c>
      <c r="DG42" s="93">
        <v>0.87893095623356221</v>
      </c>
      <c r="DH42" s="93">
        <v>0.55665694967544133</v>
      </c>
      <c r="DI42" s="93">
        <v>0.275250117771629</v>
      </c>
      <c r="DJ42" s="93">
        <f t="shared" si="41"/>
        <v>0.83190706744707033</v>
      </c>
      <c r="DK42" s="106"/>
      <c r="DL42" s="39">
        <f t="shared" si="42"/>
        <v>2.8675941660104565</v>
      </c>
      <c r="DM42" s="93">
        <v>0.16502464157045005</v>
      </c>
      <c r="DN42" s="93">
        <v>0.17156850540714014</v>
      </c>
      <c r="DO42" s="93">
        <v>5.3920154022458346E-2</v>
      </c>
      <c r="DP42" s="93">
        <f t="shared" si="43"/>
        <v>0.22548865942959848</v>
      </c>
    </row>
    <row r="43" spans="1:120" x14ac:dyDescent="0.2">
      <c r="A43" s="90">
        <f>name!B39</f>
        <v>0</v>
      </c>
      <c r="B43" s="39">
        <f t="shared" si="1"/>
        <v>2.964323205894126</v>
      </c>
      <c r="C43" s="11">
        <v>366.60612974536059</v>
      </c>
      <c r="D43" s="93">
        <v>59.276568078745363</v>
      </c>
      <c r="E43" s="93">
        <v>124.37795424368858</v>
      </c>
      <c r="F43" s="93">
        <f t="shared" si="2"/>
        <v>183.65452232243393</v>
      </c>
      <c r="G43" s="93"/>
      <c r="H43" s="39">
        <f t="shared" si="3"/>
        <v>2.8629023744369153</v>
      </c>
      <c r="I43" s="93">
        <v>60.29612584772859</v>
      </c>
      <c r="J43" s="93">
        <v>6.2659503707421011</v>
      </c>
      <c r="K43" s="93">
        <v>19.664677844879822</v>
      </c>
      <c r="L43" s="93">
        <f t="shared" si="4"/>
        <v>25.930628215621923</v>
      </c>
      <c r="N43" s="39">
        <f t="shared" si="5"/>
        <v>2.910542307155306</v>
      </c>
      <c r="O43" s="93">
        <v>109.06467888707947</v>
      </c>
      <c r="P43" s="93">
        <v>29.524424023904043</v>
      </c>
      <c r="Q43" s="93">
        <v>36.241068661330416</v>
      </c>
      <c r="R43" s="93">
        <f t="shared" si="6"/>
        <v>65.765492685234463</v>
      </c>
      <c r="S43" s="106"/>
      <c r="T43" s="39">
        <f t="shared" si="7"/>
        <v>3.0246977932693042</v>
      </c>
      <c r="U43" s="93">
        <v>197.24532501055251</v>
      </c>
      <c r="V43" s="93">
        <v>23.486193684099216</v>
      </c>
      <c r="W43" s="93">
        <v>68.472207737478328</v>
      </c>
      <c r="X43" s="93">
        <f t="shared" si="8"/>
        <v>91.958401421577548</v>
      </c>
      <c r="Y43" s="90">
        <f t="shared" si="0"/>
        <v>0</v>
      </c>
      <c r="Z43" s="39">
        <f t="shared" si="9"/>
        <v>3.067775138448714</v>
      </c>
      <c r="AA43" s="11">
        <v>128.40645062723203</v>
      </c>
      <c r="AB43" s="93">
        <v>11.85508119620458</v>
      </c>
      <c r="AC43" s="93">
        <v>45.299963238210964</v>
      </c>
      <c r="AD43" s="93">
        <f t="shared" si="10"/>
        <v>57.155044434415544</v>
      </c>
      <c r="AE43" s="93"/>
      <c r="AF43" s="39">
        <f t="shared" si="11"/>
        <v>2.9973382412868288</v>
      </c>
      <c r="AG43" s="93">
        <v>2.355165456214976</v>
      </c>
      <c r="AH43" s="93">
        <v>0.9637811048672672</v>
      </c>
      <c r="AI43" s="93">
        <v>0.80916212463532233</v>
      </c>
      <c r="AJ43" s="93">
        <f t="shared" si="12"/>
        <v>1.7729432295025895</v>
      </c>
      <c r="AL43" s="39">
        <f t="shared" si="13"/>
        <v>2.9883483560949609</v>
      </c>
      <c r="AM43" s="93">
        <v>12.753554522103531</v>
      </c>
      <c r="AN43" s="93">
        <v>-1.189686119892166</v>
      </c>
      <c r="AO43" s="93">
        <v>4.3667772486974572</v>
      </c>
      <c r="AP43" s="93">
        <f t="shared" si="14"/>
        <v>3.1770911288052912</v>
      </c>
      <c r="AQ43" s="106"/>
      <c r="AR43" s="39">
        <f t="shared" si="15"/>
        <v>3.0781400233887757</v>
      </c>
      <c r="AS43" s="93">
        <v>113.29773064891354</v>
      </c>
      <c r="AT43" s="93">
        <v>12.080986211229478</v>
      </c>
      <c r="AU43" s="93">
        <v>40.124023864878183</v>
      </c>
      <c r="AV43" s="93">
        <f t="shared" si="16"/>
        <v>52.205010076107662</v>
      </c>
      <c r="AW43" s="90">
        <f t="shared" si="17"/>
        <v>0</v>
      </c>
      <c r="AX43" s="39">
        <f t="shared" si="18"/>
        <v>2.6535599438878954</v>
      </c>
      <c r="AY43" s="11">
        <v>85.340941379457291</v>
      </c>
      <c r="AZ43" s="93">
        <v>21.654635101028848</v>
      </c>
      <c r="BA43" s="93">
        <v>25.550385149909442</v>
      </c>
      <c r="BB43" s="93">
        <f t="shared" si="19"/>
        <v>47.20502025093829</v>
      </c>
      <c r="BC43" s="93"/>
      <c r="BD43" s="39">
        <f t="shared" si="20"/>
        <v>2.5369749451499946</v>
      </c>
      <c r="BE43" s="93">
        <v>7.9924706336224665</v>
      </c>
      <c r="BF43" s="93">
        <v>4.6323396613046155</v>
      </c>
      <c r="BG43" s="93">
        <v>2.275534005888348</v>
      </c>
      <c r="BH43" s="93">
        <f t="shared" si="21"/>
        <v>6.9078736671929635</v>
      </c>
      <c r="BJ43" s="39">
        <f t="shared" si="22"/>
        <v>2.5624762152512082</v>
      </c>
      <c r="BK43" s="93">
        <v>27.005268580631853</v>
      </c>
      <c r="BL43" s="93">
        <v>10.223864247757708</v>
      </c>
      <c r="BM43" s="93">
        <v>7.7750437532035859</v>
      </c>
      <c r="BN43" s="93">
        <f t="shared" si="23"/>
        <v>17.998908000961293</v>
      </c>
      <c r="BO43" s="106"/>
      <c r="BP43" s="39">
        <f t="shared" si="24"/>
        <v>2.7204430066313234</v>
      </c>
      <c r="BQ43" s="93">
        <v>50.343202165202975</v>
      </c>
      <c r="BR43" s="93">
        <v>6.7984311919665235</v>
      </c>
      <c r="BS43" s="93">
        <v>15.499807390817509</v>
      </c>
      <c r="BT43" s="93">
        <f t="shared" si="25"/>
        <v>22.29823858278403</v>
      </c>
      <c r="BU43" s="90">
        <f t="shared" si="26"/>
        <v>0</v>
      </c>
      <c r="BV43" s="39">
        <f t="shared" si="27"/>
        <v>3.5825178625260357</v>
      </c>
      <c r="BW43" s="11">
        <v>28.783589754031564</v>
      </c>
      <c r="BX43" s="93">
        <v>9.0490542940407099</v>
      </c>
      <c r="BY43" s="93">
        <v>12.143380105807763</v>
      </c>
      <c r="BZ43" s="93">
        <f t="shared" si="28"/>
        <v>21.192434399848473</v>
      </c>
      <c r="CA43" s="93"/>
      <c r="CB43" s="39">
        <f t="shared" si="29"/>
        <v>3.2872271423685318</v>
      </c>
      <c r="CC43" s="93">
        <v>6.0845432642854735</v>
      </c>
      <c r="CD43" s="93">
        <v>4.4133646639922466</v>
      </c>
      <c r="CE43" s="93">
        <v>2.3234851029341566</v>
      </c>
      <c r="CF43" s="93">
        <f t="shared" si="30"/>
        <v>6.7368497669264027</v>
      </c>
      <c r="CH43" s="39">
        <f t="shared" si="31"/>
        <v>3.5081488727088939</v>
      </c>
      <c r="CI43" s="93">
        <v>13.730317697403695</v>
      </c>
      <c r="CJ43" s="93">
        <v>4.0524808534125691</v>
      </c>
      <c r="CK43" s="93">
        <v>5.6529058299467811</v>
      </c>
      <c r="CL43" s="93">
        <f t="shared" si="32"/>
        <v>9.7053866833593503</v>
      </c>
      <c r="CM43" s="106"/>
      <c r="CN43" s="39">
        <f t="shared" si="33"/>
        <v>3.8896522062592975</v>
      </c>
      <c r="CO43" s="93">
        <v>8.9687287923423913</v>
      </c>
      <c r="CP43" s="93">
        <v>0.58320877663589499</v>
      </c>
      <c r="CQ43" s="93">
        <v>4.1669891729268249</v>
      </c>
      <c r="CR43" s="93">
        <f t="shared" si="34"/>
        <v>4.75019794956272</v>
      </c>
      <c r="CS43" s="90">
        <f t="shared" si="35"/>
        <v>0</v>
      </c>
      <c r="CT43" s="39">
        <f t="shared" si="36"/>
        <v>2.9202085195014771</v>
      </c>
      <c r="CU43" s="11">
        <v>124.07514798463968</v>
      </c>
      <c r="CV43" s="93">
        <v>16.717797487471227</v>
      </c>
      <c r="CW43" s="93">
        <v>41.384225749760404</v>
      </c>
      <c r="CX43" s="93">
        <f t="shared" si="37"/>
        <v>58.102023237231634</v>
      </c>
      <c r="CY43" s="93"/>
      <c r="CZ43" s="39">
        <f t="shared" si="38"/>
        <v>2.8542214955234568</v>
      </c>
      <c r="DA43" s="93">
        <v>43.863946493605674</v>
      </c>
      <c r="DB43" s="93">
        <v>-3.7435350594220274</v>
      </c>
      <c r="DC43" s="93">
        <v>14.256496611421996</v>
      </c>
      <c r="DD43" s="93">
        <f t="shared" si="39"/>
        <v>10.512961551999968</v>
      </c>
      <c r="DF43" s="39">
        <f t="shared" si="40"/>
        <v>2.9076458934621296</v>
      </c>
      <c r="DG43" s="93">
        <v>55.575538086940398</v>
      </c>
      <c r="DH43" s="93">
        <v>16.43776504262593</v>
      </c>
      <c r="DI43" s="93">
        <v>18.446341829482595</v>
      </c>
      <c r="DJ43" s="93">
        <f t="shared" si="41"/>
        <v>34.884106872108525</v>
      </c>
      <c r="DK43" s="106"/>
      <c r="DL43" s="39">
        <f t="shared" si="42"/>
        <v>3.0647677202802814</v>
      </c>
      <c r="DM43" s="93">
        <v>24.635663404093616</v>
      </c>
      <c r="DN43" s="93">
        <v>4.0235675042673211</v>
      </c>
      <c r="DO43" s="93">
        <v>8.6813873088558129</v>
      </c>
      <c r="DP43" s="93">
        <f t="shared" si="43"/>
        <v>12.704954813123134</v>
      </c>
    </row>
    <row r="44" spans="1:120" x14ac:dyDescent="0.2">
      <c r="A44" s="90">
        <f>name!B40</f>
        <v>0</v>
      </c>
      <c r="B44" s="39">
        <f t="shared" si="1"/>
        <v>2.8357475835989687</v>
      </c>
      <c r="C44" s="11">
        <v>393.35784380285861</v>
      </c>
      <c r="D44" s="93">
        <v>-15.846501627171115</v>
      </c>
      <c r="E44" s="93">
        <v>126.91230773625192</v>
      </c>
      <c r="F44" s="93">
        <f t="shared" si="2"/>
        <v>111.0658061090808</v>
      </c>
      <c r="G44" s="93"/>
      <c r="H44" s="39">
        <f t="shared" si="3"/>
        <v>2.7516949963118487</v>
      </c>
      <c r="I44" s="93">
        <v>59.61461044933764</v>
      </c>
      <c r="J44" s="93">
        <v>-20.900434984544614</v>
      </c>
      <c r="K44" s="93">
        <v>18.591854917813837</v>
      </c>
      <c r="L44" s="93">
        <f t="shared" si="4"/>
        <v>-2.3085800667307765</v>
      </c>
      <c r="N44" s="39">
        <f t="shared" si="5"/>
        <v>2.7239499243143506</v>
      </c>
      <c r="O44" s="93">
        <v>173.18501469973404</v>
      </c>
      <c r="P44" s="93">
        <v>-1.7972543490150141</v>
      </c>
      <c r="Q44" s="93">
        <v>53.398033728841654</v>
      </c>
      <c r="R44" s="93">
        <f t="shared" si="6"/>
        <v>51.600779379826641</v>
      </c>
      <c r="S44" s="106"/>
      <c r="T44" s="39">
        <f t="shared" si="7"/>
        <v>2.9858531510617459</v>
      </c>
      <c r="U44" s="93">
        <v>160.55821865378698</v>
      </c>
      <c r="V44" s="93">
        <v>6.8511877063885063</v>
      </c>
      <c r="W44" s="93">
        <v>54.922419089596445</v>
      </c>
      <c r="X44" s="93">
        <f t="shared" si="8"/>
        <v>61.773606795984954</v>
      </c>
      <c r="Y44" s="90">
        <f t="shared" si="0"/>
        <v>0</v>
      </c>
      <c r="Z44" s="39">
        <f t="shared" si="9"/>
        <v>2.9519471351278748</v>
      </c>
      <c r="AA44" s="11">
        <v>193.55143168230654</v>
      </c>
      <c r="AB44" s="93">
        <v>39.567328495072999</v>
      </c>
      <c r="AC44" s="93">
        <v>65.354521617917186</v>
      </c>
      <c r="AD44" s="93">
        <f t="shared" si="10"/>
        <v>104.92185011299019</v>
      </c>
      <c r="AE44" s="93"/>
      <c r="AF44" s="39">
        <f t="shared" si="11"/>
        <v>2.732765888214872</v>
      </c>
      <c r="AG44" s="93">
        <v>8.9496893108903919</v>
      </c>
      <c r="AH44" s="93">
        <v>-0.38086275940552278</v>
      </c>
      <c r="AI44" s="93">
        <v>2.7695053307141997</v>
      </c>
      <c r="AJ44" s="93">
        <f t="shared" si="12"/>
        <v>2.3886425713086767</v>
      </c>
      <c r="AL44" s="39">
        <f t="shared" si="13"/>
        <v>2.7942517550996859</v>
      </c>
      <c r="AM44" s="93">
        <v>63.890128782218703</v>
      </c>
      <c r="AN44" s="93">
        <v>26.216367345241078</v>
      </c>
      <c r="AO44" s="93">
        <v>20.273036384531288</v>
      </c>
      <c r="AP44" s="93">
        <f t="shared" si="14"/>
        <v>46.489403729772363</v>
      </c>
      <c r="AQ44" s="106"/>
      <c r="AR44" s="39">
        <f t="shared" si="15"/>
        <v>3.0505088630622845</v>
      </c>
      <c r="AS44" s="93">
        <v>120.71161358919746</v>
      </c>
      <c r="AT44" s="93">
        <v>13.731823909237447</v>
      </c>
      <c r="AU44" s="93">
        <v>42.311979902671695</v>
      </c>
      <c r="AV44" s="93">
        <f t="shared" si="16"/>
        <v>56.043803811909143</v>
      </c>
      <c r="AW44" s="90">
        <f t="shared" si="17"/>
        <v>0</v>
      </c>
      <c r="AX44" s="39">
        <f t="shared" si="18"/>
        <v>2.6545992493075765</v>
      </c>
      <c r="AY44" s="11">
        <v>136.55603857187839</v>
      </c>
      <c r="AZ44" s="93">
        <v>-43.002314866399423</v>
      </c>
      <c r="BA44" s="93">
        <v>40.901735073909045</v>
      </c>
      <c r="BB44" s="93">
        <f t="shared" si="19"/>
        <v>-2.1005797924903788</v>
      </c>
      <c r="BC44" s="93"/>
      <c r="BD44" s="39">
        <f t="shared" si="20"/>
        <v>2.5646880453044751</v>
      </c>
      <c r="BE44" s="93">
        <v>18.059085654406232</v>
      </c>
      <c r="BF44" s="93">
        <v>-9.0180538971045241</v>
      </c>
      <c r="BG44" s="93">
        <v>5.2043788432435791</v>
      </c>
      <c r="BH44" s="93">
        <f t="shared" si="21"/>
        <v>-3.813675053860945</v>
      </c>
      <c r="BJ44" s="39">
        <f t="shared" si="22"/>
        <v>2.6194787613104564</v>
      </c>
      <c r="BK44" s="93">
        <v>81.562939535953078</v>
      </c>
      <c r="BL44" s="93">
        <v>-26.535125434477635</v>
      </c>
      <c r="BM44" s="93">
        <v>24.06794423722156</v>
      </c>
      <c r="BN44" s="93">
        <f t="shared" si="23"/>
        <v>-2.4671811972560747</v>
      </c>
      <c r="BO44" s="106"/>
      <c r="BP44" s="39">
        <f t="shared" si="24"/>
        <v>2.775188253093952</v>
      </c>
      <c r="BQ44" s="93">
        <v>36.93401338151908</v>
      </c>
      <c r="BR44" s="93">
        <v>-7.4491355348172679</v>
      </c>
      <c r="BS44" s="93">
        <v>11.629411993443906</v>
      </c>
      <c r="BT44" s="93">
        <f t="shared" si="25"/>
        <v>4.1802764586266381</v>
      </c>
      <c r="BU44" s="90">
        <f t="shared" si="26"/>
        <v>0</v>
      </c>
      <c r="BV44" s="39">
        <f t="shared" si="27"/>
        <v>2.8583954213786456</v>
      </c>
      <c r="BW44" s="11">
        <v>20.489593186295824</v>
      </c>
      <c r="BX44" s="93">
        <v>-3.6169124626271385</v>
      </c>
      <c r="BY44" s="93">
        <v>6.6704706699605909</v>
      </c>
      <c r="BZ44" s="93">
        <f t="shared" si="28"/>
        <v>3.0535582073334524</v>
      </c>
      <c r="CA44" s="93"/>
      <c r="CB44" s="39">
        <f t="shared" si="29"/>
        <v>2.886706102007186</v>
      </c>
      <c r="CC44" s="93">
        <v>8.3246385618980643</v>
      </c>
      <c r="CD44" s="93">
        <v>-2.3561745304099531</v>
      </c>
      <c r="CE44" s="93">
        <v>2.7405296991725199</v>
      </c>
      <c r="CF44" s="93">
        <f t="shared" si="30"/>
        <v>0.38435516876256681</v>
      </c>
      <c r="CH44" s="39">
        <f t="shared" si="31"/>
        <v>2.8369795300950962</v>
      </c>
      <c r="CI44" s="93">
        <v>10.970091359887151</v>
      </c>
      <c r="CJ44" s="93">
        <v>-1.2157453343966669</v>
      </c>
      <c r="CK44" s="93">
        <v>3.541109966200767</v>
      </c>
      <c r="CL44" s="93">
        <f t="shared" si="32"/>
        <v>2.3253646318041001</v>
      </c>
      <c r="CM44" s="106"/>
      <c r="CN44" s="39">
        <f t="shared" si="33"/>
        <v>2.8573458698798015</v>
      </c>
      <c r="CO44" s="93">
        <v>1.1948632645106076</v>
      </c>
      <c r="CP44" s="93">
        <v>-4.4992597820518516E-2</v>
      </c>
      <c r="CQ44" s="93">
        <v>0.38883100458730496</v>
      </c>
      <c r="CR44" s="93">
        <f t="shared" si="34"/>
        <v>0.34383840676678645</v>
      </c>
      <c r="CS44" s="90">
        <f t="shared" si="35"/>
        <v>0</v>
      </c>
      <c r="CT44" s="39">
        <f t="shared" si="36"/>
        <v>2.8701182898648092</v>
      </c>
      <c r="CU44" s="11">
        <v>42.760780362377908</v>
      </c>
      <c r="CV44" s="93">
        <v>-8.7946027932175515</v>
      </c>
      <c r="CW44" s="93">
        <v>13.985580374465099</v>
      </c>
      <c r="CX44" s="93">
        <f t="shared" si="37"/>
        <v>5.190977581247548</v>
      </c>
      <c r="CY44" s="93"/>
      <c r="CZ44" s="39">
        <f t="shared" si="38"/>
        <v>2.8496351806148512</v>
      </c>
      <c r="DA44" s="93">
        <v>24.281196922142954</v>
      </c>
      <c r="DB44" s="93">
        <v>-9.1453437976246104</v>
      </c>
      <c r="DC44" s="93">
        <v>7.8774410446835388</v>
      </c>
      <c r="DD44" s="93">
        <f t="shared" si="39"/>
        <v>-1.2679027529410716</v>
      </c>
      <c r="DF44" s="39">
        <f t="shared" si="40"/>
        <v>2.8857004199172476</v>
      </c>
      <c r="DG44" s="93">
        <v>16.761855021675107</v>
      </c>
      <c r="DH44" s="93">
        <v>-0.26275092538178862</v>
      </c>
      <c r="DI44" s="93">
        <v>5.5159431408880319</v>
      </c>
      <c r="DJ44" s="93">
        <f t="shared" si="41"/>
        <v>5.2531922155062434</v>
      </c>
      <c r="DK44" s="106"/>
      <c r="DL44" s="39">
        <f t="shared" si="42"/>
        <v>3.0064287710700022</v>
      </c>
      <c r="DM44" s="93">
        <v>1.7177284185598474</v>
      </c>
      <c r="DN44" s="93">
        <v>0.61349192978884681</v>
      </c>
      <c r="DO44" s="93">
        <v>0.59219618889352987</v>
      </c>
      <c r="DP44" s="93">
        <f t="shared" si="43"/>
        <v>1.2056881186823767</v>
      </c>
    </row>
    <row r="45" spans="1:120" x14ac:dyDescent="0.2">
      <c r="A45" s="90">
        <f>name!B41</f>
        <v>0</v>
      </c>
      <c r="B45" s="39">
        <f t="shared" si="1"/>
        <v>2.5589515569040877</v>
      </c>
      <c r="C45" s="11">
        <v>378.65361093918506</v>
      </c>
      <c r="D45" s="93">
        <v>36.796399092126755</v>
      </c>
      <c r="E45" s="93">
        <v>108.84998948408384</v>
      </c>
      <c r="F45" s="93">
        <f t="shared" si="2"/>
        <v>145.6463885762106</v>
      </c>
      <c r="G45" s="93"/>
      <c r="H45" s="39">
        <f t="shared" si="3"/>
        <v>2.6970336356285651</v>
      </c>
      <c r="I45" s="93">
        <v>21.232264083662649</v>
      </c>
      <c r="J45" s="93">
        <v>5.5608874318156268E-2</v>
      </c>
      <c r="K45" s="93">
        <v>6.4738297499487887</v>
      </c>
      <c r="L45" s="93">
        <f t="shared" si="4"/>
        <v>6.5294386242669447</v>
      </c>
      <c r="N45" s="39">
        <f t="shared" si="5"/>
        <v>2.6178307858164995</v>
      </c>
      <c r="O45" s="93">
        <v>54.055750144900642</v>
      </c>
      <c r="P45" s="93">
        <v>7.7932985015424325</v>
      </c>
      <c r="Q45" s="93">
        <v>15.939762430606391</v>
      </c>
      <c r="R45" s="93">
        <f t="shared" si="6"/>
        <v>23.733060932148824</v>
      </c>
      <c r="S45" s="106"/>
      <c r="T45" s="39">
        <f t="shared" si="7"/>
        <v>2.5386919147606823</v>
      </c>
      <c r="U45" s="93">
        <v>303.36559671062184</v>
      </c>
      <c r="V45" s="93">
        <v>28.947491716266153</v>
      </c>
      <c r="W45" s="93">
        <v>86.436397303528679</v>
      </c>
      <c r="X45" s="93">
        <f t="shared" si="8"/>
        <v>115.38388901979484</v>
      </c>
      <c r="Y45" s="90">
        <f t="shared" si="0"/>
        <v>0</v>
      </c>
      <c r="Z45" s="39">
        <f t="shared" si="9"/>
        <v>2.5199611178011505</v>
      </c>
      <c r="AA45" s="11">
        <v>312.18144659946984</v>
      </c>
      <c r="AB45" s="93">
        <v>28.895682554218279</v>
      </c>
      <c r="AC45" s="93">
        <v>88.21610831482117</v>
      </c>
      <c r="AD45" s="93">
        <f t="shared" si="10"/>
        <v>117.11179086903945</v>
      </c>
      <c r="AE45" s="93"/>
      <c r="AF45" s="39">
        <f t="shared" si="11"/>
        <v>2.4310222459994479</v>
      </c>
      <c r="AG45" s="93">
        <v>3.9811352808305944</v>
      </c>
      <c r="AH45" s="93">
        <v>4.5008812227039625</v>
      </c>
      <c r="AI45" s="93">
        <v>1.0808631323162383</v>
      </c>
      <c r="AJ45" s="93">
        <f t="shared" si="12"/>
        <v>5.5817443550202004</v>
      </c>
      <c r="AL45" s="39">
        <f t="shared" si="13"/>
        <v>2.4685169170641119</v>
      </c>
      <c r="AM45" s="93">
        <v>20.509890701227175</v>
      </c>
      <c r="AN45" s="93">
        <v>4.1191890490955583</v>
      </c>
      <c r="AO45" s="93">
        <v>5.6639738538481845</v>
      </c>
      <c r="AP45" s="93">
        <f t="shared" si="14"/>
        <v>9.7831629029437437</v>
      </c>
      <c r="AQ45" s="106"/>
      <c r="AR45" s="39">
        <f t="shared" si="15"/>
        <v>2.524845301627332</v>
      </c>
      <c r="AS45" s="93">
        <v>287.69042061741203</v>
      </c>
      <c r="AT45" s="93">
        <v>20.275612282418756</v>
      </c>
      <c r="AU45" s="93">
        <v>81.471271328656755</v>
      </c>
      <c r="AV45" s="93">
        <f t="shared" si="16"/>
        <v>101.7468836110755</v>
      </c>
      <c r="AW45" s="90">
        <f t="shared" si="17"/>
        <v>0</v>
      </c>
      <c r="AX45" s="39">
        <f t="shared" si="18"/>
        <v>2.6549442218402941</v>
      </c>
      <c r="AY45" s="11">
        <v>41.892929155094187</v>
      </c>
      <c r="AZ45" s="93">
        <v>9.2492751468853793</v>
      </c>
      <c r="BA45" s="93">
        <v>12.549743972538471</v>
      </c>
      <c r="BB45" s="93">
        <f t="shared" si="19"/>
        <v>21.79901911942385</v>
      </c>
      <c r="BC45" s="93"/>
      <c r="BD45" s="39">
        <f t="shared" si="20"/>
        <v>2.5532327548231981</v>
      </c>
      <c r="BE45" s="93">
        <v>6.2009149306433597</v>
      </c>
      <c r="BF45" s="93">
        <v>-0.93789945412547293</v>
      </c>
      <c r="BG45" s="93">
        <v>1.7781008484106056</v>
      </c>
      <c r="BH45" s="93">
        <f t="shared" si="21"/>
        <v>0.84020139428513263</v>
      </c>
      <c r="BJ45" s="39">
        <f t="shared" si="22"/>
        <v>2.603317774412961</v>
      </c>
      <c r="BK45" s="93">
        <v>21.307415275332314</v>
      </c>
      <c r="BL45" s="93">
        <v>2.2423318572234603</v>
      </c>
      <c r="BM45" s="93">
        <v>6.2440571353848382</v>
      </c>
      <c r="BN45" s="93">
        <f t="shared" si="23"/>
        <v>8.4863889926082976</v>
      </c>
      <c r="BO45" s="106"/>
      <c r="BP45" s="39">
        <f t="shared" si="24"/>
        <v>2.7742686070164835</v>
      </c>
      <c r="BQ45" s="93">
        <v>14.384598949118512</v>
      </c>
      <c r="BR45" s="93">
        <v>7.9448427437873912</v>
      </c>
      <c r="BS45" s="93">
        <v>4.5275859887430272</v>
      </c>
      <c r="BT45" s="93">
        <f t="shared" si="25"/>
        <v>12.472428732530418</v>
      </c>
      <c r="BU45" s="90">
        <f t="shared" si="26"/>
        <v>0</v>
      </c>
      <c r="BV45" s="39">
        <f t="shared" si="27"/>
        <v>2.6192743149682007</v>
      </c>
      <c r="BW45" s="11">
        <v>2.9857552680997586</v>
      </c>
      <c r="BX45" s="93">
        <v>0.29752966440157663</v>
      </c>
      <c r="BY45" s="93">
        <v>0.88097251477732141</v>
      </c>
      <c r="BZ45" s="93">
        <f t="shared" si="28"/>
        <v>1.1785021791788981</v>
      </c>
      <c r="CA45" s="93"/>
      <c r="CB45" s="39">
        <f t="shared" si="29"/>
        <v>2.6102783759339943</v>
      </c>
      <c r="CC45" s="93">
        <v>1.0704246420939711</v>
      </c>
      <c r="CD45" s="93">
        <v>-0.11337152429818138</v>
      </c>
      <c r="CE45" s="93">
        <v>0.31462314152439591</v>
      </c>
      <c r="CF45" s="93">
        <f t="shared" si="30"/>
        <v>0.20125161722621454</v>
      </c>
      <c r="CH45" s="39">
        <f t="shared" si="31"/>
        <v>2.6315936742941082</v>
      </c>
      <c r="CI45" s="93">
        <v>1.5955005485136557</v>
      </c>
      <c r="CJ45" s="93">
        <v>0.30848080422027463</v>
      </c>
      <c r="CK45" s="93">
        <v>0.47324789856842298</v>
      </c>
      <c r="CL45" s="93">
        <f t="shared" si="32"/>
        <v>0.78172870278869766</v>
      </c>
      <c r="CM45" s="106"/>
      <c r="CN45" s="39">
        <f t="shared" si="33"/>
        <v>2.5878378150158365</v>
      </c>
      <c r="CO45" s="93">
        <v>0.31983007749213199</v>
      </c>
      <c r="CP45" s="93">
        <v>0.10242038447948336</v>
      </c>
      <c r="CQ45" s="93">
        <v>9.3101474684502514E-2</v>
      </c>
      <c r="CR45" s="93">
        <f t="shared" si="34"/>
        <v>0.19552185916398587</v>
      </c>
      <c r="CS45" s="90">
        <f t="shared" si="35"/>
        <v>0</v>
      </c>
      <c r="CT45" s="39">
        <f t="shared" si="36"/>
        <v>2.9205088963651926</v>
      </c>
      <c r="CU45" s="11">
        <v>21.593479916521417</v>
      </c>
      <c r="CV45" s="93">
        <v>-1.6460882733784852</v>
      </c>
      <c r="CW45" s="93">
        <v>7.2031646819468875</v>
      </c>
      <c r="CX45" s="93">
        <f t="shared" si="37"/>
        <v>5.5570764085684026</v>
      </c>
      <c r="CY45" s="93"/>
      <c r="CZ45" s="39">
        <f t="shared" si="38"/>
        <v>2.8981993026460096</v>
      </c>
      <c r="DA45" s="93">
        <v>9.979789230094724</v>
      </c>
      <c r="DB45" s="93">
        <v>-3.3940013699621523</v>
      </c>
      <c r="DC45" s="93">
        <v>3.3002426276975489</v>
      </c>
      <c r="DD45" s="93">
        <f t="shared" si="39"/>
        <v>-9.3758742264603345E-2</v>
      </c>
      <c r="DF45" s="39">
        <f t="shared" si="40"/>
        <v>2.9264568687984216</v>
      </c>
      <c r="DG45" s="93">
        <v>10.642943619827502</v>
      </c>
      <c r="DH45" s="93">
        <v>1.1232967910031393</v>
      </c>
      <c r="DI45" s="93">
        <v>3.5584835428049475</v>
      </c>
      <c r="DJ45" s="93">
        <f t="shared" si="41"/>
        <v>4.6817803338080868</v>
      </c>
      <c r="DK45" s="106"/>
      <c r="DL45" s="39">
        <f t="shared" si="42"/>
        <v>3.0832482448727161</v>
      </c>
      <c r="DM45" s="93">
        <v>0.97074706659919119</v>
      </c>
      <c r="DN45" s="93">
        <v>0.62461630558052772</v>
      </c>
      <c r="DO45" s="93">
        <v>0.34443851144439169</v>
      </c>
      <c r="DP45" s="93">
        <f t="shared" si="43"/>
        <v>0.96905481702491936</v>
      </c>
    </row>
    <row r="46" spans="1:120" x14ac:dyDescent="0.2">
      <c r="A46" s="90">
        <f>name!B42</f>
        <v>0</v>
      </c>
      <c r="B46" s="39">
        <f t="shared" si="1"/>
        <v>2.890259729191258</v>
      </c>
      <c r="C46" s="11">
        <v>596.16075467408132</v>
      </c>
      <c r="D46" s="93">
        <v>130.76412576439193</v>
      </c>
      <c r="E46" s="93">
        <v>196.53406172763593</v>
      </c>
      <c r="F46" s="93">
        <f t="shared" si="2"/>
        <v>327.29818749202786</v>
      </c>
      <c r="G46" s="93"/>
      <c r="H46" s="39">
        <f t="shared" si="3"/>
        <v>2.6788795437322488</v>
      </c>
      <c r="I46" s="93">
        <v>75.585819538445264</v>
      </c>
      <c r="J46" s="93">
        <v>4.2136979795279563</v>
      </c>
      <c r="K46" s="93">
        <v>22.872299636804904</v>
      </c>
      <c r="L46" s="93">
        <f t="shared" si="4"/>
        <v>27.085997616332861</v>
      </c>
      <c r="N46" s="39">
        <f t="shared" si="5"/>
        <v>2.706098654684097</v>
      </c>
      <c r="O46" s="93">
        <v>212.25679919065291</v>
      </c>
      <c r="P46" s="93">
        <v>64.236584035540048</v>
      </c>
      <c r="Q46" s="93">
        <v>64.962803722137807</v>
      </c>
      <c r="R46" s="93">
        <f t="shared" si="6"/>
        <v>129.19938775767787</v>
      </c>
      <c r="S46" s="106"/>
      <c r="T46" s="39">
        <f t="shared" si="7"/>
        <v>3.0660135882804918</v>
      </c>
      <c r="U46" s="93">
        <v>308.31813594498311</v>
      </c>
      <c r="V46" s="93">
        <v>62.313843749323915</v>
      </c>
      <c r="W46" s="93">
        <v>108.69895836869323</v>
      </c>
      <c r="X46" s="93">
        <f t="shared" si="8"/>
        <v>171.01280211801713</v>
      </c>
      <c r="Y46" s="90">
        <f t="shared" si="0"/>
        <v>0</v>
      </c>
      <c r="Z46" s="39">
        <f t="shared" si="9"/>
        <v>3.0502708921622101</v>
      </c>
      <c r="AA46" s="11">
        <v>335.93921919202376</v>
      </c>
      <c r="AB46" s="93">
        <v>65.992763386883993</v>
      </c>
      <c r="AC46" s="93">
        <v>117.74334207940043</v>
      </c>
      <c r="AD46" s="93">
        <f t="shared" si="10"/>
        <v>183.73610546628441</v>
      </c>
      <c r="AE46" s="93"/>
      <c r="AF46" s="39">
        <f t="shared" si="11"/>
        <v>2.772118894951725</v>
      </c>
      <c r="AG46" s="93">
        <v>6.0163041652184992</v>
      </c>
      <c r="AH46" s="93">
        <v>1.3292953942067818</v>
      </c>
      <c r="AI46" s="93">
        <v>1.8919913793244785</v>
      </c>
      <c r="AJ46" s="93">
        <f t="shared" si="12"/>
        <v>3.2212867735312605</v>
      </c>
      <c r="AL46" s="39">
        <f t="shared" si="13"/>
        <v>2.8305616396997912</v>
      </c>
      <c r="AM46" s="93">
        <v>54.066211981632996</v>
      </c>
      <c r="AN46" s="93">
        <v>15.192793130377611</v>
      </c>
      <c r="AO46" s="93">
        <v>17.40777706255945</v>
      </c>
      <c r="AP46" s="93">
        <f t="shared" si="14"/>
        <v>32.600570192937063</v>
      </c>
      <c r="AQ46" s="106"/>
      <c r="AR46" s="39">
        <f t="shared" si="15"/>
        <v>3.0988119312854945</v>
      </c>
      <c r="AS46" s="93">
        <v>275.85670304517225</v>
      </c>
      <c r="AT46" s="93">
        <v>49.470674862299603</v>
      </c>
      <c r="AU46" s="93">
        <v>98.443573637516494</v>
      </c>
      <c r="AV46" s="93">
        <f t="shared" si="16"/>
        <v>147.9142484998161</v>
      </c>
      <c r="AW46" s="90">
        <f t="shared" si="17"/>
        <v>0</v>
      </c>
      <c r="AX46" s="39">
        <f t="shared" si="18"/>
        <v>2.6039196652279051</v>
      </c>
      <c r="AY46" s="11">
        <v>159.03458473919616</v>
      </c>
      <c r="AZ46" s="93">
        <v>40.296222391531657</v>
      </c>
      <c r="BA46" s="93">
        <v>46.616544654725452</v>
      </c>
      <c r="BB46" s="93">
        <f t="shared" si="19"/>
        <v>86.912767046257102</v>
      </c>
      <c r="BC46" s="93"/>
      <c r="BD46" s="39">
        <f t="shared" si="20"/>
        <v>2.5452433226490934</v>
      </c>
      <c r="BE46" s="93">
        <v>21.770784421414771</v>
      </c>
      <c r="BF46" s="93">
        <v>-0.58525794672168419</v>
      </c>
      <c r="BG46" s="93">
        <v>6.2209156872515399</v>
      </c>
      <c r="BH46" s="93">
        <f t="shared" si="21"/>
        <v>5.6356577405298554</v>
      </c>
      <c r="BJ46" s="39">
        <f t="shared" si="22"/>
        <v>2.5795517536157053</v>
      </c>
      <c r="BK46" s="93">
        <v>109.52927387637574</v>
      </c>
      <c r="BL46" s="93">
        <v>30.843442039124554</v>
      </c>
      <c r="BM46" s="93">
        <v>31.769430063648457</v>
      </c>
      <c r="BN46" s="93">
        <f t="shared" si="23"/>
        <v>62.612872102773011</v>
      </c>
      <c r="BO46" s="106"/>
      <c r="BP46" s="39">
        <f t="shared" si="24"/>
        <v>2.7451139967111571</v>
      </c>
      <c r="BQ46" s="93">
        <v>27.734526441405688</v>
      </c>
      <c r="BR46" s="93">
        <v>10.038038299128784</v>
      </c>
      <c r="BS46" s="93">
        <v>8.6261989038254558</v>
      </c>
      <c r="BT46" s="93">
        <f t="shared" si="25"/>
        <v>18.66423720295424</v>
      </c>
      <c r="BU46" s="90">
        <f t="shared" si="26"/>
        <v>0</v>
      </c>
      <c r="BV46" s="39">
        <f t="shared" si="27"/>
        <v>2.4641512026180035</v>
      </c>
      <c r="BW46" s="11">
        <v>12.81458334002725</v>
      </c>
      <c r="BX46" s="93">
        <v>4.3895704257866655</v>
      </c>
      <c r="BY46" s="93">
        <v>3.5318857518426356</v>
      </c>
      <c r="BZ46" s="93">
        <f t="shared" si="28"/>
        <v>7.9214561776293007</v>
      </c>
      <c r="CA46" s="93"/>
      <c r="CB46" s="39">
        <f t="shared" si="29"/>
        <v>2.3360812858931101</v>
      </c>
      <c r="CC46" s="93">
        <v>6.0632147564116732</v>
      </c>
      <c r="CD46" s="93">
        <v>2.5684165487773454</v>
      </c>
      <c r="CE46" s="93">
        <v>1.5749808838887966</v>
      </c>
      <c r="CF46" s="93">
        <f t="shared" si="30"/>
        <v>4.1433974326661422</v>
      </c>
      <c r="CH46" s="39">
        <f t="shared" si="31"/>
        <v>2.5656844346393592</v>
      </c>
      <c r="CI46" s="93">
        <v>5.7160556182605653</v>
      </c>
      <c r="CJ46" s="93">
        <v>1.556033629424588</v>
      </c>
      <c r="CK46" s="93">
        <v>1.6480035734914502</v>
      </c>
      <c r="CL46" s="93">
        <f t="shared" si="32"/>
        <v>3.2040372029160382</v>
      </c>
      <c r="CM46" s="106"/>
      <c r="CN46" s="39">
        <f t="shared" si="33"/>
        <v>2.645445634877297</v>
      </c>
      <c r="CO46" s="93">
        <v>1.0353129653550115</v>
      </c>
      <c r="CP46" s="93">
        <v>0.26512024758473196</v>
      </c>
      <c r="CQ46" s="93">
        <v>0.30890129446238906</v>
      </c>
      <c r="CR46" s="93">
        <f t="shared" si="34"/>
        <v>0.57402154204712108</v>
      </c>
      <c r="CS46" s="90">
        <f t="shared" si="35"/>
        <v>0</v>
      </c>
      <c r="CT46" s="39">
        <f t="shared" si="36"/>
        <v>2.8471774384655868</v>
      </c>
      <c r="CU46" s="11">
        <v>88.372367402834058</v>
      </c>
      <c r="CV46" s="93">
        <v>20.085569560189615</v>
      </c>
      <c r="CW46" s="93">
        <v>28.642289241667434</v>
      </c>
      <c r="CX46" s="93">
        <f t="shared" si="37"/>
        <v>48.727858801857053</v>
      </c>
      <c r="CY46" s="93"/>
      <c r="CZ46" s="39">
        <f t="shared" si="38"/>
        <v>2.7832667945406842</v>
      </c>
      <c r="DA46" s="93">
        <v>41.735516195400322</v>
      </c>
      <c r="DB46" s="93">
        <v>0.90124398326551358</v>
      </c>
      <c r="DC46" s="93">
        <v>13.184411686340088</v>
      </c>
      <c r="DD46" s="93">
        <f t="shared" si="39"/>
        <v>14.085655669605602</v>
      </c>
      <c r="DF46" s="39">
        <f t="shared" si="40"/>
        <v>2.8866540918025541</v>
      </c>
      <c r="DG46" s="93">
        <v>42.945257714383601</v>
      </c>
      <c r="DH46" s="93">
        <v>16.644315236613298</v>
      </c>
      <c r="DI46" s="93">
        <v>14.137593022438447</v>
      </c>
      <c r="DJ46" s="93">
        <f t="shared" si="41"/>
        <v>30.781908259051747</v>
      </c>
      <c r="DK46" s="106"/>
      <c r="DL46" s="39">
        <f t="shared" si="42"/>
        <v>3.1047472891351457</v>
      </c>
      <c r="DM46" s="93">
        <v>3.6915934930501404</v>
      </c>
      <c r="DN46" s="93">
        <v>2.5400103403108023</v>
      </c>
      <c r="DO46" s="93">
        <v>1.320284532888897</v>
      </c>
      <c r="DP46" s="93">
        <f t="shared" si="43"/>
        <v>3.8602948731996993</v>
      </c>
    </row>
    <row r="47" spans="1:120" x14ac:dyDescent="0.2">
      <c r="A47" s="90">
        <f>name!B43</f>
        <v>0</v>
      </c>
      <c r="B47" s="39">
        <f t="shared" si="1"/>
        <v>2.865344899385458</v>
      </c>
      <c r="C47" s="11">
        <v>40.376210097149027</v>
      </c>
      <c r="D47" s="93">
        <v>12.806927196821107</v>
      </c>
      <c r="E47" s="93">
        <v>13.180811533634204</v>
      </c>
      <c r="F47" s="93">
        <f t="shared" si="2"/>
        <v>25.987738730455312</v>
      </c>
      <c r="G47" s="93"/>
      <c r="H47" s="39">
        <f t="shared" si="3"/>
        <v>2.7751718770929079</v>
      </c>
      <c r="I47" s="93">
        <v>9.3187758939343261</v>
      </c>
      <c r="J47" s="93">
        <v>1.4740755938305261</v>
      </c>
      <c r="K47" s="93">
        <v>2.934183240230555</v>
      </c>
      <c r="L47" s="93">
        <f t="shared" si="4"/>
        <v>4.4082588340610815</v>
      </c>
      <c r="N47" s="39">
        <f t="shared" si="5"/>
        <v>2.8011029016640654</v>
      </c>
      <c r="O47" s="93">
        <v>15.51970188832003</v>
      </c>
      <c r="P47" s="93">
        <v>4.6916947620293463</v>
      </c>
      <c r="Q47" s="93">
        <v>4.9382011045192602</v>
      </c>
      <c r="R47" s="93">
        <f t="shared" si="6"/>
        <v>9.6298958665486065</v>
      </c>
      <c r="S47" s="106"/>
      <c r="T47" s="39">
        <f t="shared" si="7"/>
        <v>2.9825975993459597</v>
      </c>
      <c r="U47" s="93">
        <v>15.537732314894669</v>
      </c>
      <c r="V47" s="93">
        <v>6.6411568409612336</v>
      </c>
      <c r="W47" s="93">
        <v>5.3084271888843881</v>
      </c>
      <c r="X47" s="93">
        <f t="shared" si="8"/>
        <v>11.949584029845621</v>
      </c>
      <c r="Y47" s="90">
        <f t="shared" si="0"/>
        <v>0</v>
      </c>
      <c r="Z47" s="39">
        <f t="shared" si="9"/>
        <v>3.0248158548996429</v>
      </c>
      <c r="AA47" s="11">
        <v>21.444049548280258</v>
      </c>
      <c r="AB47" s="93">
        <v>6.4637391240695505</v>
      </c>
      <c r="AC47" s="93">
        <v>7.4444690278107304</v>
      </c>
      <c r="AD47" s="93">
        <f t="shared" si="10"/>
        <v>13.908208151880281</v>
      </c>
      <c r="AE47" s="93"/>
      <c r="AF47" s="39">
        <f t="shared" si="11"/>
        <v>3.0872958603731293</v>
      </c>
      <c r="AG47" s="93">
        <v>2.7651222683057175</v>
      </c>
      <c r="AH47" s="93">
        <v>0.53339249467469196</v>
      </c>
      <c r="AI47" s="93">
        <v>0.98258633136794948</v>
      </c>
      <c r="AJ47" s="93">
        <f t="shared" si="12"/>
        <v>1.5159788260426414</v>
      </c>
      <c r="AL47" s="39">
        <f t="shared" si="13"/>
        <v>2.9781314195511888</v>
      </c>
      <c r="AM47" s="93">
        <v>6.7043000761876437</v>
      </c>
      <c r="AN47" s="93">
        <v>0.72118551121563768</v>
      </c>
      <c r="AO47" s="93">
        <v>2.286607135241129</v>
      </c>
      <c r="AP47" s="93">
        <f t="shared" si="14"/>
        <v>3.0077926464567666</v>
      </c>
      <c r="AQ47" s="106"/>
      <c r="AR47" s="39">
        <f t="shared" si="15"/>
        <v>3.0364271872712179</v>
      </c>
      <c r="AS47" s="93">
        <v>11.974627203786897</v>
      </c>
      <c r="AT47" s="93">
        <v>5.209161118179221</v>
      </c>
      <c r="AU47" s="93">
        <v>4.1752755612016514</v>
      </c>
      <c r="AV47" s="93">
        <f t="shared" si="16"/>
        <v>9.3844366793808724</v>
      </c>
      <c r="AW47" s="90">
        <f t="shared" si="17"/>
        <v>0</v>
      </c>
      <c r="AX47" s="39">
        <f t="shared" si="18"/>
        <v>2.6056938584245515</v>
      </c>
      <c r="AY47" s="11">
        <v>11.013605155901349</v>
      </c>
      <c r="AZ47" s="93">
        <v>1.0299128541872438</v>
      </c>
      <c r="BA47" s="93">
        <v>3.2307934614555975</v>
      </c>
      <c r="BB47" s="93">
        <f t="shared" si="19"/>
        <v>4.2607063156428415</v>
      </c>
      <c r="BC47" s="93"/>
      <c r="BD47" s="39">
        <f t="shared" si="20"/>
        <v>2.5171144014275004</v>
      </c>
      <c r="BE47" s="93">
        <v>2.5657167308459536</v>
      </c>
      <c r="BF47" s="93">
        <v>-2.0249829680665472E-2</v>
      </c>
      <c r="BG47" s="93">
        <v>0.72410556877585575</v>
      </c>
      <c r="BH47" s="93">
        <f t="shared" si="21"/>
        <v>0.70385573909519028</v>
      </c>
      <c r="BJ47" s="39">
        <f t="shared" si="22"/>
        <v>2.564691401725705</v>
      </c>
      <c r="BK47" s="93">
        <v>5.4392446032435906</v>
      </c>
      <c r="BL47" s="93">
        <v>0.51504624411421973</v>
      </c>
      <c r="BM47" s="93">
        <v>1.5675173974350798</v>
      </c>
      <c r="BN47" s="93">
        <f t="shared" si="23"/>
        <v>2.0825636415492994</v>
      </c>
      <c r="BO47" s="106"/>
      <c r="BP47" s="39">
        <f t="shared" si="24"/>
        <v>2.7539661724697684</v>
      </c>
      <c r="BQ47" s="93">
        <v>3.0086438218118041</v>
      </c>
      <c r="BR47" s="93">
        <v>0.53511643975368939</v>
      </c>
      <c r="BS47" s="93">
        <v>0.93917049524466201</v>
      </c>
      <c r="BT47" s="93">
        <f t="shared" si="25"/>
        <v>1.4742869349983514</v>
      </c>
      <c r="BU47" s="90">
        <f t="shared" si="26"/>
        <v>0</v>
      </c>
      <c r="BV47" s="39">
        <f t="shared" si="27"/>
        <v>2.7769349895925721</v>
      </c>
      <c r="BW47" s="11">
        <v>2.8680773838859954</v>
      </c>
      <c r="BX47" s="93">
        <v>1.8124842888357913</v>
      </c>
      <c r="BY47" s="93">
        <v>0.90371244599220335</v>
      </c>
      <c r="BZ47" s="93">
        <f t="shared" si="28"/>
        <v>2.7161967348279945</v>
      </c>
      <c r="CA47" s="93"/>
      <c r="CB47" s="39">
        <f t="shared" si="29"/>
        <v>2.6526063565382341</v>
      </c>
      <c r="CC47" s="93">
        <v>1.133194068533085</v>
      </c>
      <c r="CD47" s="93">
        <v>0.1263303128615518</v>
      </c>
      <c r="CE47" s="93">
        <v>0.33913232926021469</v>
      </c>
      <c r="CF47" s="93">
        <f t="shared" si="30"/>
        <v>0.46546264212176647</v>
      </c>
      <c r="CH47" s="39">
        <f t="shared" si="31"/>
        <v>2.7982733108218305</v>
      </c>
      <c r="CI47" s="93">
        <v>1.5036570788687731</v>
      </c>
      <c r="CJ47" s="93">
        <v>1.358746094911804</v>
      </c>
      <c r="CK47" s="93">
        <v>0.47790189710881065</v>
      </c>
      <c r="CL47" s="93">
        <f t="shared" si="32"/>
        <v>1.8366479920206147</v>
      </c>
      <c r="CM47" s="106"/>
      <c r="CN47" s="39">
        <f t="shared" si="33"/>
        <v>3.2347595318199085</v>
      </c>
      <c r="CO47" s="93">
        <v>0.23122623648413734</v>
      </c>
      <c r="CP47" s="93">
        <v>0.32740788106243529</v>
      </c>
      <c r="CQ47" s="93">
        <v>8.6678219623177913E-2</v>
      </c>
      <c r="CR47" s="93">
        <f t="shared" si="34"/>
        <v>0.41408610068561319</v>
      </c>
      <c r="CS47" s="90">
        <f t="shared" si="35"/>
        <v>0</v>
      </c>
      <c r="CT47" s="39">
        <f t="shared" si="36"/>
        <v>2.7931156217943398</v>
      </c>
      <c r="CU47" s="11">
        <v>5.0504780090814236</v>
      </c>
      <c r="CV47" s="93">
        <v>3.5007909297285211</v>
      </c>
      <c r="CW47" s="93">
        <v>1.6018365983756719</v>
      </c>
      <c r="CX47" s="93">
        <f t="shared" si="37"/>
        <v>5.1026275281041933</v>
      </c>
      <c r="CY47" s="93"/>
      <c r="CZ47" s="39">
        <f t="shared" si="38"/>
        <v>2.74636478298389</v>
      </c>
      <c r="DA47" s="93">
        <v>2.8547428262495687</v>
      </c>
      <c r="DB47" s="93">
        <v>0.83460261597494789</v>
      </c>
      <c r="DC47" s="93">
        <v>0.88835901082653501</v>
      </c>
      <c r="DD47" s="93">
        <f t="shared" si="39"/>
        <v>1.7229616268014829</v>
      </c>
      <c r="DF47" s="39">
        <f t="shared" si="40"/>
        <v>2.8441917872239486</v>
      </c>
      <c r="DG47" s="93">
        <v>1.8725001300200237</v>
      </c>
      <c r="DH47" s="93">
        <v>2.0967169117876856</v>
      </c>
      <c r="DI47" s="93">
        <v>0.60617467473424025</v>
      </c>
      <c r="DJ47" s="93">
        <f t="shared" si="41"/>
        <v>2.7028915865219258</v>
      </c>
      <c r="DK47" s="106"/>
      <c r="DL47" s="39">
        <f t="shared" si="42"/>
        <v>2.9080384999745856</v>
      </c>
      <c r="DM47" s="93">
        <v>0.32323505281183162</v>
      </c>
      <c r="DN47" s="93">
        <v>0.5694714019658873</v>
      </c>
      <c r="DO47" s="93">
        <v>0.10730291281489671</v>
      </c>
      <c r="DP47" s="93">
        <f t="shared" si="43"/>
        <v>0.67677431478078398</v>
      </c>
    </row>
    <row r="48" spans="1:120" x14ac:dyDescent="0.2">
      <c r="A48" s="90">
        <f>name!B44</f>
        <v>0</v>
      </c>
      <c r="B48" s="39">
        <f t="shared" si="1"/>
        <v>2.8169915417421754</v>
      </c>
      <c r="C48" s="11">
        <v>158.75130574877755</v>
      </c>
      <c r="D48" s="93">
        <v>31.053175488358242</v>
      </c>
      <c r="E48" s="93">
        <v>50.836604439456309</v>
      </c>
      <c r="F48" s="93">
        <f t="shared" si="2"/>
        <v>81.889779927814544</v>
      </c>
      <c r="G48" s="93"/>
      <c r="H48" s="39">
        <f t="shared" si="3"/>
        <v>2.7131406842493488</v>
      </c>
      <c r="I48" s="93">
        <v>37.269430586923946</v>
      </c>
      <c r="J48" s="93">
        <v>2.0080357660646397</v>
      </c>
      <c r="K48" s="93">
        <v>11.439976930786587</v>
      </c>
      <c r="L48" s="93">
        <f t="shared" si="4"/>
        <v>13.448012696851226</v>
      </c>
      <c r="N48" s="39">
        <f t="shared" si="5"/>
        <v>2.6835187325179533</v>
      </c>
      <c r="O48" s="93">
        <v>64.168727676686729</v>
      </c>
      <c r="P48" s="93">
        <v>9.648746828409589</v>
      </c>
      <c r="Q48" s="93">
        <v>19.45525621806194</v>
      </c>
      <c r="R48" s="93">
        <f t="shared" si="6"/>
        <v>29.104003046471529</v>
      </c>
      <c r="S48" s="106"/>
      <c r="T48" s="39">
        <f t="shared" si="7"/>
        <v>3.0307741956072665</v>
      </c>
      <c r="U48" s="93">
        <v>57.313147485166859</v>
      </c>
      <c r="V48" s="93">
        <v>19.396392893884016</v>
      </c>
      <c r="W48" s="93">
        <v>19.941371290607766</v>
      </c>
      <c r="X48" s="93">
        <f t="shared" si="8"/>
        <v>39.337764184491782</v>
      </c>
      <c r="Y48" s="90">
        <f t="shared" si="0"/>
        <v>0</v>
      </c>
      <c r="Z48" s="39">
        <f t="shared" si="9"/>
        <v>3.0844034831169376</v>
      </c>
      <c r="AA48" s="11">
        <v>54.043501876163091</v>
      </c>
      <c r="AB48" s="93">
        <v>16.838248878570081</v>
      </c>
      <c r="AC48" s="93">
        <v>19.18381203425853</v>
      </c>
      <c r="AD48" s="93">
        <f t="shared" si="10"/>
        <v>36.022060912828607</v>
      </c>
      <c r="AE48" s="93"/>
      <c r="AF48" s="39">
        <f t="shared" si="11"/>
        <v>3.0687126992563263</v>
      </c>
      <c r="AG48" s="93">
        <v>2.872339077635929</v>
      </c>
      <c r="AH48" s="93">
        <v>0.88105911598627318</v>
      </c>
      <c r="AI48" s="93">
        <v>1.0136737094918047</v>
      </c>
      <c r="AJ48" s="93">
        <f t="shared" si="12"/>
        <v>1.8947328254780778</v>
      </c>
      <c r="AL48" s="39">
        <f t="shared" si="13"/>
        <v>2.9854531104971826</v>
      </c>
      <c r="AM48" s="93">
        <v>8.4616752757594771</v>
      </c>
      <c r="AN48" s="93">
        <v>0.5129240985808613</v>
      </c>
      <c r="AO48" s="93">
        <v>2.8940583365838495</v>
      </c>
      <c r="AP48" s="93">
        <f t="shared" si="14"/>
        <v>3.4069824351647107</v>
      </c>
      <c r="AQ48" s="106"/>
      <c r="AR48" s="39">
        <f t="shared" si="15"/>
        <v>3.1049593059016889</v>
      </c>
      <c r="AS48" s="93">
        <v>42.709487522767688</v>
      </c>
      <c r="AT48" s="93">
        <v>15.444265664002945</v>
      </c>
      <c r="AU48" s="93">
        <v>15.276079988182877</v>
      </c>
      <c r="AV48" s="93">
        <f t="shared" si="16"/>
        <v>30.72034565218582</v>
      </c>
      <c r="AW48" s="90">
        <f t="shared" si="17"/>
        <v>0</v>
      </c>
      <c r="AX48" s="39">
        <f t="shared" si="18"/>
        <v>2.6049805214462873</v>
      </c>
      <c r="AY48" s="11">
        <v>67.279720597550053</v>
      </c>
      <c r="AZ48" s="93">
        <v>-1.7061260839949342</v>
      </c>
      <c r="BA48" s="93">
        <v>19.73016584504331</v>
      </c>
      <c r="BB48" s="93">
        <f t="shared" si="19"/>
        <v>18.024039761048375</v>
      </c>
      <c r="BC48" s="93"/>
      <c r="BD48" s="39">
        <f t="shared" si="20"/>
        <v>2.5409532368865007</v>
      </c>
      <c r="BE48" s="93">
        <v>14.926976334729311</v>
      </c>
      <c r="BF48" s="93">
        <v>-1.3830273865244627</v>
      </c>
      <c r="BG48" s="93">
        <v>4.2572967639145958</v>
      </c>
      <c r="BH48" s="93">
        <f t="shared" si="21"/>
        <v>2.8742693773901333</v>
      </c>
      <c r="BJ48" s="39">
        <f t="shared" si="22"/>
        <v>2.5796718808031471</v>
      </c>
      <c r="BK48" s="93">
        <v>40.385319730226364</v>
      </c>
      <c r="BL48" s="93">
        <v>-0.75084702548436888</v>
      </c>
      <c r="BM48" s="93">
        <v>11.714543255967428</v>
      </c>
      <c r="BN48" s="93">
        <f t="shared" si="23"/>
        <v>10.963696230483059</v>
      </c>
      <c r="BO48" s="106"/>
      <c r="BP48" s="39">
        <f t="shared" si="24"/>
        <v>2.7687485385664345</v>
      </c>
      <c r="BQ48" s="93">
        <v>11.967424532594377</v>
      </c>
      <c r="BR48" s="93">
        <v>0.42774832801389723</v>
      </c>
      <c r="BS48" s="93">
        <v>3.7583258251612852</v>
      </c>
      <c r="BT48" s="93">
        <f t="shared" si="25"/>
        <v>4.1860741531751824</v>
      </c>
      <c r="BU48" s="90">
        <f t="shared" si="26"/>
        <v>0</v>
      </c>
      <c r="BV48" s="39">
        <f t="shared" si="27"/>
        <v>2.518201489640326</v>
      </c>
      <c r="BW48" s="11">
        <v>11.027664527945932</v>
      </c>
      <c r="BX48" s="93">
        <v>1.3879359269084375</v>
      </c>
      <c r="BY48" s="93">
        <v>3.1137656010156576</v>
      </c>
      <c r="BZ48" s="93">
        <f t="shared" si="28"/>
        <v>4.5017015279240953</v>
      </c>
      <c r="CA48" s="93"/>
      <c r="CB48" s="39">
        <f t="shared" si="29"/>
        <v>2.4600010102901804</v>
      </c>
      <c r="CC48" s="93">
        <v>4.6043551889988352</v>
      </c>
      <c r="CD48" s="93">
        <v>-9.4762721156135488E-2</v>
      </c>
      <c r="CE48" s="93">
        <v>1.2666488182504458</v>
      </c>
      <c r="CF48" s="93">
        <f t="shared" si="30"/>
        <v>1.1718860970943104</v>
      </c>
      <c r="CH48" s="39">
        <f t="shared" si="31"/>
        <v>2.5135092689739569</v>
      </c>
      <c r="CI48" s="93">
        <v>5.3897928205850842</v>
      </c>
      <c r="CJ48" s="93">
        <v>0.93986804735963958</v>
      </c>
      <c r="CK48" s="93">
        <v>1.5186963016257615</v>
      </c>
      <c r="CL48" s="93">
        <f t="shared" si="32"/>
        <v>2.458564348985401</v>
      </c>
      <c r="CM48" s="106"/>
      <c r="CN48" s="39">
        <f t="shared" si="33"/>
        <v>2.7978329732376128</v>
      </c>
      <c r="CO48" s="93">
        <v>1.0335165183620134</v>
      </c>
      <c r="CP48" s="93">
        <v>0.5428306007049335</v>
      </c>
      <c r="CQ48" s="93">
        <v>0.32842048113944977</v>
      </c>
      <c r="CR48" s="93">
        <f t="shared" si="34"/>
        <v>0.87125108184438327</v>
      </c>
      <c r="CS48" s="90">
        <f t="shared" si="35"/>
        <v>0</v>
      </c>
      <c r="CT48" s="39">
        <f t="shared" si="36"/>
        <v>2.9211505487475975</v>
      </c>
      <c r="CU48" s="11">
        <v>26.400418747118454</v>
      </c>
      <c r="CV48" s="93">
        <v>14.533116766874658</v>
      </c>
      <c r="CW48" s="93">
        <v>8.8088609591388032</v>
      </c>
      <c r="CX48" s="93">
        <f t="shared" si="37"/>
        <v>23.341977726013461</v>
      </c>
      <c r="CY48" s="93"/>
      <c r="CZ48" s="39">
        <f t="shared" si="38"/>
        <v>2.8911023071172881</v>
      </c>
      <c r="DA48" s="93">
        <v>14.865759985559873</v>
      </c>
      <c r="DB48" s="93">
        <v>2.6047667577589646</v>
      </c>
      <c r="DC48" s="93">
        <v>4.9023576391297414</v>
      </c>
      <c r="DD48" s="93">
        <f t="shared" si="39"/>
        <v>7.507124396888706</v>
      </c>
      <c r="DF48" s="39">
        <f t="shared" si="40"/>
        <v>2.9320472834624356</v>
      </c>
      <c r="DG48" s="93">
        <v>9.9319398501158016</v>
      </c>
      <c r="DH48" s="93">
        <v>8.9468017079534565</v>
      </c>
      <c r="DI48" s="93">
        <v>3.3279583238849022</v>
      </c>
      <c r="DJ48" s="93">
        <f t="shared" si="41"/>
        <v>12.274760031838358</v>
      </c>
      <c r="DK48" s="106"/>
      <c r="DL48" s="39">
        <f t="shared" si="42"/>
        <v>3.1300160142738953</v>
      </c>
      <c r="DM48" s="93">
        <v>1.6027189114427818</v>
      </c>
      <c r="DN48" s="93">
        <v>2.981548301162237</v>
      </c>
      <c r="DO48" s="93">
        <v>0.57854499612415899</v>
      </c>
      <c r="DP48" s="93">
        <f t="shared" si="43"/>
        <v>3.5600932972863961</v>
      </c>
    </row>
    <row r="49" spans="1:120" x14ac:dyDescent="0.2">
      <c r="B49" s="39"/>
      <c r="C49" s="93"/>
      <c r="D49" s="93"/>
      <c r="E49" s="93"/>
      <c r="F49" s="93"/>
      <c r="G49" s="93"/>
      <c r="H49" s="39"/>
      <c r="I49" s="93"/>
      <c r="J49" s="93"/>
      <c r="K49" s="93"/>
      <c r="L49" s="93"/>
      <c r="N49" s="39"/>
      <c r="O49" s="93"/>
      <c r="P49" s="93"/>
      <c r="Q49" s="93"/>
      <c r="R49" s="93"/>
      <c r="S49" s="106"/>
      <c r="T49" s="39"/>
      <c r="U49" s="93"/>
      <c r="V49" s="93"/>
      <c r="W49" s="93"/>
      <c r="X49" s="93"/>
      <c r="Z49" s="39"/>
      <c r="AA49" s="93"/>
      <c r="AB49" s="93"/>
      <c r="AC49" s="93"/>
      <c r="AD49" s="93"/>
      <c r="AE49" s="93"/>
      <c r="AF49" s="39"/>
      <c r="AG49" s="93"/>
      <c r="AH49" s="93"/>
      <c r="AI49" s="93"/>
      <c r="AJ49" s="93"/>
      <c r="AL49" s="39"/>
      <c r="AM49" s="93"/>
      <c r="AN49" s="93"/>
      <c r="AO49" s="93"/>
      <c r="AP49" s="93"/>
      <c r="AQ49" s="106"/>
      <c r="AR49" s="39"/>
      <c r="AS49" s="93"/>
      <c r="AT49" s="93"/>
      <c r="AU49" s="93"/>
      <c r="AV49" s="93"/>
      <c r="AX49" s="39"/>
      <c r="AY49" s="93"/>
      <c r="AZ49" s="93"/>
      <c r="BA49" s="93"/>
      <c r="BB49" s="93"/>
      <c r="BC49" s="93"/>
      <c r="BD49" s="39"/>
      <c r="BE49" s="93"/>
      <c r="BF49" s="93"/>
      <c r="BG49" s="93"/>
      <c r="BH49" s="93"/>
      <c r="BJ49" s="39"/>
      <c r="BK49" s="93"/>
      <c r="BL49" s="93"/>
      <c r="BM49" s="93"/>
      <c r="BN49" s="93"/>
      <c r="BO49" s="106"/>
      <c r="BP49" s="39"/>
      <c r="BQ49" s="93"/>
      <c r="BR49" s="93"/>
      <c r="BS49" s="93"/>
      <c r="BT49" s="93"/>
      <c r="BV49" s="39"/>
      <c r="BW49" s="93"/>
      <c r="BX49" s="93"/>
      <c r="BY49" s="93"/>
      <c r="BZ49" s="93"/>
      <c r="CA49" s="93"/>
      <c r="CB49" s="39"/>
      <c r="CC49" s="93"/>
      <c r="CD49" s="93"/>
      <c r="CE49" s="93"/>
      <c r="CF49" s="93"/>
      <c r="CH49" s="39"/>
      <c r="CI49" s="93"/>
      <c r="CJ49" s="93"/>
      <c r="CK49" s="93"/>
      <c r="CL49" s="93"/>
      <c r="CM49" s="106"/>
      <c r="CN49" s="39"/>
      <c r="CO49" s="93"/>
      <c r="CP49" s="93"/>
      <c r="CQ49" s="93"/>
      <c r="CR49" s="93"/>
      <c r="CT49" s="39"/>
      <c r="CU49" s="93"/>
      <c r="CV49" s="93"/>
      <c r="CW49" s="93"/>
      <c r="CX49" s="93"/>
      <c r="CY49" s="93"/>
      <c r="CZ49" s="39"/>
      <c r="DA49" s="93"/>
      <c r="DB49" s="93"/>
      <c r="DC49" s="93"/>
      <c r="DD49" s="93"/>
      <c r="DF49" s="39"/>
      <c r="DG49" s="93"/>
      <c r="DH49" s="93"/>
      <c r="DI49" s="93"/>
      <c r="DJ49" s="93"/>
      <c r="DK49" s="106"/>
      <c r="DL49" s="39"/>
      <c r="DM49" s="93"/>
      <c r="DN49" s="93"/>
      <c r="DO49" s="93"/>
      <c r="DP49" s="93"/>
    </row>
    <row r="50" spans="1:120" x14ac:dyDescent="0.2">
      <c r="A50" s="91" t="str">
        <f>name!B3</f>
        <v>All industries</v>
      </c>
      <c r="B50" s="42">
        <f t="shared" si="1"/>
        <v>2.7912372459239387</v>
      </c>
      <c r="C50" s="92">
        <v>4561.2992279926211</v>
      </c>
      <c r="D50" s="92">
        <v>431.97496524334053</v>
      </c>
      <c r="E50" s="92">
        <v>1445.5882710202891</v>
      </c>
      <c r="F50" s="92">
        <f t="shared" si="2"/>
        <v>1877.5632362636297</v>
      </c>
      <c r="G50" s="92"/>
      <c r="H50" s="42">
        <f t="shared" si="3"/>
        <v>2.6517730789267446</v>
      </c>
      <c r="I50" s="92">
        <v>774.77767553257945</v>
      </c>
      <c r="J50" s="92">
        <v>-90.9176985646708</v>
      </c>
      <c r="K50" s="92">
        <v>231.78692033646578</v>
      </c>
      <c r="L50" s="92">
        <f>SUM(J50:K50)</f>
        <v>140.86922177179497</v>
      </c>
      <c r="M50" s="91"/>
      <c r="N50" s="42">
        <f t="shared" si="5"/>
        <v>2.6893242464146816</v>
      </c>
      <c r="O50" s="92">
        <v>1810.6123702397726</v>
      </c>
      <c r="P50" s="92">
        <v>208.84741372398935</v>
      </c>
      <c r="Q50" s="92">
        <v>550.29225403969679</v>
      </c>
      <c r="R50" s="92">
        <f>SUM(P50:Q50)</f>
        <v>759.13966776368613</v>
      </c>
      <c r="S50" s="107"/>
      <c r="T50" s="42">
        <f t="shared" si="7"/>
        <v>2.9376202991175049</v>
      </c>
      <c r="U50" s="92">
        <v>1975.9091822202711</v>
      </c>
      <c r="V50" s="92">
        <v>314.04525008402186</v>
      </c>
      <c r="W50" s="92">
        <v>663.50909664412427</v>
      </c>
      <c r="X50" s="92">
        <f>SUM(V50:W50)</f>
        <v>977.55434672814613</v>
      </c>
      <c r="Y50" s="91" t="str">
        <f>A50</f>
        <v>All industries</v>
      </c>
      <c r="Z50" s="42">
        <f>IF(AA50&gt;0,((1+(AC50/AA50))^(1/($A$101-$A$100))-1)*100,0)</f>
        <v>2.9771972098236787</v>
      </c>
      <c r="AA50" s="92">
        <v>2141.7348734083043</v>
      </c>
      <c r="AB50" s="92">
        <v>328.18012130131888</v>
      </c>
      <c r="AC50" s="92">
        <v>730.21185757939747</v>
      </c>
      <c r="AD50" s="92">
        <f>SUM(AB50:AC50)</f>
        <v>1058.3919788807164</v>
      </c>
      <c r="AE50" s="92"/>
      <c r="AF50" s="42">
        <f>IF(AG50&gt;0,((1+(AI50/AG50))^(1/($A$101-$A$100))-1)*100,0)</f>
        <v>3.0280155732974823</v>
      </c>
      <c r="AG50" s="92">
        <v>114.36183531349347</v>
      </c>
      <c r="AH50" s="92">
        <v>10.806009020856356</v>
      </c>
      <c r="AI50" s="92">
        <v>39.749458273691218</v>
      </c>
      <c r="AJ50" s="92">
        <f>SUM(AH50:AI50)</f>
        <v>50.555467294547576</v>
      </c>
      <c r="AK50" s="91"/>
      <c r="AL50" s="42">
        <f>IF(AM50&gt;0,((1+(AO50/AM50))^(1/($A$101-$A$100))-1)*100,0)</f>
        <v>2.9663353480916088</v>
      </c>
      <c r="AM50" s="92">
        <v>484.03376220781502</v>
      </c>
      <c r="AN50" s="92">
        <v>80.752171418150368</v>
      </c>
      <c r="AO50" s="92">
        <v>164.34415782441963</v>
      </c>
      <c r="AP50" s="92">
        <f>SUM(AN50:AO50)</f>
        <v>245.09632924256999</v>
      </c>
      <c r="AQ50" s="107"/>
      <c r="AR50" s="42">
        <f>IF(AS50&gt;0,((1+(AU50/AS50))^(1/($A$101-$A$100))-1)*100,0)</f>
        <v>2.9768281396108875</v>
      </c>
      <c r="AS50" s="92">
        <v>1543.3392758869961</v>
      </c>
      <c r="AT50" s="92">
        <v>236.62194086231219</v>
      </c>
      <c r="AU50" s="92">
        <v>526.11824148128676</v>
      </c>
      <c r="AV50" s="92">
        <f>SUM(AT50:AU50)</f>
        <v>762.74018234359892</v>
      </c>
      <c r="AW50" s="91" t="str">
        <f>Y50</f>
        <v>All industries</v>
      </c>
      <c r="AX50" s="42">
        <f>IF(AY50&gt;0,((1+(BA50/AY50))^(1/($A$101-$A$100))-1)*100,0)</f>
        <v>2.5960689907792656</v>
      </c>
      <c r="AY50" s="92">
        <v>1169.4910110900296</v>
      </c>
      <c r="AZ50" s="92">
        <v>61.012733866251224</v>
      </c>
      <c r="BA50" s="92">
        <v>341.64688672572964</v>
      </c>
      <c r="BB50" s="92">
        <f>SUM(AZ50:BA50)</f>
        <v>402.65962059198085</v>
      </c>
      <c r="BC50" s="92"/>
      <c r="BD50" s="42">
        <f>IF(BE50&gt;0,((1+(BG50/BE50))^(1/($A$101-$A$100))-1)*100,0)</f>
        <v>2.5108134589674425</v>
      </c>
      <c r="BE50" s="92">
        <v>196.77997170605971</v>
      </c>
      <c r="BF50" s="92">
        <v>-19.19988351079143</v>
      </c>
      <c r="BG50" s="92">
        <v>55.380896948664599</v>
      </c>
      <c r="BH50" s="92">
        <f>SUM(BF50:BG50)</f>
        <v>36.181013437873169</v>
      </c>
      <c r="BI50" s="91"/>
      <c r="BJ50" s="42">
        <f>IF(BK50&gt;0,((1+(BM50/BK50))^(1/($A$101-$A$100))-1)*100,0)</f>
        <v>2.5531077119064882</v>
      </c>
      <c r="BK50" s="92">
        <v>650.12175377402275</v>
      </c>
      <c r="BL50" s="92">
        <v>42.192712487148434</v>
      </c>
      <c r="BM50" s="92">
        <v>186.41100647521165</v>
      </c>
      <c r="BN50" s="92">
        <f>SUM(BL50:BM50)</f>
        <v>228.60371896236009</v>
      </c>
      <c r="BO50" s="107"/>
      <c r="BP50" s="42">
        <f>IF(BQ50&gt;0,((1+(BS50/BQ50))^(1/($A$101-$A$100))-1)*100,0)</f>
        <v>2.7334678665663192</v>
      </c>
      <c r="BQ50" s="92">
        <v>322.58928560994713</v>
      </c>
      <c r="BR50" s="92">
        <v>38.019904889894228</v>
      </c>
      <c r="BS50" s="92">
        <v>99.854983301853494</v>
      </c>
      <c r="BT50" s="92">
        <f>SUM(BR50:BS50)</f>
        <v>137.87488819174771</v>
      </c>
      <c r="BU50" s="91" t="str">
        <f>AW50</f>
        <v>All industries</v>
      </c>
      <c r="BV50" s="42">
        <f>IF(BW50&gt;0,((1+(BY50/BW50))^(1/($A$101-$A$100))-1)*100,0)</f>
        <v>2.5889208699682698</v>
      </c>
      <c r="BW50" s="92">
        <v>786.26148565798121</v>
      </c>
      <c r="BX50" s="92">
        <v>-16.768227409449015</v>
      </c>
      <c r="BY50" s="92">
        <v>228.98528730973825</v>
      </c>
      <c r="BZ50" s="92">
        <f>SUM(BX50:BY50)</f>
        <v>212.21705990028923</v>
      </c>
      <c r="CA50" s="92"/>
      <c r="CB50" s="42">
        <f>IF(CC50&gt;0,((1+(CE50/CC50))^(1/($A$101-$A$100))-1)*100,0)</f>
        <v>2.5278948366694864</v>
      </c>
      <c r="CC50" s="92">
        <v>257.91842111045776</v>
      </c>
      <c r="CD50" s="92">
        <v>-52.179148361626908</v>
      </c>
      <c r="CE50" s="92">
        <v>73.138570554183204</v>
      </c>
      <c r="CF50" s="92">
        <f>SUM(CD50:CE50)</f>
        <v>20.959422192556296</v>
      </c>
      <c r="CG50" s="91"/>
      <c r="CH50" s="42">
        <f>IF(CI50&gt;0,((1+(CK50/CI50))^(1/($A$101-$A$100))-1)*100,0)</f>
        <v>2.5655949055339189</v>
      </c>
      <c r="CI50" s="92">
        <v>462.50112579230256</v>
      </c>
      <c r="CJ50" s="92">
        <v>18.263082416840735</v>
      </c>
      <c r="CK50" s="92">
        <v>133.33911166207648</v>
      </c>
      <c r="CL50" s="92">
        <f>SUM(CJ50:CK50)</f>
        <v>151.60219407891722</v>
      </c>
      <c r="CM50" s="107"/>
      <c r="CN50" s="42">
        <f>IF(CO50&gt;0,((1+(CQ50/CO50))^(1/($A$101-$A$100))-1)*100,0)</f>
        <v>2.9840981402702971</v>
      </c>
      <c r="CO50" s="92">
        <v>65.841938755220539</v>
      </c>
      <c r="CP50" s="92">
        <v>17.147838535337179</v>
      </c>
      <c r="CQ50" s="92">
        <v>22.507605093478684</v>
      </c>
      <c r="CR50" s="92">
        <f>SUM(CP50:CQ50)</f>
        <v>39.65544362881586</v>
      </c>
      <c r="CS50" s="91" t="str">
        <f>BU50</f>
        <v>All industries</v>
      </c>
      <c r="CT50" s="42">
        <f>IF(CU50&gt;0,((1+(CW50/CU50))^(1/($A$101-$A$100))-1)*100,0)</f>
        <v>2.7533233225370157</v>
      </c>
      <c r="CU50" s="92">
        <v>463.81185783630696</v>
      </c>
      <c r="CV50" s="92">
        <v>59.550337485219423</v>
      </c>
      <c r="CW50" s="92">
        <v>144.74423940542175</v>
      </c>
      <c r="CX50" s="92">
        <f>SUM(CV50:CW50)</f>
        <v>204.29457689064117</v>
      </c>
      <c r="CY50" s="92"/>
      <c r="CZ50" s="42">
        <f>IF(DA50&gt;0,((1+(DC50/DA50))^(1/($A$101-$A$100))-1)*100,0)</f>
        <v>2.7273559755584653</v>
      </c>
      <c r="DA50" s="92">
        <v>205.71744740256855</v>
      </c>
      <c r="DB50" s="92">
        <v>-30.344675713108767</v>
      </c>
      <c r="DC50" s="92">
        <v>63.517994559926827</v>
      </c>
      <c r="DD50" s="92">
        <f>SUM(DB50:DC50)</f>
        <v>33.173318846818063</v>
      </c>
      <c r="DE50" s="91"/>
      <c r="DF50" s="42">
        <f>IF(DG50&gt;0,((1+(DI50/DG50))^(1/($A$101-$A$100))-1)*100,0)</f>
        <v>2.7323553670193235</v>
      </c>
      <c r="DG50" s="92">
        <v>213.95572846563186</v>
      </c>
      <c r="DH50" s="92">
        <v>67.639447401849822</v>
      </c>
      <c r="DI50" s="92">
        <v>66.197978077989319</v>
      </c>
      <c r="DJ50" s="92">
        <f>SUM(DH50:DI50)</f>
        <v>133.83742547983914</v>
      </c>
      <c r="DK50" s="107"/>
      <c r="DL50" s="42">
        <f>IF(DM50&gt;0,((1+(DO50/DM50))^(1/($A$101-$A$100))-1)*100,0)</f>
        <v>2.9736201868302725</v>
      </c>
      <c r="DM50" s="92">
        <v>44.13868196810671</v>
      </c>
      <c r="DN50" s="92">
        <v>22.25556579647839</v>
      </c>
      <c r="DO50" s="92">
        <v>15.028266767505601</v>
      </c>
      <c r="DP50" s="92">
        <f>SUM(DN50:DO50)</f>
        <v>37.283832563983992</v>
      </c>
    </row>
    <row r="51" spans="1:120" x14ac:dyDescent="0.2">
      <c r="B51" s="93"/>
      <c r="C51" s="93"/>
      <c r="D51" s="93"/>
      <c r="E51" s="93"/>
      <c r="F51" s="93"/>
      <c r="G51" s="93"/>
      <c r="Z51" s="93"/>
      <c r="AA51" s="93"/>
      <c r="AB51" s="93"/>
      <c r="AC51" s="93"/>
      <c r="AD51" s="93"/>
      <c r="AE51" s="93"/>
      <c r="AX51" s="93"/>
      <c r="AY51" s="93"/>
      <c r="AZ51" s="93"/>
      <c r="BA51" s="93"/>
      <c r="BB51" s="93"/>
      <c r="BC51" s="93"/>
      <c r="BV51" s="93"/>
      <c r="BW51" s="93"/>
      <c r="BX51" s="93"/>
      <c r="BY51" s="93"/>
      <c r="BZ51" s="93"/>
      <c r="CA51" s="93"/>
      <c r="CT51" s="93"/>
      <c r="CU51" s="93"/>
      <c r="CV51" s="93"/>
      <c r="CW51" s="93"/>
      <c r="CX51" s="93"/>
      <c r="CY51" s="93"/>
    </row>
    <row r="52" spans="1:120" x14ac:dyDescent="0.2">
      <c r="A52" s="90" t="str">
        <f ca="1">CELL("filename")</f>
        <v>M:\IE\Projects\Nuffield via NFER AI and automation\Data\Results\Workbooks\EM\[EM_MainTables.Main.xlsm]Manager</v>
      </c>
      <c r="B52" s="93"/>
      <c r="C52" s="93"/>
      <c r="D52" s="93"/>
      <c r="E52" s="93"/>
      <c r="F52" s="93"/>
      <c r="G52" s="93"/>
      <c r="Y52" s="90" t="str">
        <f ca="1">CELL("filename")</f>
        <v>M:\IE\Projects\Nuffield via NFER AI and automation\Data\Results\Workbooks\EM\[EM_MainTables.Main.xlsm]Manager</v>
      </c>
      <c r="Z52" s="93"/>
      <c r="AA52" s="93"/>
      <c r="AB52" s="93"/>
      <c r="AC52" s="93"/>
      <c r="AD52" s="93"/>
      <c r="AE52" s="93"/>
      <c r="AW52" s="90" t="str">
        <f ca="1">CELL("filename")</f>
        <v>M:\IE\Projects\Nuffield via NFER AI and automation\Data\Results\Workbooks\EM\[EM_MainTables.Main.xlsm]Manager</v>
      </c>
      <c r="AX52" s="93"/>
      <c r="AY52" s="93"/>
      <c r="AZ52" s="93"/>
      <c r="BA52" s="93"/>
      <c r="BB52" s="93"/>
      <c r="BC52" s="93"/>
      <c r="BU52" s="90" t="str">
        <f ca="1">CELL("filename")</f>
        <v>M:\IE\Projects\Nuffield via NFER AI and automation\Data\Results\Workbooks\EM\[EM_MainTables.Main.xlsm]Manager</v>
      </c>
      <c r="BV52" s="93"/>
      <c r="BW52" s="93"/>
      <c r="BX52" s="93"/>
      <c r="BY52" s="93"/>
      <c r="BZ52" s="93"/>
      <c r="CA52" s="93"/>
      <c r="CS52" s="90" t="str">
        <f ca="1">CELL("filename")</f>
        <v>M:\IE\Projects\Nuffield via NFER AI and automation\Data\Results\Workbooks\EM\[EM_MainTables.Main.xlsm]Manager</v>
      </c>
      <c r="CT52" s="93"/>
      <c r="CU52" s="93"/>
      <c r="CV52" s="93"/>
      <c r="CW52" s="93"/>
      <c r="CX52" s="93"/>
      <c r="CY52" s="93"/>
    </row>
    <row r="53" spans="1:120" ht="15.75" x14ac:dyDescent="0.25">
      <c r="A53" s="18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8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8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8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8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1"/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115" t="str">
        <f>$X$3</f>
        <v>thousands</v>
      </c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115" t="str">
        <f>$X$3</f>
        <v>thousands</v>
      </c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115" t="str">
        <f>$X$3</f>
        <v>thousands</v>
      </c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115" t="str">
        <f>$X$3</f>
        <v>thousands</v>
      </c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115" t="str">
        <f>$X$3</f>
        <v>thousands</v>
      </c>
    </row>
    <row r="56" spans="1:120" x14ac:dyDescent="0.2">
      <c r="B56" s="381" t="str">
        <f>B4</f>
        <v>All qualifications</v>
      </c>
      <c r="C56" s="381"/>
      <c r="D56" s="381"/>
      <c r="E56" s="381"/>
      <c r="F56" s="381"/>
      <c r="G56" s="113"/>
      <c r="H56" s="381" t="str">
        <f>H4</f>
        <v>RQF8 Doctorate</v>
      </c>
      <c r="I56" s="381"/>
      <c r="J56" s="381"/>
      <c r="K56" s="381"/>
      <c r="L56" s="381"/>
      <c r="M56" s="113"/>
      <c r="N56" s="382" t="str">
        <f>N4</f>
        <v>RQF7 Other higher degree</v>
      </c>
      <c r="O56" s="382"/>
      <c r="P56" s="382"/>
      <c r="Q56" s="382"/>
      <c r="R56" s="382"/>
      <c r="S56" s="110"/>
      <c r="T56" s="382" t="str">
        <f>T4</f>
        <v>RQF6 First degree</v>
      </c>
      <c r="U56" s="382"/>
      <c r="V56" s="382"/>
      <c r="W56" s="382"/>
      <c r="X56" s="382"/>
      <c r="Z56" s="381" t="str">
        <f>Z4</f>
        <v>All qualifications</v>
      </c>
      <c r="AA56" s="381"/>
      <c r="AB56" s="381"/>
      <c r="AC56" s="381"/>
      <c r="AD56" s="381"/>
      <c r="AE56" s="113"/>
      <c r="AF56" s="381" t="str">
        <f>AF4</f>
        <v>RQF8 Doctorate</v>
      </c>
      <c r="AG56" s="381"/>
      <c r="AH56" s="381"/>
      <c r="AI56" s="381"/>
      <c r="AJ56" s="381"/>
      <c r="AK56" s="113"/>
      <c r="AL56" s="382" t="str">
        <f>AL4</f>
        <v>RQF7 Other higher degree</v>
      </c>
      <c r="AM56" s="382"/>
      <c r="AN56" s="382"/>
      <c r="AO56" s="382"/>
      <c r="AP56" s="382"/>
      <c r="AQ56" s="110"/>
      <c r="AR56" s="382" t="str">
        <f>AR4</f>
        <v>RQF6 First degree</v>
      </c>
      <c r="AS56" s="382"/>
      <c r="AT56" s="382"/>
      <c r="AU56" s="382"/>
      <c r="AV56" s="382"/>
      <c r="AX56" s="381" t="str">
        <f>AX4</f>
        <v>All qualifications</v>
      </c>
      <c r="AY56" s="381"/>
      <c r="AZ56" s="381"/>
      <c r="BA56" s="381"/>
      <c r="BB56" s="381"/>
      <c r="BC56" s="113"/>
      <c r="BD56" s="381" t="str">
        <f>BD4</f>
        <v>RQF8 Doctorate</v>
      </c>
      <c r="BE56" s="381"/>
      <c r="BF56" s="381"/>
      <c r="BG56" s="381"/>
      <c r="BH56" s="381"/>
      <c r="BI56" s="113"/>
      <c r="BJ56" s="382" t="str">
        <f>BJ4</f>
        <v>RQF7 Other higher degree</v>
      </c>
      <c r="BK56" s="382"/>
      <c r="BL56" s="382"/>
      <c r="BM56" s="382"/>
      <c r="BN56" s="382"/>
      <c r="BO56" s="110"/>
      <c r="BP56" s="382" t="str">
        <f>BP4</f>
        <v>RQF6 First degree</v>
      </c>
      <c r="BQ56" s="382"/>
      <c r="BR56" s="382"/>
      <c r="BS56" s="382"/>
      <c r="BT56" s="382"/>
      <c r="BV56" s="381" t="str">
        <f>BV4</f>
        <v>All qualifications</v>
      </c>
      <c r="BW56" s="381"/>
      <c r="BX56" s="381"/>
      <c r="BY56" s="381"/>
      <c r="BZ56" s="381"/>
      <c r="CA56" s="113"/>
      <c r="CB56" s="381" t="str">
        <f>CB4</f>
        <v>RQF8 Doctorate</v>
      </c>
      <c r="CC56" s="381"/>
      <c r="CD56" s="381"/>
      <c r="CE56" s="381"/>
      <c r="CF56" s="381"/>
      <c r="CG56" s="113"/>
      <c r="CH56" s="382" t="str">
        <f>CH4</f>
        <v>RQF7 Other higher degree</v>
      </c>
      <c r="CI56" s="382"/>
      <c r="CJ56" s="382"/>
      <c r="CK56" s="382"/>
      <c r="CL56" s="382"/>
      <c r="CM56" s="110"/>
      <c r="CN56" s="382" t="str">
        <f>CN4</f>
        <v>RQF6 First degree</v>
      </c>
      <c r="CO56" s="382"/>
      <c r="CP56" s="382"/>
      <c r="CQ56" s="382"/>
      <c r="CR56" s="382"/>
      <c r="CT56" s="381" t="str">
        <f>CT4</f>
        <v>All qualifications</v>
      </c>
      <c r="CU56" s="381"/>
      <c r="CV56" s="381"/>
      <c r="CW56" s="381"/>
      <c r="CX56" s="381"/>
      <c r="CY56" s="113"/>
      <c r="CZ56" s="381" t="str">
        <f>CZ4</f>
        <v>RQF8 Doctorate</v>
      </c>
      <c r="DA56" s="381"/>
      <c r="DB56" s="381"/>
      <c r="DC56" s="381"/>
      <c r="DD56" s="381"/>
      <c r="DE56" s="113"/>
      <c r="DF56" s="382" t="str">
        <f>DF4</f>
        <v>RQF7 Other higher degree</v>
      </c>
      <c r="DG56" s="382"/>
      <c r="DH56" s="382"/>
      <c r="DI56" s="382"/>
      <c r="DJ56" s="382"/>
      <c r="DK56" s="110"/>
      <c r="DL56" s="382" t="str">
        <f>DL4</f>
        <v>RQF6 First degree</v>
      </c>
      <c r="DM56" s="382"/>
      <c r="DN56" s="382"/>
      <c r="DO56" s="382"/>
      <c r="DP56" s="382"/>
    </row>
    <row r="58" spans="1:120" ht="38.25" x14ac:dyDescent="0.2">
      <c r="A58" s="112"/>
      <c r="B58" s="109" t="str">
        <f>B6</f>
        <v>RD p.a%</v>
      </c>
      <c r="C58" s="109" t="str">
        <f>C6</f>
        <v>2015 Level</v>
      </c>
      <c r="D58" s="109" t="str">
        <f>D6</f>
        <v>Net Change</v>
      </c>
      <c r="E58" s="109" t="str">
        <f>E6</f>
        <v>Replace-ment Demand</v>
      </c>
      <c r="F58" s="109" t="str">
        <f>F6</f>
        <v>Total Require-ment</v>
      </c>
      <c r="G58" s="108"/>
      <c r="H58" s="104" t="str">
        <f>B58</f>
        <v>RD p.a%</v>
      </c>
      <c r="I58" s="104" t="str">
        <f>C58</f>
        <v>2015 Level</v>
      </c>
      <c r="J58" s="104" t="str">
        <f>D58</f>
        <v>Net Change</v>
      </c>
      <c r="K58" s="104" t="str">
        <f>E58</f>
        <v>Replace-ment Demand</v>
      </c>
      <c r="L58" s="104" t="str">
        <f>F58</f>
        <v>Total Require-ment</v>
      </c>
      <c r="M58" s="103"/>
      <c r="N58" s="105" t="str">
        <f>H58</f>
        <v>RD p.a%</v>
      </c>
      <c r="O58" s="105" t="str">
        <f>I58</f>
        <v>2015 Level</v>
      </c>
      <c r="P58" s="105" t="str">
        <f>J58</f>
        <v>Net Change</v>
      </c>
      <c r="Q58" s="105" t="str">
        <f>K58</f>
        <v>Replace-ment Demand</v>
      </c>
      <c r="R58" s="105" t="str">
        <f>L58</f>
        <v>Total Require-ment</v>
      </c>
      <c r="S58" s="103"/>
      <c r="T58" s="105" t="str">
        <f>N58</f>
        <v>RD p.a%</v>
      </c>
      <c r="U58" s="105" t="str">
        <f>O58</f>
        <v>2015 Level</v>
      </c>
      <c r="V58" s="105" t="str">
        <f>P58</f>
        <v>Net Change</v>
      </c>
      <c r="W58" s="105" t="str">
        <f>Q58</f>
        <v>Replace-ment Demand</v>
      </c>
      <c r="X58" s="105" t="str">
        <f>R58</f>
        <v>Total Require-ment</v>
      </c>
      <c r="Y58" s="112"/>
      <c r="Z58" s="109" t="str">
        <f>Z6</f>
        <v>RD p.a%</v>
      </c>
      <c r="AA58" s="109" t="str">
        <f>AA6</f>
        <v>2015 Level</v>
      </c>
      <c r="AB58" s="109" t="str">
        <f>AB6</f>
        <v>Net Change</v>
      </c>
      <c r="AC58" s="109" t="str">
        <f>AC6</f>
        <v>Replace-ment Demand</v>
      </c>
      <c r="AD58" s="109" t="str">
        <f>AD6</f>
        <v>Total Require-ment</v>
      </c>
      <c r="AE58" s="108"/>
      <c r="AF58" s="104" t="str">
        <f>Z58</f>
        <v>RD p.a%</v>
      </c>
      <c r="AG58" s="104" t="str">
        <f>AA58</f>
        <v>2015 Level</v>
      </c>
      <c r="AH58" s="104" t="str">
        <f>AB58</f>
        <v>Net Change</v>
      </c>
      <c r="AI58" s="104" t="str">
        <f>AC58</f>
        <v>Replace-ment Demand</v>
      </c>
      <c r="AJ58" s="104" t="str">
        <f>AD58</f>
        <v>Total Require-ment</v>
      </c>
      <c r="AK58" s="103"/>
      <c r="AL58" s="105" t="str">
        <f>AF58</f>
        <v>RD p.a%</v>
      </c>
      <c r="AM58" s="105" t="str">
        <f>AG58</f>
        <v>2015 Level</v>
      </c>
      <c r="AN58" s="105" t="str">
        <f>AH58</f>
        <v>Net Change</v>
      </c>
      <c r="AO58" s="105" t="str">
        <f>AI58</f>
        <v>Replace-ment Demand</v>
      </c>
      <c r="AP58" s="105" t="str">
        <f>AJ58</f>
        <v>Total Require-ment</v>
      </c>
      <c r="AQ58" s="103"/>
      <c r="AR58" s="105" t="str">
        <f>AL58</f>
        <v>RD p.a%</v>
      </c>
      <c r="AS58" s="105" t="str">
        <f>AM58</f>
        <v>2015 Level</v>
      </c>
      <c r="AT58" s="105" t="str">
        <f>AN58</f>
        <v>Net Change</v>
      </c>
      <c r="AU58" s="105" t="str">
        <f>AO58</f>
        <v>Replace-ment Demand</v>
      </c>
      <c r="AV58" s="105" t="str">
        <f>AP58</f>
        <v>Total Require-ment</v>
      </c>
      <c r="AW58" s="112"/>
      <c r="AX58" s="109" t="str">
        <f>AX6</f>
        <v>RD p.a%</v>
      </c>
      <c r="AY58" s="109" t="str">
        <f>AY6</f>
        <v>2015 Level</v>
      </c>
      <c r="AZ58" s="109" t="str">
        <f>AZ6</f>
        <v>Net Change</v>
      </c>
      <c r="BA58" s="109" t="str">
        <f>BA6</f>
        <v>Replace-ment Demand</v>
      </c>
      <c r="BB58" s="109" t="str">
        <f>BB6</f>
        <v>Total Require-ment</v>
      </c>
      <c r="BC58" s="108"/>
      <c r="BD58" s="104" t="str">
        <f>AX58</f>
        <v>RD p.a%</v>
      </c>
      <c r="BE58" s="104" t="str">
        <f>AY58</f>
        <v>2015 Level</v>
      </c>
      <c r="BF58" s="104" t="str">
        <f>AZ58</f>
        <v>Net Change</v>
      </c>
      <c r="BG58" s="104" t="str">
        <f>BA58</f>
        <v>Replace-ment Demand</v>
      </c>
      <c r="BH58" s="104" t="str">
        <f>BB58</f>
        <v>Total Require-ment</v>
      </c>
      <c r="BI58" s="103"/>
      <c r="BJ58" s="105" t="str">
        <f>BD58</f>
        <v>RD p.a%</v>
      </c>
      <c r="BK58" s="105" t="str">
        <f>BE58</f>
        <v>2015 Level</v>
      </c>
      <c r="BL58" s="105" t="str">
        <f>BF58</f>
        <v>Net Change</v>
      </c>
      <c r="BM58" s="105" t="str">
        <f>BG58</f>
        <v>Replace-ment Demand</v>
      </c>
      <c r="BN58" s="105" t="str">
        <f>BH58</f>
        <v>Total Require-ment</v>
      </c>
      <c r="BO58" s="103"/>
      <c r="BP58" s="105" t="str">
        <f>BJ58</f>
        <v>RD p.a%</v>
      </c>
      <c r="BQ58" s="105" t="str">
        <f>BK58</f>
        <v>2015 Level</v>
      </c>
      <c r="BR58" s="105" t="str">
        <f>BL58</f>
        <v>Net Change</v>
      </c>
      <c r="BS58" s="105" t="str">
        <f>BM58</f>
        <v>Replace-ment Demand</v>
      </c>
      <c r="BT58" s="105" t="str">
        <f>BN58</f>
        <v>Total Require-ment</v>
      </c>
      <c r="BU58" s="112"/>
      <c r="BV58" s="109" t="str">
        <f>BV6</f>
        <v>RD p.a%</v>
      </c>
      <c r="BW58" s="109" t="str">
        <f>BW6</f>
        <v>2015 Level</v>
      </c>
      <c r="BX58" s="109" t="str">
        <f>BX6</f>
        <v>Net Change</v>
      </c>
      <c r="BY58" s="109" t="str">
        <f>BY6</f>
        <v>Replace-ment Demand</v>
      </c>
      <c r="BZ58" s="109" t="str">
        <f>BZ6</f>
        <v>Total Require-ment</v>
      </c>
      <c r="CA58" s="108"/>
      <c r="CB58" s="104" t="str">
        <f>BV58</f>
        <v>RD p.a%</v>
      </c>
      <c r="CC58" s="104" t="str">
        <f>BW58</f>
        <v>2015 Level</v>
      </c>
      <c r="CD58" s="104" t="str">
        <f>BX58</f>
        <v>Net Change</v>
      </c>
      <c r="CE58" s="104" t="str">
        <f>BY58</f>
        <v>Replace-ment Demand</v>
      </c>
      <c r="CF58" s="104" t="str">
        <f>BZ58</f>
        <v>Total Require-ment</v>
      </c>
      <c r="CG58" s="103"/>
      <c r="CH58" s="105" t="str">
        <f>CB58</f>
        <v>RD p.a%</v>
      </c>
      <c r="CI58" s="105" t="str">
        <f>CC58</f>
        <v>2015 Level</v>
      </c>
      <c r="CJ58" s="105" t="str">
        <f>CD58</f>
        <v>Net Change</v>
      </c>
      <c r="CK58" s="105" t="str">
        <f>CE58</f>
        <v>Replace-ment Demand</v>
      </c>
      <c r="CL58" s="105" t="str">
        <f>CF58</f>
        <v>Total Require-ment</v>
      </c>
      <c r="CM58" s="103"/>
      <c r="CN58" s="105" t="str">
        <f>CH58</f>
        <v>RD p.a%</v>
      </c>
      <c r="CO58" s="105" t="str">
        <f>CI58</f>
        <v>2015 Level</v>
      </c>
      <c r="CP58" s="105" t="str">
        <f>CJ58</f>
        <v>Net Change</v>
      </c>
      <c r="CQ58" s="105" t="str">
        <f>CK58</f>
        <v>Replace-ment Demand</v>
      </c>
      <c r="CR58" s="105" t="str">
        <f>CL58</f>
        <v>Total Require-ment</v>
      </c>
      <c r="CS58" s="112"/>
      <c r="CT58" s="109" t="str">
        <f>CT6</f>
        <v>RD p.a%</v>
      </c>
      <c r="CU58" s="109" t="str">
        <f>CU6</f>
        <v>2015 Level</v>
      </c>
      <c r="CV58" s="109" t="str">
        <f>CV6</f>
        <v>Net Change</v>
      </c>
      <c r="CW58" s="109" t="str">
        <f>CW6</f>
        <v>Replace-ment Demand</v>
      </c>
      <c r="CX58" s="109" t="str">
        <f>CX6</f>
        <v>Total Require-ment</v>
      </c>
      <c r="CY58" s="108"/>
      <c r="CZ58" s="104" t="str">
        <f>CT58</f>
        <v>RD p.a%</v>
      </c>
      <c r="DA58" s="104" t="str">
        <f>CU58</f>
        <v>2015 Level</v>
      </c>
      <c r="DB58" s="104" t="str">
        <f>CV58</f>
        <v>Net Change</v>
      </c>
      <c r="DC58" s="104" t="str">
        <f>CW58</f>
        <v>Replace-ment Demand</v>
      </c>
      <c r="DD58" s="104" t="str">
        <f>CX58</f>
        <v>Total Require-ment</v>
      </c>
      <c r="DE58" s="103"/>
      <c r="DF58" s="105" t="str">
        <f>CZ58</f>
        <v>RD p.a%</v>
      </c>
      <c r="DG58" s="105" t="str">
        <f>DA58</f>
        <v>2015 Level</v>
      </c>
      <c r="DH58" s="105" t="str">
        <f>DB58</f>
        <v>Net Change</v>
      </c>
      <c r="DI58" s="105" t="str">
        <f>DC58</f>
        <v>Replace-ment Demand</v>
      </c>
      <c r="DJ58" s="105" t="str">
        <f>DD58</f>
        <v>Total Require-ment</v>
      </c>
      <c r="DK58" s="103"/>
      <c r="DL58" s="105" t="str">
        <f>DF58</f>
        <v>RD p.a%</v>
      </c>
      <c r="DM58" s="105" t="str">
        <f>DG58</f>
        <v>2015 Level</v>
      </c>
      <c r="DN58" s="105" t="str">
        <f>DH58</f>
        <v>Net Change</v>
      </c>
      <c r="DO58" s="105" t="str">
        <f>DI58</f>
        <v>Replace-ment Demand</v>
      </c>
      <c r="DP58" s="105" t="str">
        <f>DJ58</f>
        <v>Total Require-ment</v>
      </c>
    </row>
    <row r="60" spans="1:120" x14ac:dyDescent="0.2">
      <c r="A60" s="90" t="e">
        <f>name!#REF!</f>
        <v>#REF!</v>
      </c>
      <c r="B60" s="39">
        <f t="shared" ref="B60:B77" si="44">IF(C60&gt;0,((1+(E60/C60))^(1/($A$101-$A$100))-1)*100,0)</f>
        <v>3.0200371662758352</v>
      </c>
      <c r="C60" s="93">
        <f t="array" ref="C60:C75">MMULT(aggregation!$B$28:$AP$33,C8:C48)</f>
        <v>366.4282299047502</v>
      </c>
      <c r="D60" s="93">
        <f t="array" ref="D60:D75">MMULT(aggregation!$B$28:$AP$33,D8:D48)</f>
        <v>12.375876953571559</v>
      </c>
      <c r="E60" s="93">
        <f t="array" ref="E60:E75">MMULT(aggregation!$B$28:$AP$33,E8:E48)</f>
        <v>126.97949758360076</v>
      </c>
      <c r="F60" s="93">
        <f t="array" ref="F60:F75">MMULT(aggregation!$B$28:$AP$33,F8:F48)</f>
        <v>139.35537453717231</v>
      </c>
      <c r="H60" s="39">
        <f t="shared" ref="H60:H77" si="45">IF(I60&gt;0,((1+(K60/I60))^(1/($A$101-$A$100))-1)*100,0)</f>
        <v>2.9285612180755871</v>
      </c>
      <c r="I60" s="93">
        <f t="array" ref="I60:I75">MMULT(aggregation!$B$28:$AP$33,I8:I48)</f>
        <v>97.376228083615871</v>
      </c>
      <c r="J60" s="93">
        <f t="array" ref="J60:J75">MMULT(aggregation!$B$28:$AP$33,J8:J48)</f>
        <v>-20.134418454551835</v>
      </c>
      <c r="K60" s="93">
        <f t="array" ref="K60:K75">MMULT(aggregation!$B$28:$AP$33,K8:K48)</f>
        <v>32.584449941883307</v>
      </c>
      <c r="L60" s="93">
        <f t="array" ref="L60:L75">MMULT(aggregation!$B$28:$AP$33,L8:L48)</f>
        <v>12.450031487331474</v>
      </c>
      <c r="N60" s="39">
        <f t="shared" ref="N60:N77" si="46">IF(O60&gt;0,((1+(Q60/O60))^(1/($A$101-$A$100))-1)*100,0)</f>
        <v>3.0078818163740584</v>
      </c>
      <c r="O60" s="93">
        <f t="array" ref="O60:O75">MMULT(aggregation!$B$28:$AP$33,O8:O48)</f>
        <v>182.91528670445331</v>
      </c>
      <c r="P60" s="93">
        <f t="array" ref="P60:P75">MMULT(aggregation!$B$28:$AP$33,P8:P48)</f>
        <v>11.860906329989675</v>
      </c>
      <c r="Q60" s="93">
        <f t="array" ref="Q60:Q75">MMULT(aggregation!$B$28:$AP$33,Q8:Q48)</f>
        <v>63.095737682523136</v>
      </c>
      <c r="R60" s="93">
        <f t="array" ref="R60:R75">MMULT(aggregation!$B$28:$AP$33,R8:R48)</f>
        <v>74.956644012512811</v>
      </c>
      <c r="S60" s="93"/>
      <c r="T60" s="39">
        <f t="shared" ref="T60:T77" si="47">IF(U60&gt;0,((1+(W60/U60))^(1/($A$101-$A$100))-1)*100,0)</f>
        <v>3.1481168893008116</v>
      </c>
      <c r="U60" s="93">
        <f t="array" ref="U60:U75">MMULT(aggregation!$B$28:$AP$33,U8:U48)</f>
        <v>86.136715116681074</v>
      </c>
      <c r="V60" s="93">
        <f t="array" ref="V60:V75">MMULT(aggregation!$B$28:$AP$33,V8:V48)</f>
        <v>20.649389078133723</v>
      </c>
      <c r="W60" s="93">
        <f t="array" ref="W60:W75">MMULT(aggregation!$B$28:$AP$33,W8:W48)</f>
        <v>31.299309959194293</v>
      </c>
      <c r="X60" s="93">
        <f t="array" ref="X60:X75">MMULT(aggregation!$B$28:$AP$33,X8:X48)</f>
        <v>51.948699037328012</v>
      </c>
      <c r="Y60" s="90" t="e">
        <f>A60</f>
        <v>#REF!</v>
      </c>
      <c r="Z60" s="39">
        <f t="shared" ref="Z60:Z75" si="48">IF(AA60&gt;0,((1+(AC60/AA60))^(1/($A$101-$A$100))-1)*100,0)</f>
        <v>3.4510693323820618</v>
      </c>
      <c r="AA60" s="93">
        <f t="array" ref="AA60:AA75">MMULT(aggregation!$B$28:$AP$33,AA8:AA48)</f>
        <v>109.40097762183721</v>
      </c>
      <c r="AB60" s="93">
        <f t="array" ref="AB60:AB75">MMULT(aggregation!$B$28:$AP$33,AB8:AB48)</f>
        <v>9.4111962426802158</v>
      </c>
      <c r="AC60" s="93">
        <f t="array" ref="AC60:AC75">MMULT(aggregation!$B$28:$AP$33,AC8:AC48)</f>
        <v>44.19188844178916</v>
      </c>
      <c r="AD60" s="93">
        <f t="array" ref="AD60:AD75">MMULT(aggregation!$B$28:$AP$33,AD8:AD48)</f>
        <v>53.603084684469373</v>
      </c>
      <c r="AF60" s="39">
        <f t="shared" ref="AF60:AF75" si="49">IF(AG60&gt;0,((1+(AI60/AG60))^(1/($A$101-$A$100))-1)*100,0)</f>
        <v>3.8042706160036355</v>
      </c>
      <c r="AG60" s="93">
        <f t="array" ref="AG60:AG75">MMULT(aggregation!$B$28:$AP$33,AG8:AG48)</f>
        <v>13.890583179106276</v>
      </c>
      <c r="AH60" s="93">
        <f t="array" ref="AH60:AH75">MMULT(aggregation!$B$28:$AP$33,AH8:AH48)</f>
        <v>-3.9765127034124319</v>
      </c>
      <c r="AI60" s="93">
        <f t="array" ref="AI60:AI75">MMULT(aggregation!$B$28:$AP$33,AI8:AI48)</f>
        <v>6.2871647138905322</v>
      </c>
      <c r="AJ60" s="93">
        <f t="array" ref="AJ60:AJ75">MMULT(aggregation!$B$28:$AP$33,AJ8:AJ48)</f>
        <v>2.3106520104781003</v>
      </c>
      <c r="AL60" s="39">
        <f t="shared" ref="AL60:AL75" si="50">IF(AM60&gt;0,((1+(AO60/AM60))^(1/($A$101-$A$100))-1)*100,0)</f>
        <v>3.5604682409842825</v>
      </c>
      <c r="AM60" s="93">
        <f t="array" ref="AM60:AM75">MMULT(aggregation!$B$28:$AP$33,AM8:AM48)</f>
        <v>46.925666714529029</v>
      </c>
      <c r="AN60" s="93">
        <f t="array" ref="AN60:AN75">MMULT(aggregation!$B$28:$AP$33,AN8:AN48)</f>
        <v>3.8599342908012759</v>
      </c>
      <c r="AO60" s="93">
        <f t="array" ref="AO60:AO75">MMULT(aggregation!$B$28:$AP$33,AO8:AO48)</f>
        <v>19.655362728522867</v>
      </c>
      <c r="AP60" s="93">
        <f t="array" ref="AP60:AP75">MMULT(aggregation!$B$28:$AP$33,AP8:AP48)</f>
        <v>23.515297019324144</v>
      </c>
      <c r="AQ60" s="93"/>
      <c r="AR60" s="39">
        <f t="shared" ref="AR60:AR75" si="51">IF(AS60&gt;0,((1+(AU60/AS60))^(1/($A$101-$A$100))-1)*100,0)</f>
        <v>3.2404350006200788</v>
      </c>
      <c r="AS60" s="93">
        <f t="array" ref="AS60:AS75">MMULT(aggregation!$B$28:$AP$33,AS8:AS48)</f>
        <v>48.584727728201912</v>
      </c>
      <c r="AT60" s="93">
        <f t="array" ref="AT60:AT75">MMULT(aggregation!$B$28:$AP$33,AT8:AT48)</f>
        <v>9.5277746552913687</v>
      </c>
      <c r="AU60" s="93">
        <f t="array" ref="AU60:AU75">MMULT(aggregation!$B$28:$AP$33,AU8:AU48)</f>
        <v>18.249360999375764</v>
      </c>
      <c r="AV60" s="93">
        <f t="array" ref="AV60:AV75">MMULT(aggregation!$B$28:$AP$33,AV8:AV48)</f>
        <v>27.777135654667134</v>
      </c>
      <c r="AW60" s="90" t="e">
        <f>Y60</f>
        <v>#REF!</v>
      </c>
      <c r="AX60" s="39">
        <f t="shared" ref="AX60:AX75" si="52">IF(AY60&gt;0,((1+(BA60/AY60))^(1/($A$101-$A$100))-1)*100,0)</f>
        <v>2.5964738060617387</v>
      </c>
      <c r="AY60" s="93">
        <f t="array" ref="AY60:AY75">MMULT(aggregation!$B$28:$AP$33,AY8:AY48)</f>
        <v>133.76328434115098</v>
      </c>
      <c r="AZ60" s="93">
        <f t="array" ref="AZ60:AZ75">MMULT(aggregation!$B$28:$AP$33,AZ8:AZ48)</f>
        <v>2.9837836487827287</v>
      </c>
      <c r="BA60" s="93">
        <f t="array" ref="BA60:BA75">MMULT(aggregation!$B$28:$AP$33,BA8:BA48)</f>
        <v>39.083485919914963</v>
      </c>
      <c r="BB60" s="93">
        <f t="array" ref="BB60:BB75">MMULT(aggregation!$B$28:$AP$33,BB8:BB48)</f>
        <v>42.067269568697697</v>
      </c>
      <c r="BD60" s="39">
        <f t="shared" ref="BD60:BD75" si="53">IF(BE60&gt;0,((1+(BG60/BE60))^(1/($A$101-$A$100))-1)*100,0)</f>
        <v>2.547134735934975</v>
      </c>
      <c r="BE60" s="93">
        <f t="array" ref="BE60:BE75">MMULT(aggregation!$B$28:$AP$33,BE8:BE48)</f>
        <v>38.038082841341755</v>
      </c>
      <c r="BF60" s="93">
        <f t="array" ref="BF60:BF75">MMULT(aggregation!$B$28:$AP$33,BF8:BF48)</f>
        <v>-2.4133097813355744</v>
      </c>
      <c r="BG60" s="93">
        <f t="array" ref="BG60:BG75">MMULT(aggregation!$B$28:$AP$33,BG8:BG48)</f>
        <v>10.878253522030754</v>
      </c>
      <c r="BH60" s="93">
        <f t="array" ref="BH60:BH75">MMULT(aggregation!$B$28:$AP$33,BH8:BH48)</f>
        <v>8.4649437406951797</v>
      </c>
      <c r="BJ60" s="39">
        <f t="shared" ref="BJ60:BJ75" si="54">IF(BK60&gt;0,((1+(BM60/BK60))^(1/($A$101-$A$100))-1)*100,0)</f>
        <v>2.5845775387473902</v>
      </c>
      <c r="BK60" s="93">
        <f t="array" ref="BK60:BK75">MMULT(aggregation!$B$28:$AP$33,BK8:BK48)</f>
        <v>74.411735017406926</v>
      </c>
      <c r="BL60" s="93">
        <f t="array" ref="BL60:BL75">MMULT(aggregation!$B$28:$AP$33,BL8:BL48)</f>
        <v>3.1855192819452687</v>
      </c>
      <c r="BM60" s="93">
        <f t="array" ref="BM60:BM75">MMULT(aggregation!$B$28:$AP$33,BM8:BM48)</f>
        <v>21.630481362749549</v>
      </c>
      <c r="BN60" s="93">
        <f t="array" ref="BN60:BN75">MMULT(aggregation!$B$28:$AP$33,BN8:BN48)</f>
        <v>24.816000644694821</v>
      </c>
      <c r="BO60" s="93"/>
      <c r="BP60" s="39">
        <f t="shared" ref="BP60:BP75" si="55">IF(BQ60&gt;0,((1+(BS60/BQ60))^(1/($A$101-$A$100))-1)*100,0)</f>
        <v>2.7251222269226272</v>
      </c>
      <c r="BQ60" s="93">
        <f t="array" ref="BQ60:BQ75">MMULT(aggregation!$B$28:$AP$33,BQ8:BQ48)</f>
        <v>21.313466482402312</v>
      </c>
      <c r="BR60" s="93">
        <f t="array" ref="BR60:BR75">MMULT(aggregation!$B$28:$AP$33,BR8:BR48)</f>
        <v>2.2115741481730335</v>
      </c>
      <c r="BS60" s="93">
        <f t="array" ref="BS60:BS75">MMULT(aggregation!$B$28:$AP$33,BS8:BS48)</f>
        <v>6.5747510351346579</v>
      </c>
      <c r="BT60" s="93">
        <f t="array" ref="BT60:BT75">MMULT(aggregation!$B$28:$AP$33,BT8:BT48)</f>
        <v>8.7863251833076923</v>
      </c>
      <c r="BU60" s="90" t="e">
        <f>AW60</f>
        <v>#REF!</v>
      </c>
      <c r="BV60" s="39">
        <f t="shared" ref="BV60:BV75" si="56">IF(BW60&gt;0,((1+(BY60/BW60))^(1/($A$101-$A$100))-1)*100,0)</f>
        <v>3.485095393773241</v>
      </c>
      <c r="BW60" s="93">
        <f t="array" ref="BW60:BW75">MMULT(aggregation!$B$28:$AP$33,BW8:BW48)</f>
        <v>65.409196417553474</v>
      </c>
      <c r="BX60" s="93">
        <f t="array" ref="BX60:BX75">MMULT(aggregation!$B$28:$AP$33,BX8:BX48)</f>
        <v>-7.2725784365581729</v>
      </c>
      <c r="BY60" s="93">
        <f t="array" ref="BY60:BY75">MMULT(aggregation!$B$28:$AP$33,BY8:BY48)</f>
        <v>26.724152418105156</v>
      </c>
      <c r="BZ60" s="93">
        <f t="array" ref="BZ60:BZ75">MMULT(aggregation!$B$28:$AP$33,BZ8:BZ48)</f>
        <v>19.451573981546982</v>
      </c>
      <c r="CB60" s="39">
        <f t="shared" ref="CB60:CB75" si="57">IF(CC60&gt;0,((1+(CE60/CC60))^(1/($A$101-$A$100))-1)*100,0)</f>
        <v>3.3945866942973302</v>
      </c>
      <c r="CC60" s="93">
        <f t="array" ref="CC60:CC75">MMULT(aggregation!$B$28:$AP$33,CC8:CC48)</f>
        <v>21.05053288471078</v>
      </c>
      <c r="CD60" s="93">
        <f t="array" ref="CD60:CD75">MMULT(aggregation!$B$28:$AP$33,CD8:CD48)</f>
        <v>-8.6356916223892384</v>
      </c>
      <c r="CE60" s="93">
        <f t="array" ref="CE60:CE75">MMULT(aggregation!$B$28:$AP$33,CE8:CE48)</f>
        <v>8.342277262525851</v>
      </c>
      <c r="CF60" s="93">
        <f t="array" ref="CF60:CF75">MMULT(aggregation!$B$28:$AP$33,CF8:CF48)</f>
        <v>-0.2934143598633871</v>
      </c>
      <c r="CH60" s="39">
        <f t="shared" ref="CH60:CH75" si="58">IF(CI60&gt;0,((1+(CK60/CI60))^(1/($A$101-$A$100))-1)*100,0)</f>
        <v>3.4521857773551767</v>
      </c>
      <c r="CI60" s="93">
        <f t="array" ref="CI60:CI75">MMULT(aggregation!$B$28:$AP$33,CI8:CI48)</f>
        <v>34.546886160025707</v>
      </c>
      <c r="CJ60" s="93">
        <f t="array" ref="CJ60:CJ75">MMULT(aggregation!$B$28:$AP$33,CJ8:CJ48)</f>
        <v>-1.2189766380635714</v>
      </c>
      <c r="CK60" s="93">
        <f t="array" ref="CK60:CK75">MMULT(aggregation!$B$28:$AP$33,CK8:CK48)</f>
        <v>13.96024826295576</v>
      </c>
      <c r="CL60" s="93">
        <f t="array" ref="CL60:CL75">MMULT(aggregation!$B$28:$AP$33,CL8:CL48)</f>
        <v>12.741271624892187</v>
      </c>
      <c r="CM60" s="93"/>
      <c r="CN60" s="39">
        <f t="shared" ref="CN60:CN75" si="59">IF(CO60&gt;0,((1+(CQ60/CO60))^(1/($A$101-$A$100))-1)*100,0)</f>
        <v>3.7901429015048116</v>
      </c>
      <c r="CO60" s="93">
        <f t="array" ref="CO60:CO75">MMULT(aggregation!$B$28:$AP$33,CO8:CO48)</f>
        <v>9.8117773728169944</v>
      </c>
      <c r="CP60" s="93">
        <f t="array" ref="CP60:CP75">MMULT(aggregation!$B$28:$AP$33,CP8:CP48)</f>
        <v>2.5820898238946395</v>
      </c>
      <c r="CQ60" s="93">
        <f t="array" ref="CQ60:CQ75">MMULT(aggregation!$B$28:$AP$33,CQ8:CQ48)</f>
        <v>4.421626892623542</v>
      </c>
      <c r="CR60" s="93">
        <f t="array" ref="CR60:CR75">MMULT(aggregation!$B$28:$AP$33,CR8:CR48)</f>
        <v>7.0037167165181815</v>
      </c>
      <c r="CS60" s="90" t="e">
        <f>BU60</f>
        <v>#REF!</v>
      </c>
      <c r="CT60" s="39">
        <f t="shared" ref="CT60:CT75" si="60">IF(CU60&gt;0,((1+(CW60/CU60))^(1/($A$101-$A$100))-1)*100,0)</f>
        <v>2.6068626107773829</v>
      </c>
      <c r="CU60" s="93">
        <f t="array" ref="CU60:CU75">MMULT(aggregation!$B$28:$AP$33,CU8:CU48)</f>
        <v>57.854771524208537</v>
      </c>
      <c r="CV60" s="93">
        <f t="array" ref="CV60:CV75">MMULT(aggregation!$B$28:$AP$33,CV8:CV48)</f>
        <v>7.2534754986667886</v>
      </c>
      <c r="CW60" s="93">
        <f t="array" ref="CW60:CW75">MMULT(aggregation!$B$28:$AP$33,CW8:CW48)</f>
        <v>16.979970803791471</v>
      </c>
      <c r="CX60" s="93">
        <f t="array" ref="CX60:CX75">MMULT(aggregation!$B$28:$AP$33,CX8:CX48)</f>
        <v>24.233446302458258</v>
      </c>
      <c r="CZ60" s="39">
        <f t="shared" ref="CZ60:CZ75" si="61">IF(DA60&gt;0,((1+(DC60/DA60))^(1/($A$101-$A$100))-1)*100,0)</f>
        <v>2.5796471633499296</v>
      </c>
      <c r="DA60" s="93">
        <f t="array" ref="DA60:DA75">MMULT(aggregation!$B$28:$AP$33,DA8:DA48)</f>
        <v>24.397029178457057</v>
      </c>
      <c r="DB60" s="93">
        <f t="array" ref="DB60:DB75">MMULT(aggregation!$B$28:$AP$33,DB8:DB48)</f>
        <v>-5.1089043474145921</v>
      </c>
      <c r="DC60" s="93">
        <f t="array" ref="DC60:DC75">MMULT(aggregation!$B$28:$AP$33,DC8:DC48)</f>
        <v>7.0767544434361751</v>
      </c>
      <c r="DD60" s="93">
        <f t="array" ref="DD60:DD75">MMULT(aggregation!$B$28:$AP$33,DD8:DD48)</f>
        <v>1.967850096021583</v>
      </c>
      <c r="DF60" s="39">
        <f t="shared" ref="DF60:DF75" si="62">IF(DG60&gt;0,((1+(DI60/DG60))^(1/($A$101-$A$100))-1)*100,0)</f>
        <v>2.5822546806152147</v>
      </c>
      <c r="DG60" s="93">
        <f t="array" ref="DG60:DG75">MMULT(aggregation!$B$28:$AP$33,DG8:DG48)</f>
        <v>27.030998812491621</v>
      </c>
      <c r="DH60" s="93">
        <f t="array" ref="DH60:DH75">MMULT(aggregation!$B$28:$AP$33,DH8:DH48)</f>
        <v>6.0344293953067005</v>
      </c>
      <c r="DI60" s="93">
        <f t="array" ref="DI60:DI75">MMULT(aggregation!$B$28:$AP$33,DI8:DI48)</f>
        <v>7.8496453282949643</v>
      </c>
      <c r="DJ60" s="93">
        <f t="array" ref="DJ60:DJ75">MMULT(aggregation!$B$28:$AP$33,DJ8:DJ48)</f>
        <v>13.884074723601664</v>
      </c>
      <c r="DK60" s="93"/>
      <c r="DL60" s="39">
        <f t="shared" ref="DL60:DL75" si="63">IF(DM60&gt;0,((1+(DO60/DM60))^(1/($A$101-$A$100))-1)*100,0)</f>
        <v>2.8115955969045814</v>
      </c>
      <c r="DM60" s="93">
        <f t="array" ref="DM60:DM75">MMULT(aggregation!$B$28:$AP$33,DM8:DM48)</f>
        <v>6.426743533259863</v>
      </c>
      <c r="DN60" s="93">
        <f t="array" ref="DN60:DN75">MMULT(aggregation!$B$28:$AP$33,DN8:DN48)</f>
        <v>6.3279504507746802</v>
      </c>
      <c r="DO60" s="93">
        <f t="array" ref="DO60:DO75">MMULT(aggregation!$B$28:$AP$33,DO8:DO48)</f>
        <v>2.0535710320603289</v>
      </c>
      <c r="DP60" s="93">
        <f t="array" ref="DP60:DP75">MMULT(aggregation!$B$28:$AP$33,DP8:DP48)</f>
        <v>8.3815214828350086</v>
      </c>
    </row>
    <row r="61" spans="1:120" x14ac:dyDescent="0.2">
      <c r="A61" s="90" t="e">
        <f>name!#REF!</f>
        <v>#REF!</v>
      </c>
      <c r="B61" s="39">
        <f t="shared" si="44"/>
        <v>2.6428578302956751</v>
      </c>
      <c r="C61" s="93">
        <v>1531.9705805222009</v>
      </c>
      <c r="D61" s="93">
        <v>38.373634438141572</v>
      </c>
      <c r="E61" s="93">
        <v>456.58520540961894</v>
      </c>
      <c r="F61" s="93">
        <v>494.95883984776049</v>
      </c>
      <c r="H61" s="39">
        <f t="shared" si="45"/>
        <v>2.4792103651163355</v>
      </c>
      <c r="I61" s="93">
        <v>346.9543032994946</v>
      </c>
      <c r="J61" s="93">
        <v>-71.701267476699215</v>
      </c>
      <c r="K61" s="93">
        <v>96.27654812183178</v>
      </c>
      <c r="L61" s="93">
        <v>24.575280645132562</v>
      </c>
      <c r="N61" s="39">
        <f t="shared" si="46"/>
        <v>2.5614670093909275</v>
      </c>
      <c r="O61" s="93">
        <v>814.35141810968503</v>
      </c>
      <c r="P61" s="93">
        <v>55.745517961636317</v>
      </c>
      <c r="Q61" s="93">
        <v>234.35541894926229</v>
      </c>
      <c r="R61" s="93">
        <v>290.10093691089861</v>
      </c>
      <c r="S61" s="93"/>
      <c r="T61" s="39">
        <f t="shared" si="47"/>
        <v>2.9684351632191186</v>
      </c>
      <c r="U61" s="93">
        <v>370.66485911302107</v>
      </c>
      <c r="V61" s="93">
        <v>54.329383953204463</v>
      </c>
      <c r="W61" s="93">
        <v>125.95323833852494</v>
      </c>
      <c r="X61" s="93">
        <v>180.28262229172944</v>
      </c>
      <c r="Y61" s="90" t="e">
        <f t="shared" ref="Y61:Y75" si="64">A61</f>
        <v>#REF!</v>
      </c>
      <c r="Z61" s="39">
        <f t="shared" si="48"/>
        <v>3.09935723132575</v>
      </c>
      <c r="AA61" s="93">
        <v>449.17774942270398</v>
      </c>
      <c r="AB61" s="93">
        <v>50.084024973176945</v>
      </c>
      <c r="AC61" s="93">
        <v>160.32800726207913</v>
      </c>
      <c r="AD61" s="93">
        <v>210.41203223525608</v>
      </c>
      <c r="AF61" s="39">
        <f t="shared" si="49"/>
        <v>3.0553735251015013</v>
      </c>
      <c r="AG61" s="93">
        <v>43.103207322115679</v>
      </c>
      <c r="AH61" s="93">
        <v>0.19587937567616226</v>
      </c>
      <c r="AI61" s="93">
        <v>15.136073680613812</v>
      </c>
      <c r="AJ61" s="93">
        <v>15.331953056289972</v>
      </c>
      <c r="AL61" s="39">
        <f t="shared" si="50"/>
        <v>3.0511586415955083</v>
      </c>
      <c r="AM61" s="93">
        <v>165.52931783494364</v>
      </c>
      <c r="AN61" s="93">
        <v>19.535586179291034</v>
      </c>
      <c r="AO61" s="93">
        <v>58.035631729329729</v>
      </c>
      <c r="AP61" s="93">
        <v>77.571217908620767</v>
      </c>
      <c r="AQ61" s="93"/>
      <c r="AR61" s="39">
        <f t="shared" si="51"/>
        <v>3.1402482773775109</v>
      </c>
      <c r="AS61" s="93">
        <v>240.54522426564475</v>
      </c>
      <c r="AT61" s="93">
        <v>30.35255941820974</v>
      </c>
      <c r="AU61" s="93">
        <v>87.156301852135613</v>
      </c>
      <c r="AV61" s="93">
        <v>117.50886127034535</v>
      </c>
      <c r="AW61" s="90" t="e">
        <f t="shared" ref="AW61:AW75" si="65">Y61</f>
        <v>#REF!</v>
      </c>
      <c r="AX61" s="39">
        <f t="shared" si="52"/>
        <v>2.5119602836049859</v>
      </c>
      <c r="AY61" s="93">
        <v>382.12363836563554</v>
      </c>
      <c r="AZ61" s="93">
        <v>14.987876400880856</v>
      </c>
      <c r="BA61" s="93">
        <v>107.597993602248</v>
      </c>
      <c r="BB61" s="93">
        <v>122.58587000312885</v>
      </c>
      <c r="BD61" s="39">
        <f t="shared" si="53"/>
        <v>2.4324488727566429</v>
      </c>
      <c r="BE61" s="93">
        <v>68.87792182820661</v>
      </c>
      <c r="BF61" s="93">
        <v>-12.980223779533098</v>
      </c>
      <c r="BG61" s="93">
        <v>18.712292944480623</v>
      </c>
      <c r="BH61" s="93">
        <v>5.7320691649475206</v>
      </c>
      <c r="BJ61" s="39">
        <f t="shared" si="54"/>
        <v>2.4743901795061252</v>
      </c>
      <c r="BK61" s="93">
        <v>227.41154731887079</v>
      </c>
      <c r="BL61" s="93">
        <v>20.277004150306102</v>
      </c>
      <c r="BM61" s="93">
        <v>62.967942886752354</v>
      </c>
      <c r="BN61" s="93">
        <v>83.244947037058452</v>
      </c>
      <c r="BO61" s="93"/>
      <c r="BP61" s="39">
        <f t="shared" si="55"/>
        <v>2.6737634790460207</v>
      </c>
      <c r="BQ61" s="93">
        <v>85.834169218558088</v>
      </c>
      <c r="BR61" s="93">
        <v>7.6910960301078566</v>
      </c>
      <c r="BS61" s="93">
        <v>25.917757771015022</v>
      </c>
      <c r="BT61" s="93">
        <v>33.608853801122876</v>
      </c>
      <c r="BU61" s="90" t="e">
        <f t="shared" ref="BU61:BU75" si="66">AW61</f>
        <v>#REF!</v>
      </c>
      <c r="BV61" s="39">
        <f t="shared" si="56"/>
        <v>2.4273686289485896</v>
      </c>
      <c r="BW61" s="93">
        <v>618.6998990746248</v>
      </c>
      <c r="BX61" s="93">
        <v>-37.145990679902553</v>
      </c>
      <c r="BY61" s="93">
        <v>167.69412219711813</v>
      </c>
      <c r="BZ61" s="93">
        <v>130.54813151721558</v>
      </c>
      <c r="CB61" s="39">
        <f t="shared" si="57"/>
        <v>2.3908219482846826</v>
      </c>
      <c r="CC61" s="93">
        <v>200.76690413153926</v>
      </c>
      <c r="CD61" s="93">
        <v>-51.773551523444716</v>
      </c>
      <c r="CE61" s="93">
        <v>53.507365477367323</v>
      </c>
      <c r="CF61" s="93">
        <v>1.7338139539226114</v>
      </c>
      <c r="CH61" s="39">
        <f t="shared" si="58"/>
        <v>2.4281776316902093</v>
      </c>
      <c r="CI61" s="93">
        <v>377.66885349128535</v>
      </c>
      <c r="CJ61" s="93">
        <v>2.3971579400366365</v>
      </c>
      <c r="CK61" s="93">
        <v>102.40232056245216</v>
      </c>
      <c r="CL61" s="93">
        <v>104.79947850248878</v>
      </c>
      <c r="CM61" s="93"/>
      <c r="CN61" s="39">
        <f t="shared" si="59"/>
        <v>2.6003972395548303</v>
      </c>
      <c r="CO61" s="93">
        <v>40.264141451800178</v>
      </c>
      <c r="CP61" s="93">
        <v>12.230402903505531</v>
      </c>
      <c r="CQ61" s="93">
        <v>11.78443615729863</v>
      </c>
      <c r="CR61" s="93">
        <v>24.014839060804167</v>
      </c>
      <c r="CS61" s="90" t="e">
        <f t="shared" ref="CS61:CS75" si="67">BU61</f>
        <v>#REF!</v>
      </c>
      <c r="CT61" s="39">
        <f t="shared" si="60"/>
        <v>2.3036018395404811</v>
      </c>
      <c r="CU61" s="93">
        <v>81.969293659236243</v>
      </c>
      <c r="CV61" s="93">
        <v>10.447723743986325</v>
      </c>
      <c r="CW61" s="93">
        <v>20.965082348173706</v>
      </c>
      <c r="CX61" s="93">
        <v>31.412806092160039</v>
      </c>
      <c r="CZ61" s="39">
        <f t="shared" si="61"/>
        <v>2.3444837267214247</v>
      </c>
      <c r="DA61" s="93">
        <v>34.206270017633031</v>
      </c>
      <c r="DB61" s="93">
        <v>-7.1433715493975534</v>
      </c>
      <c r="DC61" s="93">
        <v>8.920816019370017</v>
      </c>
      <c r="DD61" s="93">
        <v>1.7774444699724654</v>
      </c>
      <c r="DF61" s="39">
        <f t="shared" si="62"/>
        <v>2.2591547110890398</v>
      </c>
      <c r="DG61" s="93">
        <v>43.741699464585146</v>
      </c>
      <c r="DH61" s="93">
        <v>13.535769692002548</v>
      </c>
      <c r="DI61" s="93">
        <v>10.949523770728023</v>
      </c>
      <c r="DJ61" s="93">
        <v>24.485293462730571</v>
      </c>
      <c r="DK61" s="93"/>
      <c r="DL61" s="39">
        <f t="shared" si="63"/>
        <v>2.4369670928403142</v>
      </c>
      <c r="DM61" s="93">
        <v>4.0213241770180499</v>
      </c>
      <c r="DN61" s="93">
        <v>4.055325601381333</v>
      </c>
      <c r="DO61" s="93">
        <v>1.0947425580756691</v>
      </c>
      <c r="DP61" s="93">
        <v>5.1500681594570024</v>
      </c>
    </row>
    <row r="62" spans="1:120" x14ac:dyDescent="0.2">
      <c r="A62" s="90" t="e">
        <f>name!#REF!</f>
        <v>#REF!</v>
      </c>
      <c r="B62" s="39">
        <f t="shared" si="44"/>
        <v>2.9873927143805101</v>
      </c>
      <c r="C62" s="93">
        <v>223.45199999999954</v>
      </c>
      <c r="D62" s="93">
        <v>16.32099999999997</v>
      </c>
      <c r="E62" s="93">
        <v>76.481434511542574</v>
      </c>
      <c r="F62" s="93">
        <v>92.802434511542543</v>
      </c>
      <c r="H62" s="39">
        <f t="shared" si="45"/>
        <v>2.7027065972447861</v>
      </c>
      <c r="I62" s="93">
        <v>10.129605191491642</v>
      </c>
      <c r="J62" s="93">
        <v>-0.34252249973408699</v>
      </c>
      <c r="K62" s="93">
        <v>3.0958737684558137</v>
      </c>
      <c r="L62" s="93">
        <v>2.753351268721727</v>
      </c>
      <c r="N62" s="39">
        <f t="shared" si="46"/>
        <v>2.7752129639048606</v>
      </c>
      <c r="O62" s="93">
        <v>49.401211396935132</v>
      </c>
      <c r="P62" s="93">
        <v>-7.2343121603684377</v>
      </c>
      <c r="Q62" s="93">
        <v>15.555114540422643</v>
      </c>
      <c r="R62" s="93">
        <v>8.3208023800542072</v>
      </c>
      <c r="S62" s="93"/>
      <c r="T62" s="39">
        <f t="shared" si="47"/>
        <v>3.0678398412407049</v>
      </c>
      <c r="U62" s="93">
        <v>163.92118341157277</v>
      </c>
      <c r="V62" s="93">
        <v>23.897834660102497</v>
      </c>
      <c r="W62" s="93">
        <v>57.830446202664113</v>
      </c>
      <c r="X62" s="93">
        <v>81.72828086276661</v>
      </c>
      <c r="Y62" s="90" t="e">
        <f t="shared" si="64"/>
        <v>#REF!</v>
      </c>
      <c r="Z62" s="39">
        <f t="shared" si="48"/>
        <v>3.115253870350565</v>
      </c>
      <c r="AA62" s="93">
        <v>152.77157011744924</v>
      </c>
      <c r="AB62" s="93">
        <v>23.667742514510199</v>
      </c>
      <c r="AC62" s="93">
        <v>54.849629303140759</v>
      </c>
      <c r="AD62" s="93">
        <v>78.517371817650954</v>
      </c>
      <c r="AF62" s="39">
        <f t="shared" si="49"/>
        <v>2.8153091738603475</v>
      </c>
      <c r="AG62" s="93">
        <v>4.0545970665235638</v>
      </c>
      <c r="AH62" s="93">
        <v>1.1763868580624641</v>
      </c>
      <c r="AI62" s="93">
        <v>1.2975194554462604</v>
      </c>
      <c r="AJ62" s="93">
        <v>2.4739063135087247</v>
      </c>
      <c r="AL62" s="39">
        <f t="shared" si="50"/>
        <v>2.9300260019708757</v>
      </c>
      <c r="AM62" s="93">
        <v>25.201713800358746</v>
      </c>
      <c r="AN62" s="93">
        <v>-0.99571290511587751</v>
      </c>
      <c r="AO62" s="93">
        <v>8.4378921676941143</v>
      </c>
      <c r="AP62" s="93">
        <v>7.4421792625782359</v>
      </c>
      <c r="AQ62" s="93"/>
      <c r="AR62" s="39">
        <f t="shared" si="51"/>
        <v>3.162364541262197</v>
      </c>
      <c r="AS62" s="93">
        <v>123.5152592505669</v>
      </c>
      <c r="AT62" s="93">
        <v>23.487068561563614</v>
      </c>
      <c r="AU62" s="93">
        <v>45.11421768000038</v>
      </c>
      <c r="AV62" s="93">
        <v>68.601286241563997</v>
      </c>
      <c r="AW62" s="90" t="e">
        <f t="shared" si="65"/>
        <v>#REF!</v>
      </c>
      <c r="AX62" s="39">
        <f t="shared" si="52"/>
        <v>2.7074686991907182</v>
      </c>
      <c r="AY62" s="93">
        <v>63.099183012426266</v>
      </c>
      <c r="AZ62" s="93">
        <v>-8.1666011273025987</v>
      </c>
      <c r="BA62" s="93">
        <v>19.322977545320413</v>
      </c>
      <c r="BB62" s="93">
        <v>11.156376418017812</v>
      </c>
      <c r="BD62" s="39">
        <f t="shared" si="53"/>
        <v>2.5809393895366073</v>
      </c>
      <c r="BE62" s="93">
        <v>3.8989278482616347</v>
      </c>
      <c r="BF62" s="93">
        <v>-1.4264888386863785</v>
      </c>
      <c r="BG62" s="93">
        <v>1.13158099277498</v>
      </c>
      <c r="BH62" s="93">
        <v>-0.29490784591139857</v>
      </c>
      <c r="BJ62" s="39">
        <f t="shared" si="54"/>
        <v>2.6099720549441985</v>
      </c>
      <c r="BK62" s="93">
        <v>20.535319575677597</v>
      </c>
      <c r="BL62" s="93">
        <v>-6.6729139331144127</v>
      </c>
      <c r="BM62" s="93">
        <v>6.0350233240421796</v>
      </c>
      <c r="BN62" s="93">
        <v>-0.63789060907223316</v>
      </c>
      <c r="BO62" s="93"/>
      <c r="BP62" s="39">
        <f t="shared" si="55"/>
        <v>2.7715378913155231</v>
      </c>
      <c r="BQ62" s="93">
        <v>38.66493558848704</v>
      </c>
      <c r="BR62" s="93">
        <v>-6.719835550180675E-2</v>
      </c>
      <c r="BS62" s="93">
        <v>12.156373228503252</v>
      </c>
      <c r="BT62" s="93">
        <v>12.089174873001445</v>
      </c>
      <c r="BU62" s="90" t="e">
        <f t="shared" si="66"/>
        <v>#REF!</v>
      </c>
      <c r="BV62" s="39">
        <f t="shared" si="56"/>
        <v>2.6220470512831273</v>
      </c>
      <c r="BW62" s="93">
        <v>5.5023713341610581</v>
      </c>
      <c r="BX62" s="93">
        <v>0.709064831134398</v>
      </c>
      <c r="BY62" s="93">
        <v>1.6254471384354698</v>
      </c>
      <c r="BZ62" s="93">
        <v>2.334511969569868</v>
      </c>
      <c r="CB62" s="39">
        <f t="shared" si="57"/>
        <v>2.5681173483516284</v>
      </c>
      <c r="CC62" s="93">
        <v>1.2121650788045106</v>
      </c>
      <c r="CD62" s="93">
        <v>0.18730291694992937</v>
      </c>
      <c r="CE62" s="93">
        <v>0.3498513913772372</v>
      </c>
      <c r="CF62" s="93">
        <v>0.53715430832716649</v>
      </c>
      <c r="CH62" s="39">
        <f t="shared" si="58"/>
        <v>2.5816875541381901</v>
      </c>
      <c r="CI62" s="93">
        <v>3.0029888388418309</v>
      </c>
      <c r="CJ62" s="93">
        <v>0.29040114785941096</v>
      </c>
      <c r="CK62" s="93">
        <v>0.87183632094087737</v>
      </c>
      <c r="CL62" s="93">
        <v>1.1622374688002883</v>
      </c>
      <c r="CM62" s="93"/>
      <c r="CN62" s="39">
        <f t="shared" si="59"/>
        <v>2.765792391549815</v>
      </c>
      <c r="CO62" s="93">
        <v>1.2872174165147163</v>
      </c>
      <c r="CP62" s="93">
        <v>0.23136076632505748</v>
      </c>
      <c r="CQ62" s="93">
        <v>0.40375942611735538</v>
      </c>
      <c r="CR62" s="93">
        <v>0.6351201924424128</v>
      </c>
      <c r="CS62" s="90" t="e">
        <f t="shared" si="67"/>
        <v>#REF!</v>
      </c>
      <c r="CT62" s="39">
        <f t="shared" si="60"/>
        <v>2.882982269596579</v>
      </c>
      <c r="CU62" s="93">
        <v>2.0788755359629878</v>
      </c>
      <c r="CV62" s="93">
        <v>0.11079378165796983</v>
      </c>
      <c r="CW62" s="93">
        <v>0.68338052464593657</v>
      </c>
      <c r="CX62" s="93">
        <v>0.7941743063039064</v>
      </c>
      <c r="CZ62" s="39">
        <f t="shared" si="61"/>
        <v>2.8834473778163394</v>
      </c>
      <c r="DA62" s="93">
        <v>0.9639151979019317</v>
      </c>
      <c r="DB62" s="93">
        <v>-0.27972343606010208</v>
      </c>
      <c r="DC62" s="93">
        <v>0.31692192885733617</v>
      </c>
      <c r="DD62" s="93">
        <v>3.7198492797234056E-2</v>
      </c>
      <c r="DF62" s="39">
        <f t="shared" si="62"/>
        <v>2.8008609727499634</v>
      </c>
      <c r="DG62" s="93">
        <v>0.66118918205696109</v>
      </c>
      <c r="DH62" s="93">
        <v>0.14391353000244075</v>
      </c>
      <c r="DI62" s="93">
        <v>0.21036272774547143</v>
      </c>
      <c r="DJ62" s="93">
        <v>0.35427625774791216</v>
      </c>
      <c r="DK62" s="93"/>
      <c r="DL62" s="39">
        <f t="shared" si="63"/>
        <v>3.0006170576280633</v>
      </c>
      <c r="DM62" s="93">
        <v>0.45377115600409529</v>
      </c>
      <c r="DN62" s="93">
        <v>0.24660368771563115</v>
      </c>
      <c r="DO62" s="93">
        <v>0.15609586804312911</v>
      </c>
      <c r="DP62" s="93">
        <v>0.40269955575876026</v>
      </c>
    </row>
    <row r="63" spans="1:120" x14ac:dyDescent="0.2">
      <c r="A63" s="90" t="e">
        <f>name!#REF!</f>
        <v>#REF!</v>
      </c>
      <c r="B63" s="39">
        <f t="shared" si="44"/>
        <v>2.8318785937824886</v>
      </c>
      <c r="C63" s="93">
        <v>2280.697111816894</v>
      </c>
      <c r="D63" s="93">
        <v>333.85127836326922</v>
      </c>
      <c r="E63" s="93">
        <v>734.70552907606873</v>
      </c>
      <c r="F63" s="93">
        <v>1068.5568074393379</v>
      </c>
      <c r="H63" s="39">
        <f t="shared" si="45"/>
        <v>2.7549207370162865</v>
      </c>
      <c r="I63" s="93">
        <v>283.04810837105344</v>
      </c>
      <c r="J63" s="93">
        <v>-0.74752589975027828</v>
      </c>
      <c r="K63" s="93">
        <v>88.390071573508365</v>
      </c>
      <c r="L63" s="93">
        <v>87.642545673758079</v>
      </c>
      <c r="N63" s="39">
        <f t="shared" si="46"/>
        <v>2.7471439144256316</v>
      </c>
      <c r="O63" s="93">
        <v>699.77572635201216</v>
      </c>
      <c r="P63" s="93">
        <v>138.82655476432222</v>
      </c>
      <c r="Q63" s="93">
        <v>217.83072664942705</v>
      </c>
      <c r="R63" s="93">
        <v>356.65728141374927</v>
      </c>
      <c r="S63" s="93"/>
      <c r="T63" s="39">
        <f t="shared" si="47"/>
        <v>2.8939541756485054</v>
      </c>
      <c r="U63" s="93">
        <v>1297.8732770938286</v>
      </c>
      <c r="V63" s="93">
        <v>195.77224949869728</v>
      </c>
      <c r="W63" s="93">
        <v>428.48473085313316</v>
      </c>
      <c r="X63" s="93">
        <v>624.25698035183052</v>
      </c>
      <c r="Y63" s="90" t="e">
        <f t="shared" si="64"/>
        <v>#REF!</v>
      </c>
      <c r="Z63" s="39">
        <f t="shared" si="48"/>
        <v>2.8785897697706897</v>
      </c>
      <c r="AA63" s="93">
        <v>1376.3410743701511</v>
      </c>
      <c r="AB63" s="93">
        <v>228.17890869238147</v>
      </c>
      <c r="AC63" s="93">
        <v>451.65852053812984</v>
      </c>
      <c r="AD63" s="93">
        <v>679.83742923051125</v>
      </c>
      <c r="AF63" s="39">
        <f t="shared" si="49"/>
        <v>2.7957231009731576</v>
      </c>
      <c r="AG63" s="93">
        <v>50.44110866811203</v>
      </c>
      <c r="AH63" s="93">
        <v>12.529196374543888</v>
      </c>
      <c r="AI63" s="93">
        <v>16.015026714248812</v>
      </c>
      <c r="AJ63" s="93">
        <v>28.544223088792698</v>
      </c>
      <c r="AL63" s="39">
        <f t="shared" si="50"/>
        <v>2.7886108998469661</v>
      </c>
      <c r="AM63" s="93">
        <v>237.91538858222418</v>
      </c>
      <c r="AN63" s="93">
        <v>57.839439754593094</v>
      </c>
      <c r="AO63" s="93">
        <v>75.321212862289059</v>
      </c>
      <c r="AP63" s="93">
        <v>133.16065261688217</v>
      </c>
      <c r="AQ63" s="93"/>
      <c r="AR63" s="39">
        <f t="shared" si="51"/>
        <v>2.9019926640608151</v>
      </c>
      <c r="AS63" s="93">
        <v>1087.984577119815</v>
      </c>
      <c r="AT63" s="93">
        <v>157.81027256324452</v>
      </c>
      <c r="AU63" s="93">
        <v>360.32228096159196</v>
      </c>
      <c r="AV63" s="93">
        <v>518.13255352483634</v>
      </c>
      <c r="AW63" s="90" t="e">
        <f t="shared" si="65"/>
        <v>#REF!</v>
      </c>
      <c r="AX63" s="39">
        <f t="shared" si="52"/>
        <v>2.6424249686811008</v>
      </c>
      <c r="AY63" s="93">
        <v>523.22518477326673</v>
      </c>
      <c r="AZ63" s="93">
        <v>52.913801027885178</v>
      </c>
      <c r="BA63" s="93">
        <v>155.91226381320303</v>
      </c>
      <c r="BB63" s="93">
        <v>208.82606484108817</v>
      </c>
      <c r="BD63" s="39">
        <f t="shared" si="53"/>
        <v>2.5567595525065601</v>
      </c>
      <c r="BE63" s="93">
        <v>71.038062853520373</v>
      </c>
      <c r="BF63" s="93">
        <v>-0.99683372471191745</v>
      </c>
      <c r="BG63" s="93">
        <v>20.401472725463666</v>
      </c>
      <c r="BH63" s="93">
        <v>19.40463900075175</v>
      </c>
      <c r="BJ63" s="39">
        <f t="shared" si="54"/>
        <v>2.5991209312550723</v>
      </c>
      <c r="BK63" s="93">
        <v>287.37783213184116</v>
      </c>
      <c r="BL63" s="93">
        <v>26.153950013495834</v>
      </c>
      <c r="BM63" s="93">
        <v>84.063015645700077</v>
      </c>
      <c r="BN63" s="93">
        <v>110.21696565919591</v>
      </c>
      <c r="BO63" s="93"/>
      <c r="BP63" s="39">
        <f t="shared" si="55"/>
        <v>2.7540294923941611</v>
      </c>
      <c r="BQ63" s="93">
        <v>164.80928978790524</v>
      </c>
      <c r="BR63" s="93">
        <v>27.756684739101249</v>
      </c>
      <c r="BS63" s="93">
        <v>51.44777544203928</v>
      </c>
      <c r="BT63" s="93">
        <v>79.204460181140519</v>
      </c>
      <c r="BU63" s="90" t="e">
        <f t="shared" si="66"/>
        <v>#REF!</v>
      </c>
      <c r="BV63" s="39">
        <f t="shared" si="56"/>
        <v>3.0340414804767457</v>
      </c>
      <c r="BW63" s="93">
        <v>85.622354303695573</v>
      </c>
      <c r="BX63" s="93">
        <v>25.553340948968874</v>
      </c>
      <c r="BY63" s="93">
        <v>29.827799955063963</v>
      </c>
      <c r="BZ63" s="93">
        <v>55.38114090403284</v>
      </c>
      <c r="CB63" s="39">
        <f t="shared" si="57"/>
        <v>2.8104311558199369</v>
      </c>
      <c r="CC63" s="93">
        <v>30.284463826404377</v>
      </c>
      <c r="CD63" s="93">
        <v>8.1375545884132379</v>
      </c>
      <c r="CE63" s="93">
        <v>9.6724276046623192</v>
      </c>
      <c r="CF63" s="93">
        <v>17.809982193075562</v>
      </c>
      <c r="CH63" s="39">
        <f t="shared" si="58"/>
        <v>3.032601937255075</v>
      </c>
      <c r="CI63" s="93">
        <v>41.892604481564547</v>
      </c>
      <c r="CJ63" s="93">
        <v>15.854631919648618</v>
      </c>
      <c r="CK63" s="93">
        <v>14.586010214101943</v>
      </c>
      <c r="CL63" s="93">
        <v>30.440642133750558</v>
      </c>
      <c r="CM63" s="93"/>
      <c r="CN63" s="39">
        <f t="shared" si="59"/>
        <v>3.5265698752577679</v>
      </c>
      <c r="CO63" s="93">
        <v>13.445285995726644</v>
      </c>
      <c r="CP63" s="93">
        <v>1.5611544409070162</v>
      </c>
      <c r="CQ63" s="93">
        <v>5.569362136299703</v>
      </c>
      <c r="CR63" s="93">
        <v>7.1305165772067181</v>
      </c>
      <c r="CS63" s="90" t="e">
        <f t="shared" si="67"/>
        <v>#REF!</v>
      </c>
      <c r="CT63" s="39">
        <f t="shared" si="60"/>
        <v>2.8873206920158934</v>
      </c>
      <c r="CU63" s="93">
        <v>295.50849836978091</v>
      </c>
      <c r="CV63" s="93">
        <v>27.205227694033695</v>
      </c>
      <c r="CW63" s="93">
        <v>97.30694476967183</v>
      </c>
      <c r="CX63" s="93">
        <v>124.51217246370554</v>
      </c>
      <c r="CZ63" s="39">
        <f t="shared" si="61"/>
        <v>2.8324154996547835</v>
      </c>
      <c r="DA63" s="93">
        <v>131.28447302301666</v>
      </c>
      <c r="DB63" s="93">
        <v>-20.417443137995487</v>
      </c>
      <c r="DC63" s="93">
        <v>42.301144529133552</v>
      </c>
      <c r="DD63" s="93">
        <v>21.883701391138072</v>
      </c>
      <c r="DF63" s="39">
        <f t="shared" si="62"/>
        <v>2.8990149638167262</v>
      </c>
      <c r="DG63" s="93">
        <v>132.58990115638235</v>
      </c>
      <c r="DH63" s="93">
        <v>38.978533076584675</v>
      </c>
      <c r="DI63" s="93">
        <v>43.860487927335967</v>
      </c>
      <c r="DJ63" s="93">
        <v>82.839021003920635</v>
      </c>
      <c r="DK63" s="93"/>
      <c r="DL63" s="39">
        <f t="shared" si="63"/>
        <v>3.0642208582672747</v>
      </c>
      <c r="DM63" s="93">
        <v>31.634124190381911</v>
      </c>
      <c r="DN63" s="93">
        <v>8.6441377554445076</v>
      </c>
      <c r="DO63" s="93">
        <v>11.145312313202311</v>
      </c>
      <c r="DP63" s="93">
        <v>19.789450068646818</v>
      </c>
    </row>
    <row r="64" spans="1:120" x14ac:dyDescent="0.2">
      <c r="A64" s="90" t="e">
        <f>name!#REF!</f>
        <v>#REF!</v>
      </c>
      <c r="B64" s="39">
        <f t="shared" si="44"/>
        <v>2.8169915417421754</v>
      </c>
      <c r="C64" s="93">
        <v>158.75130574877755</v>
      </c>
      <c r="D64" s="93">
        <v>31.053175488358242</v>
      </c>
      <c r="E64" s="93">
        <v>50.836604439456309</v>
      </c>
      <c r="F64" s="93">
        <v>81.889779927814544</v>
      </c>
      <c r="H64" s="39">
        <f t="shared" si="45"/>
        <v>2.7131406842493488</v>
      </c>
      <c r="I64" s="93">
        <v>37.269430586923946</v>
      </c>
      <c r="J64" s="93">
        <v>2.0080357660646397</v>
      </c>
      <c r="K64" s="93">
        <v>11.439976930786587</v>
      </c>
      <c r="L64" s="93">
        <v>13.448012696851226</v>
      </c>
      <c r="N64" s="39">
        <f t="shared" si="46"/>
        <v>2.6835187325179533</v>
      </c>
      <c r="O64" s="93">
        <v>64.168727676686729</v>
      </c>
      <c r="P64" s="93">
        <v>9.648746828409589</v>
      </c>
      <c r="Q64" s="93">
        <v>19.45525621806194</v>
      </c>
      <c r="R64" s="93">
        <v>29.104003046471529</v>
      </c>
      <c r="S64" s="93"/>
      <c r="T64" s="39">
        <f t="shared" si="47"/>
        <v>3.0307741956072665</v>
      </c>
      <c r="U64" s="93">
        <v>57.313147485166859</v>
      </c>
      <c r="V64" s="93">
        <v>19.396392893884016</v>
      </c>
      <c r="W64" s="93">
        <v>19.941371290607766</v>
      </c>
      <c r="X64" s="93">
        <v>39.337764184491782</v>
      </c>
      <c r="Y64" s="90" t="e">
        <f t="shared" si="64"/>
        <v>#REF!</v>
      </c>
      <c r="Z64" s="39">
        <f t="shared" si="48"/>
        <v>3.0844034831169376</v>
      </c>
      <c r="AA64" s="93">
        <v>54.043501876163091</v>
      </c>
      <c r="AB64" s="93">
        <v>16.838248878570081</v>
      </c>
      <c r="AC64" s="93">
        <v>19.18381203425853</v>
      </c>
      <c r="AD64" s="93">
        <v>36.022060912828607</v>
      </c>
      <c r="AF64" s="39">
        <f t="shared" si="49"/>
        <v>3.0687126992563263</v>
      </c>
      <c r="AG64" s="93">
        <v>2.872339077635929</v>
      </c>
      <c r="AH64" s="93">
        <v>0.88105911598627318</v>
      </c>
      <c r="AI64" s="93">
        <v>1.0136737094918047</v>
      </c>
      <c r="AJ64" s="93">
        <v>1.8947328254780778</v>
      </c>
      <c r="AL64" s="39">
        <f t="shared" si="50"/>
        <v>2.9854531104971826</v>
      </c>
      <c r="AM64" s="93">
        <v>8.4616752757594771</v>
      </c>
      <c r="AN64" s="93">
        <v>0.5129240985808613</v>
      </c>
      <c r="AO64" s="93">
        <v>2.8940583365838495</v>
      </c>
      <c r="AP64" s="93">
        <v>3.4069824351647107</v>
      </c>
      <c r="AQ64" s="93"/>
      <c r="AR64" s="39">
        <f t="shared" si="51"/>
        <v>3.1049593059016889</v>
      </c>
      <c r="AS64" s="93">
        <v>42.709487522767688</v>
      </c>
      <c r="AT64" s="93">
        <v>15.444265664002945</v>
      </c>
      <c r="AU64" s="93">
        <v>15.276079988182877</v>
      </c>
      <c r="AV64" s="93">
        <v>30.72034565218582</v>
      </c>
      <c r="AW64" s="90" t="e">
        <f t="shared" si="65"/>
        <v>#REF!</v>
      </c>
      <c r="AX64" s="39">
        <f t="shared" si="52"/>
        <v>2.6049805214462873</v>
      </c>
      <c r="AY64" s="93">
        <v>67.279720597550053</v>
      </c>
      <c r="AZ64" s="93">
        <v>-1.7061260839949342</v>
      </c>
      <c r="BA64" s="93">
        <v>19.73016584504331</v>
      </c>
      <c r="BB64" s="93">
        <v>18.024039761048375</v>
      </c>
      <c r="BD64" s="39">
        <f t="shared" si="53"/>
        <v>2.5409532368865007</v>
      </c>
      <c r="BE64" s="93">
        <v>14.926976334729311</v>
      </c>
      <c r="BF64" s="93">
        <v>-1.3830273865244627</v>
      </c>
      <c r="BG64" s="93">
        <v>4.2572967639145958</v>
      </c>
      <c r="BH64" s="93">
        <v>2.8742693773901333</v>
      </c>
      <c r="BJ64" s="39">
        <f t="shared" si="54"/>
        <v>2.5796718808031471</v>
      </c>
      <c r="BK64" s="93">
        <v>40.385319730226364</v>
      </c>
      <c r="BL64" s="93">
        <v>-0.75084702548436888</v>
      </c>
      <c r="BM64" s="93">
        <v>11.714543255967428</v>
      </c>
      <c r="BN64" s="93">
        <v>10.963696230483059</v>
      </c>
      <c r="BO64" s="93"/>
      <c r="BP64" s="39">
        <f t="shared" si="55"/>
        <v>2.7687485385664345</v>
      </c>
      <c r="BQ64" s="93">
        <v>11.967424532594377</v>
      </c>
      <c r="BR64" s="93">
        <v>0.42774832801389723</v>
      </c>
      <c r="BS64" s="93">
        <v>3.7583258251612852</v>
      </c>
      <c r="BT64" s="93">
        <v>4.1860741531751824</v>
      </c>
      <c r="BU64" s="90" t="e">
        <f t="shared" si="66"/>
        <v>#REF!</v>
      </c>
      <c r="BV64" s="39">
        <f t="shared" si="56"/>
        <v>2.518201489640326</v>
      </c>
      <c r="BW64" s="93">
        <v>11.027664527945932</v>
      </c>
      <c r="BX64" s="93">
        <v>1.3879359269084375</v>
      </c>
      <c r="BY64" s="93">
        <v>3.1137656010156576</v>
      </c>
      <c r="BZ64" s="93">
        <v>4.5017015279240953</v>
      </c>
      <c r="CB64" s="39">
        <f t="shared" si="57"/>
        <v>2.4600010102901804</v>
      </c>
      <c r="CC64" s="93">
        <v>4.6043551889988352</v>
      </c>
      <c r="CD64" s="93">
        <v>-9.4762721156135488E-2</v>
      </c>
      <c r="CE64" s="93">
        <v>1.2666488182504458</v>
      </c>
      <c r="CF64" s="93">
        <v>1.1718860970943104</v>
      </c>
      <c r="CH64" s="39">
        <f t="shared" si="58"/>
        <v>2.5135092689739569</v>
      </c>
      <c r="CI64" s="93">
        <v>5.3897928205850842</v>
      </c>
      <c r="CJ64" s="93">
        <v>0.93986804735963958</v>
      </c>
      <c r="CK64" s="93">
        <v>1.5186963016257615</v>
      </c>
      <c r="CL64" s="93">
        <v>2.458564348985401</v>
      </c>
      <c r="CM64" s="93"/>
      <c r="CN64" s="39">
        <f t="shared" si="59"/>
        <v>2.7978329732376128</v>
      </c>
      <c r="CO64" s="93">
        <v>1.0335165183620134</v>
      </c>
      <c r="CP64" s="93">
        <v>0.5428306007049335</v>
      </c>
      <c r="CQ64" s="93">
        <v>0.32842048113944977</v>
      </c>
      <c r="CR64" s="93">
        <v>0.87125108184438327</v>
      </c>
      <c r="CS64" s="90" t="e">
        <f t="shared" si="67"/>
        <v>#REF!</v>
      </c>
      <c r="CT64" s="39">
        <f t="shared" si="60"/>
        <v>2.9211505487475975</v>
      </c>
      <c r="CU64" s="93">
        <v>26.400418747118454</v>
      </c>
      <c r="CV64" s="93">
        <v>14.533116766874658</v>
      </c>
      <c r="CW64" s="93">
        <v>8.8088609591388032</v>
      </c>
      <c r="CX64" s="93">
        <v>23.341977726013461</v>
      </c>
      <c r="CZ64" s="39">
        <f t="shared" si="61"/>
        <v>2.8911023071172881</v>
      </c>
      <c r="DA64" s="93">
        <v>14.865759985559873</v>
      </c>
      <c r="DB64" s="93">
        <v>2.6047667577589646</v>
      </c>
      <c r="DC64" s="93">
        <v>4.9023576391297414</v>
      </c>
      <c r="DD64" s="93">
        <v>7.507124396888706</v>
      </c>
      <c r="DF64" s="39">
        <f t="shared" si="62"/>
        <v>2.9320472834624356</v>
      </c>
      <c r="DG64" s="93">
        <v>9.9319398501158016</v>
      </c>
      <c r="DH64" s="93">
        <v>8.9468017079534565</v>
      </c>
      <c r="DI64" s="93">
        <v>3.3279583238849022</v>
      </c>
      <c r="DJ64" s="93">
        <v>12.274760031838358</v>
      </c>
      <c r="DK64" s="93"/>
      <c r="DL64" s="39">
        <f t="shared" si="63"/>
        <v>3.1300160142738953</v>
      </c>
      <c r="DM64" s="93">
        <v>1.6027189114427818</v>
      </c>
      <c r="DN64" s="93">
        <v>2.981548301162237</v>
      </c>
      <c r="DO64" s="93">
        <v>0.57854499612415899</v>
      </c>
      <c r="DP64" s="93">
        <v>3.5600932972863961</v>
      </c>
    </row>
    <row r="65" spans="1:120" x14ac:dyDescent="0.2">
      <c r="A65" s="90" t="e">
        <f>name!#REF!</f>
        <v>#REF!</v>
      </c>
      <c r="B65" s="39">
        <f t="shared" si="44"/>
        <v>0</v>
      </c>
      <c r="C65" s="93">
        <v>0</v>
      </c>
      <c r="D65" s="93">
        <v>0</v>
      </c>
      <c r="E65" s="93">
        <v>0</v>
      </c>
      <c r="F65" s="93">
        <v>0</v>
      </c>
      <c r="H65" s="39">
        <f t="shared" si="45"/>
        <v>0</v>
      </c>
      <c r="I65" s="93">
        <v>0</v>
      </c>
      <c r="J65" s="93">
        <v>0</v>
      </c>
      <c r="K65" s="93">
        <v>0</v>
      </c>
      <c r="L65" s="93">
        <v>0</v>
      </c>
      <c r="N65" s="39">
        <f t="shared" si="46"/>
        <v>0</v>
      </c>
      <c r="O65" s="93">
        <v>0</v>
      </c>
      <c r="P65" s="93">
        <v>0</v>
      </c>
      <c r="Q65" s="93">
        <v>0</v>
      </c>
      <c r="R65" s="93">
        <v>0</v>
      </c>
      <c r="S65" s="93"/>
      <c r="T65" s="39">
        <f t="shared" si="47"/>
        <v>0</v>
      </c>
      <c r="U65" s="93">
        <v>0</v>
      </c>
      <c r="V65" s="93">
        <v>0</v>
      </c>
      <c r="W65" s="93">
        <v>0</v>
      </c>
      <c r="X65" s="93">
        <v>0</v>
      </c>
      <c r="Y65" s="90" t="e">
        <f t="shared" si="64"/>
        <v>#REF!</v>
      </c>
      <c r="Z65" s="39">
        <f t="shared" si="48"/>
        <v>0</v>
      </c>
      <c r="AA65" s="93">
        <v>0</v>
      </c>
      <c r="AB65" s="93">
        <v>0</v>
      </c>
      <c r="AC65" s="93">
        <v>0</v>
      </c>
      <c r="AD65" s="93">
        <v>0</v>
      </c>
      <c r="AF65" s="39">
        <f t="shared" si="49"/>
        <v>0</v>
      </c>
      <c r="AG65" s="93">
        <v>0</v>
      </c>
      <c r="AH65" s="93">
        <v>0</v>
      </c>
      <c r="AI65" s="93">
        <v>0</v>
      </c>
      <c r="AJ65" s="93">
        <v>0</v>
      </c>
      <c r="AL65" s="39">
        <f t="shared" si="50"/>
        <v>0</v>
      </c>
      <c r="AM65" s="93">
        <v>0</v>
      </c>
      <c r="AN65" s="93">
        <v>0</v>
      </c>
      <c r="AO65" s="93">
        <v>0</v>
      </c>
      <c r="AP65" s="93">
        <v>0</v>
      </c>
      <c r="AQ65" s="93"/>
      <c r="AR65" s="39">
        <f t="shared" si="51"/>
        <v>0</v>
      </c>
      <c r="AS65" s="93">
        <v>0</v>
      </c>
      <c r="AT65" s="93">
        <v>0</v>
      </c>
      <c r="AU65" s="93">
        <v>0</v>
      </c>
      <c r="AV65" s="93">
        <v>0</v>
      </c>
      <c r="AW65" s="90" t="e">
        <f t="shared" si="65"/>
        <v>#REF!</v>
      </c>
      <c r="AX65" s="39">
        <f t="shared" si="52"/>
        <v>0</v>
      </c>
      <c r="AY65" s="93">
        <v>0</v>
      </c>
      <c r="AZ65" s="93">
        <v>0</v>
      </c>
      <c r="BA65" s="93">
        <v>0</v>
      </c>
      <c r="BB65" s="93">
        <v>0</v>
      </c>
      <c r="BD65" s="39">
        <f t="shared" si="53"/>
        <v>0</v>
      </c>
      <c r="BE65" s="93">
        <v>0</v>
      </c>
      <c r="BF65" s="93">
        <v>0</v>
      </c>
      <c r="BG65" s="93">
        <v>0</v>
      </c>
      <c r="BH65" s="93">
        <v>0</v>
      </c>
      <c r="BJ65" s="39">
        <f t="shared" si="54"/>
        <v>0</v>
      </c>
      <c r="BK65" s="93">
        <v>0</v>
      </c>
      <c r="BL65" s="93">
        <v>0</v>
      </c>
      <c r="BM65" s="93">
        <v>0</v>
      </c>
      <c r="BN65" s="93">
        <v>0</v>
      </c>
      <c r="BO65" s="93"/>
      <c r="BP65" s="39">
        <f t="shared" si="55"/>
        <v>0</v>
      </c>
      <c r="BQ65" s="93">
        <v>0</v>
      </c>
      <c r="BR65" s="93">
        <v>0</v>
      </c>
      <c r="BS65" s="93">
        <v>0</v>
      </c>
      <c r="BT65" s="93">
        <v>0</v>
      </c>
      <c r="BU65" s="90" t="e">
        <f t="shared" si="66"/>
        <v>#REF!</v>
      </c>
      <c r="BV65" s="39">
        <f t="shared" si="56"/>
        <v>0</v>
      </c>
      <c r="BW65" s="93">
        <v>0</v>
      </c>
      <c r="BX65" s="93">
        <v>0</v>
      </c>
      <c r="BY65" s="93">
        <v>0</v>
      </c>
      <c r="BZ65" s="93">
        <v>0</v>
      </c>
      <c r="CB65" s="39">
        <f t="shared" si="57"/>
        <v>0</v>
      </c>
      <c r="CC65" s="93">
        <v>0</v>
      </c>
      <c r="CD65" s="93">
        <v>0</v>
      </c>
      <c r="CE65" s="93">
        <v>0</v>
      </c>
      <c r="CF65" s="93">
        <v>0</v>
      </c>
      <c r="CH65" s="39">
        <f t="shared" si="58"/>
        <v>0</v>
      </c>
      <c r="CI65" s="93">
        <v>0</v>
      </c>
      <c r="CJ65" s="93">
        <v>0</v>
      </c>
      <c r="CK65" s="93">
        <v>0</v>
      </c>
      <c r="CL65" s="93">
        <v>0</v>
      </c>
      <c r="CM65" s="93"/>
      <c r="CN65" s="39">
        <f t="shared" si="59"/>
        <v>0</v>
      </c>
      <c r="CO65" s="93">
        <v>0</v>
      </c>
      <c r="CP65" s="93">
        <v>0</v>
      </c>
      <c r="CQ65" s="93">
        <v>0</v>
      </c>
      <c r="CR65" s="93">
        <v>0</v>
      </c>
      <c r="CS65" s="90" t="e">
        <f t="shared" si="67"/>
        <v>#REF!</v>
      </c>
      <c r="CT65" s="39">
        <f t="shared" si="60"/>
        <v>0</v>
      </c>
      <c r="CU65" s="93">
        <v>0</v>
      </c>
      <c r="CV65" s="93">
        <v>0</v>
      </c>
      <c r="CW65" s="93">
        <v>0</v>
      </c>
      <c r="CX65" s="93">
        <v>0</v>
      </c>
      <c r="CZ65" s="39">
        <f t="shared" si="61"/>
        <v>0</v>
      </c>
      <c r="DA65" s="93">
        <v>0</v>
      </c>
      <c r="DB65" s="93">
        <v>0</v>
      </c>
      <c r="DC65" s="93">
        <v>0</v>
      </c>
      <c r="DD65" s="93">
        <v>0</v>
      </c>
      <c r="DF65" s="39">
        <f t="shared" si="62"/>
        <v>0</v>
      </c>
      <c r="DG65" s="93">
        <v>0</v>
      </c>
      <c r="DH65" s="93">
        <v>0</v>
      </c>
      <c r="DI65" s="93">
        <v>0</v>
      </c>
      <c r="DJ65" s="93">
        <v>0</v>
      </c>
      <c r="DK65" s="93"/>
      <c r="DL65" s="39">
        <f t="shared" si="63"/>
        <v>0</v>
      </c>
      <c r="DM65" s="93">
        <v>0</v>
      </c>
      <c r="DN65" s="93">
        <v>0</v>
      </c>
      <c r="DO65" s="93">
        <v>0</v>
      </c>
      <c r="DP65" s="93">
        <v>0</v>
      </c>
    </row>
    <row r="66" spans="1:120" x14ac:dyDescent="0.2">
      <c r="A66" s="90" t="e">
        <f>name!#REF!</f>
        <v>#REF!</v>
      </c>
      <c r="B66" s="39" t="e">
        <f t="shared" si="44"/>
        <v>#N/A</v>
      </c>
      <c r="C66" s="93" t="e">
        <v>#N/A</v>
      </c>
      <c r="D66" s="93" t="e">
        <v>#N/A</v>
      </c>
      <c r="E66" s="93" t="e">
        <v>#N/A</v>
      </c>
      <c r="F66" s="93" t="e">
        <v>#N/A</v>
      </c>
      <c r="H66" s="39" t="e">
        <f t="shared" si="45"/>
        <v>#N/A</v>
      </c>
      <c r="I66" s="93" t="e">
        <v>#N/A</v>
      </c>
      <c r="J66" s="93" t="e">
        <v>#N/A</v>
      </c>
      <c r="K66" s="93" t="e">
        <v>#N/A</v>
      </c>
      <c r="L66" s="93" t="e">
        <v>#N/A</v>
      </c>
      <c r="N66" s="39" t="e">
        <f t="shared" si="46"/>
        <v>#N/A</v>
      </c>
      <c r="O66" s="93" t="e">
        <v>#N/A</v>
      </c>
      <c r="P66" s="93" t="e">
        <v>#N/A</v>
      </c>
      <c r="Q66" s="93" t="e">
        <v>#N/A</v>
      </c>
      <c r="R66" s="93" t="e">
        <v>#N/A</v>
      </c>
      <c r="S66" s="93"/>
      <c r="T66" s="39" t="e">
        <f t="shared" si="47"/>
        <v>#N/A</v>
      </c>
      <c r="U66" s="93" t="e">
        <v>#N/A</v>
      </c>
      <c r="V66" s="93" t="e">
        <v>#N/A</v>
      </c>
      <c r="W66" s="93" t="e">
        <v>#N/A</v>
      </c>
      <c r="X66" s="93" t="e">
        <v>#N/A</v>
      </c>
      <c r="Y66" s="90" t="e">
        <f t="shared" si="64"/>
        <v>#REF!</v>
      </c>
      <c r="Z66" s="39" t="e">
        <f t="shared" si="48"/>
        <v>#N/A</v>
      </c>
      <c r="AA66" s="93" t="e">
        <v>#N/A</v>
      </c>
      <c r="AB66" s="93" t="e">
        <v>#N/A</v>
      </c>
      <c r="AC66" s="93" t="e">
        <v>#N/A</v>
      </c>
      <c r="AD66" s="93" t="e">
        <v>#N/A</v>
      </c>
      <c r="AF66" s="39" t="e">
        <f t="shared" si="49"/>
        <v>#N/A</v>
      </c>
      <c r="AG66" s="93" t="e">
        <v>#N/A</v>
      </c>
      <c r="AH66" s="93" t="e">
        <v>#N/A</v>
      </c>
      <c r="AI66" s="93" t="e">
        <v>#N/A</v>
      </c>
      <c r="AJ66" s="93" t="e">
        <v>#N/A</v>
      </c>
      <c r="AL66" s="39" t="e">
        <f t="shared" si="50"/>
        <v>#N/A</v>
      </c>
      <c r="AM66" s="93" t="e">
        <v>#N/A</v>
      </c>
      <c r="AN66" s="93" t="e">
        <v>#N/A</v>
      </c>
      <c r="AO66" s="93" t="e">
        <v>#N/A</v>
      </c>
      <c r="AP66" s="93" t="e">
        <v>#N/A</v>
      </c>
      <c r="AQ66" s="93"/>
      <c r="AR66" s="39" t="e">
        <f t="shared" si="51"/>
        <v>#N/A</v>
      </c>
      <c r="AS66" s="93" t="e">
        <v>#N/A</v>
      </c>
      <c r="AT66" s="93" t="e">
        <v>#N/A</v>
      </c>
      <c r="AU66" s="93" t="e">
        <v>#N/A</v>
      </c>
      <c r="AV66" s="93" t="e">
        <v>#N/A</v>
      </c>
      <c r="AW66" s="90" t="e">
        <f t="shared" si="65"/>
        <v>#REF!</v>
      </c>
      <c r="AX66" s="39" t="e">
        <f t="shared" si="52"/>
        <v>#N/A</v>
      </c>
      <c r="AY66" s="93" t="e">
        <v>#N/A</v>
      </c>
      <c r="AZ66" s="93" t="e">
        <v>#N/A</v>
      </c>
      <c r="BA66" s="93" t="e">
        <v>#N/A</v>
      </c>
      <c r="BB66" s="93" t="e">
        <v>#N/A</v>
      </c>
      <c r="BD66" s="39" t="e">
        <f t="shared" si="53"/>
        <v>#N/A</v>
      </c>
      <c r="BE66" s="93" t="e">
        <v>#N/A</v>
      </c>
      <c r="BF66" s="93" t="e">
        <v>#N/A</v>
      </c>
      <c r="BG66" s="93" t="e">
        <v>#N/A</v>
      </c>
      <c r="BH66" s="93" t="e">
        <v>#N/A</v>
      </c>
      <c r="BJ66" s="39" t="e">
        <f t="shared" si="54"/>
        <v>#N/A</v>
      </c>
      <c r="BK66" s="93" t="e">
        <v>#N/A</v>
      </c>
      <c r="BL66" s="93" t="e">
        <v>#N/A</v>
      </c>
      <c r="BM66" s="93" t="e">
        <v>#N/A</v>
      </c>
      <c r="BN66" s="93" t="e">
        <v>#N/A</v>
      </c>
      <c r="BO66" s="93"/>
      <c r="BP66" s="39" t="e">
        <f t="shared" si="55"/>
        <v>#N/A</v>
      </c>
      <c r="BQ66" s="93" t="e">
        <v>#N/A</v>
      </c>
      <c r="BR66" s="93" t="e">
        <v>#N/A</v>
      </c>
      <c r="BS66" s="93" t="e">
        <v>#N/A</v>
      </c>
      <c r="BT66" s="93" t="e">
        <v>#N/A</v>
      </c>
      <c r="BU66" s="90" t="e">
        <f t="shared" si="66"/>
        <v>#REF!</v>
      </c>
      <c r="BV66" s="39" t="e">
        <f t="shared" si="56"/>
        <v>#N/A</v>
      </c>
      <c r="BW66" s="93" t="e">
        <v>#N/A</v>
      </c>
      <c r="BX66" s="93" t="e">
        <v>#N/A</v>
      </c>
      <c r="BY66" s="93" t="e">
        <v>#N/A</v>
      </c>
      <c r="BZ66" s="93" t="e">
        <v>#N/A</v>
      </c>
      <c r="CB66" s="39" t="e">
        <f t="shared" si="57"/>
        <v>#N/A</v>
      </c>
      <c r="CC66" s="93" t="e">
        <v>#N/A</v>
      </c>
      <c r="CD66" s="93" t="e">
        <v>#N/A</v>
      </c>
      <c r="CE66" s="93" t="e">
        <v>#N/A</v>
      </c>
      <c r="CF66" s="93" t="e">
        <v>#N/A</v>
      </c>
      <c r="CH66" s="39" t="e">
        <f t="shared" si="58"/>
        <v>#N/A</v>
      </c>
      <c r="CI66" s="93" t="e">
        <v>#N/A</v>
      </c>
      <c r="CJ66" s="93" t="e">
        <v>#N/A</v>
      </c>
      <c r="CK66" s="93" t="e">
        <v>#N/A</v>
      </c>
      <c r="CL66" s="93" t="e">
        <v>#N/A</v>
      </c>
      <c r="CM66" s="93"/>
      <c r="CN66" s="39" t="e">
        <f t="shared" si="59"/>
        <v>#N/A</v>
      </c>
      <c r="CO66" s="93" t="e">
        <v>#N/A</v>
      </c>
      <c r="CP66" s="93" t="e">
        <v>#N/A</v>
      </c>
      <c r="CQ66" s="93" t="e">
        <v>#N/A</v>
      </c>
      <c r="CR66" s="93" t="e">
        <v>#N/A</v>
      </c>
      <c r="CS66" s="90" t="e">
        <f t="shared" si="67"/>
        <v>#REF!</v>
      </c>
      <c r="CT66" s="39" t="e">
        <f t="shared" si="60"/>
        <v>#N/A</v>
      </c>
      <c r="CU66" s="93" t="e">
        <v>#N/A</v>
      </c>
      <c r="CV66" s="93" t="e">
        <v>#N/A</v>
      </c>
      <c r="CW66" s="93" t="e">
        <v>#N/A</v>
      </c>
      <c r="CX66" s="93" t="e">
        <v>#N/A</v>
      </c>
      <c r="CZ66" s="39" t="e">
        <f t="shared" si="61"/>
        <v>#N/A</v>
      </c>
      <c r="DA66" s="93" t="e">
        <v>#N/A</v>
      </c>
      <c r="DB66" s="93" t="e">
        <v>#N/A</v>
      </c>
      <c r="DC66" s="93" t="e">
        <v>#N/A</v>
      </c>
      <c r="DD66" s="93" t="e">
        <v>#N/A</v>
      </c>
      <c r="DF66" s="39" t="e">
        <f t="shared" si="62"/>
        <v>#N/A</v>
      </c>
      <c r="DG66" s="93" t="e">
        <v>#N/A</v>
      </c>
      <c r="DH66" s="93" t="e">
        <v>#N/A</v>
      </c>
      <c r="DI66" s="93" t="e">
        <v>#N/A</v>
      </c>
      <c r="DJ66" s="93" t="e">
        <v>#N/A</v>
      </c>
      <c r="DK66" s="93"/>
      <c r="DL66" s="39" t="e">
        <f t="shared" si="63"/>
        <v>#N/A</v>
      </c>
      <c r="DM66" s="93" t="e">
        <v>#N/A</v>
      </c>
      <c r="DN66" s="93" t="e">
        <v>#N/A</v>
      </c>
      <c r="DO66" s="93" t="e">
        <v>#N/A</v>
      </c>
      <c r="DP66" s="93" t="e">
        <v>#N/A</v>
      </c>
    </row>
    <row r="67" spans="1:120" x14ac:dyDescent="0.2">
      <c r="A67" s="90" t="e">
        <f>name!#REF!</f>
        <v>#REF!</v>
      </c>
      <c r="B67" s="39" t="e">
        <f t="shared" si="44"/>
        <v>#N/A</v>
      </c>
      <c r="C67" s="93" t="e">
        <v>#N/A</v>
      </c>
      <c r="D67" s="93" t="e">
        <v>#N/A</v>
      </c>
      <c r="E67" s="93" t="e">
        <v>#N/A</v>
      </c>
      <c r="F67" s="93" t="e">
        <v>#N/A</v>
      </c>
      <c r="H67" s="39" t="e">
        <f t="shared" si="45"/>
        <v>#N/A</v>
      </c>
      <c r="I67" s="93" t="e">
        <v>#N/A</v>
      </c>
      <c r="J67" s="93" t="e">
        <v>#N/A</v>
      </c>
      <c r="K67" s="93" t="e">
        <v>#N/A</v>
      </c>
      <c r="L67" s="93" t="e">
        <v>#N/A</v>
      </c>
      <c r="N67" s="39" t="e">
        <f t="shared" si="46"/>
        <v>#N/A</v>
      </c>
      <c r="O67" s="93" t="e">
        <v>#N/A</v>
      </c>
      <c r="P67" s="93" t="e">
        <v>#N/A</v>
      </c>
      <c r="Q67" s="93" t="e">
        <v>#N/A</v>
      </c>
      <c r="R67" s="93" t="e">
        <v>#N/A</v>
      </c>
      <c r="S67" s="93"/>
      <c r="T67" s="39" t="e">
        <f t="shared" si="47"/>
        <v>#N/A</v>
      </c>
      <c r="U67" s="93" t="e">
        <v>#N/A</v>
      </c>
      <c r="V67" s="93" t="e">
        <v>#N/A</v>
      </c>
      <c r="W67" s="93" t="e">
        <v>#N/A</v>
      </c>
      <c r="X67" s="93" t="e">
        <v>#N/A</v>
      </c>
      <c r="Y67" s="90" t="e">
        <f t="shared" si="64"/>
        <v>#REF!</v>
      </c>
      <c r="Z67" s="39" t="e">
        <f t="shared" si="48"/>
        <v>#N/A</v>
      </c>
      <c r="AA67" s="93" t="e">
        <v>#N/A</v>
      </c>
      <c r="AB67" s="93" t="e">
        <v>#N/A</v>
      </c>
      <c r="AC67" s="93" t="e">
        <v>#N/A</v>
      </c>
      <c r="AD67" s="93" t="e">
        <v>#N/A</v>
      </c>
      <c r="AF67" s="39" t="e">
        <f t="shared" si="49"/>
        <v>#N/A</v>
      </c>
      <c r="AG67" s="93" t="e">
        <v>#N/A</v>
      </c>
      <c r="AH67" s="93" t="e">
        <v>#N/A</v>
      </c>
      <c r="AI67" s="93" t="e">
        <v>#N/A</v>
      </c>
      <c r="AJ67" s="93" t="e">
        <v>#N/A</v>
      </c>
      <c r="AL67" s="39" t="e">
        <f t="shared" si="50"/>
        <v>#N/A</v>
      </c>
      <c r="AM67" s="93" t="e">
        <v>#N/A</v>
      </c>
      <c r="AN67" s="93" t="e">
        <v>#N/A</v>
      </c>
      <c r="AO67" s="93" t="e">
        <v>#N/A</v>
      </c>
      <c r="AP67" s="93" t="e">
        <v>#N/A</v>
      </c>
      <c r="AQ67" s="93"/>
      <c r="AR67" s="39" t="e">
        <f t="shared" si="51"/>
        <v>#N/A</v>
      </c>
      <c r="AS67" s="93" t="e">
        <v>#N/A</v>
      </c>
      <c r="AT67" s="93" t="e">
        <v>#N/A</v>
      </c>
      <c r="AU67" s="93" t="e">
        <v>#N/A</v>
      </c>
      <c r="AV67" s="93" t="e">
        <v>#N/A</v>
      </c>
      <c r="AW67" s="90" t="e">
        <f t="shared" si="65"/>
        <v>#REF!</v>
      </c>
      <c r="AX67" s="39" t="e">
        <f t="shared" si="52"/>
        <v>#N/A</v>
      </c>
      <c r="AY67" s="93" t="e">
        <v>#N/A</v>
      </c>
      <c r="AZ67" s="93" t="e">
        <v>#N/A</v>
      </c>
      <c r="BA67" s="93" t="e">
        <v>#N/A</v>
      </c>
      <c r="BB67" s="93" t="e">
        <v>#N/A</v>
      </c>
      <c r="BD67" s="39" t="e">
        <f t="shared" si="53"/>
        <v>#N/A</v>
      </c>
      <c r="BE67" s="93" t="e">
        <v>#N/A</v>
      </c>
      <c r="BF67" s="93" t="e">
        <v>#N/A</v>
      </c>
      <c r="BG67" s="93" t="e">
        <v>#N/A</v>
      </c>
      <c r="BH67" s="93" t="e">
        <v>#N/A</v>
      </c>
      <c r="BJ67" s="39" t="e">
        <f t="shared" si="54"/>
        <v>#N/A</v>
      </c>
      <c r="BK67" s="93" t="e">
        <v>#N/A</v>
      </c>
      <c r="BL67" s="93" t="e">
        <v>#N/A</v>
      </c>
      <c r="BM67" s="93" t="e">
        <v>#N/A</v>
      </c>
      <c r="BN67" s="93" t="e">
        <v>#N/A</v>
      </c>
      <c r="BO67" s="93"/>
      <c r="BP67" s="39" t="e">
        <f t="shared" si="55"/>
        <v>#N/A</v>
      </c>
      <c r="BQ67" s="93" t="e">
        <v>#N/A</v>
      </c>
      <c r="BR67" s="93" t="e">
        <v>#N/A</v>
      </c>
      <c r="BS67" s="93" t="e">
        <v>#N/A</v>
      </c>
      <c r="BT67" s="93" t="e">
        <v>#N/A</v>
      </c>
      <c r="BU67" s="90" t="e">
        <f t="shared" si="66"/>
        <v>#REF!</v>
      </c>
      <c r="BV67" s="39" t="e">
        <f t="shared" si="56"/>
        <v>#N/A</v>
      </c>
      <c r="BW67" s="93" t="e">
        <v>#N/A</v>
      </c>
      <c r="BX67" s="93" t="e">
        <v>#N/A</v>
      </c>
      <c r="BY67" s="93" t="e">
        <v>#N/A</v>
      </c>
      <c r="BZ67" s="93" t="e">
        <v>#N/A</v>
      </c>
      <c r="CB67" s="39" t="e">
        <f t="shared" si="57"/>
        <v>#N/A</v>
      </c>
      <c r="CC67" s="93" t="e">
        <v>#N/A</v>
      </c>
      <c r="CD67" s="93" t="e">
        <v>#N/A</v>
      </c>
      <c r="CE67" s="93" t="e">
        <v>#N/A</v>
      </c>
      <c r="CF67" s="93" t="e">
        <v>#N/A</v>
      </c>
      <c r="CH67" s="39" t="e">
        <f t="shared" si="58"/>
        <v>#N/A</v>
      </c>
      <c r="CI67" s="93" t="e">
        <v>#N/A</v>
      </c>
      <c r="CJ67" s="93" t="e">
        <v>#N/A</v>
      </c>
      <c r="CK67" s="93" t="e">
        <v>#N/A</v>
      </c>
      <c r="CL67" s="93" t="e">
        <v>#N/A</v>
      </c>
      <c r="CM67" s="93"/>
      <c r="CN67" s="39" t="e">
        <f t="shared" si="59"/>
        <v>#N/A</v>
      </c>
      <c r="CO67" s="93" t="e">
        <v>#N/A</v>
      </c>
      <c r="CP67" s="93" t="e">
        <v>#N/A</v>
      </c>
      <c r="CQ67" s="93" t="e">
        <v>#N/A</v>
      </c>
      <c r="CR67" s="93" t="e">
        <v>#N/A</v>
      </c>
      <c r="CS67" s="90" t="e">
        <f t="shared" si="67"/>
        <v>#REF!</v>
      </c>
      <c r="CT67" s="39" t="e">
        <f t="shared" si="60"/>
        <v>#N/A</v>
      </c>
      <c r="CU67" s="93" t="e">
        <v>#N/A</v>
      </c>
      <c r="CV67" s="93" t="e">
        <v>#N/A</v>
      </c>
      <c r="CW67" s="93" t="e">
        <v>#N/A</v>
      </c>
      <c r="CX67" s="93" t="e">
        <v>#N/A</v>
      </c>
      <c r="CZ67" s="39" t="e">
        <f t="shared" si="61"/>
        <v>#N/A</v>
      </c>
      <c r="DA67" s="93" t="e">
        <v>#N/A</v>
      </c>
      <c r="DB67" s="93" t="e">
        <v>#N/A</v>
      </c>
      <c r="DC67" s="93" t="e">
        <v>#N/A</v>
      </c>
      <c r="DD67" s="93" t="e">
        <v>#N/A</v>
      </c>
      <c r="DF67" s="39" t="e">
        <f t="shared" si="62"/>
        <v>#N/A</v>
      </c>
      <c r="DG67" s="93" t="e">
        <v>#N/A</v>
      </c>
      <c r="DH67" s="93" t="e">
        <v>#N/A</v>
      </c>
      <c r="DI67" s="93" t="e">
        <v>#N/A</v>
      </c>
      <c r="DJ67" s="93" t="e">
        <v>#N/A</v>
      </c>
      <c r="DK67" s="93"/>
      <c r="DL67" s="39" t="e">
        <f t="shared" si="63"/>
        <v>#N/A</v>
      </c>
      <c r="DM67" s="93" t="e">
        <v>#N/A</v>
      </c>
      <c r="DN67" s="93" t="e">
        <v>#N/A</v>
      </c>
      <c r="DO67" s="93" t="e">
        <v>#N/A</v>
      </c>
      <c r="DP67" s="93" t="e">
        <v>#N/A</v>
      </c>
    </row>
    <row r="68" spans="1:120" x14ac:dyDescent="0.2">
      <c r="A68" s="90" t="e">
        <f>name!#REF!</f>
        <v>#REF!</v>
      </c>
      <c r="B68" s="39" t="e">
        <f t="shared" si="44"/>
        <v>#N/A</v>
      </c>
      <c r="C68" s="93" t="e">
        <v>#N/A</v>
      </c>
      <c r="D68" s="93" t="e">
        <v>#N/A</v>
      </c>
      <c r="E68" s="93" t="e">
        <v>#N/A</v>
      </c>
      <c r="F68" s="93" t="e">
        <v>#N/A</v>
      </c>
      <c r="H68" s="39" t="e">
        <f t="shared" si="45"/>
        <v>#N/A</v>
      </c>
      <c r="I68" s="93" t="e">
        <v>#N/A</v>
      </c>
      <c r="J68" s="93" t="e">
        <v>#N/A</v>
      </c>
      <c r="K68" s="93" t="e">
        <v>#N/A</v>
      </c>
      <c r="L68" s="93" t="e">
        <v>#N/A</v>
      </c>
      <c r="N68" s="39" t="e">
        <f t="shared" si="46"/>
        <v>#N/A</v>
      </c>
      <c r="O68" s="93" t="e">
        <v>#N/A</v>
      </c>
      <c r="P68" s="93" t="e">
        <v>#N/A</v>
      </c>
      <c r="Q68" s="93" t="e">
        <v>#N/A</v>
      </c>
      <c r="R68" s="93" t="e">
        <v>#N/A</v>
      </c>
      <c r="S68" s="93"/>
      <c r="T68" s="39" t="e">
        <f t="shared" si="47"/>
        <v>#N/A</v>
      </c>
      <c r="U68" s="93" t="e">
        <v>#N/A</v>
      </c>
      <c r="V68" s="93" t="e">
        <v>#N/A</v>
      </c>
      <c r="W68" s="93" t="e">
        <v>#N/A</v>
      </c>
      <c r="X68" s="93" t="e">
        <v>#N/A</v>
      </c>
      <c r="Y68" s="90" t="e">
        <f t="shared" si="64"/>
        <v>#REF!</v>
      </c>
      <c r="Z68" s="39" t="e">
        <f t="shared" si="48"/>
        <v>#N/A</v>
      </c>
      <c r="AA68" s="93" t="e">
        <v>#N/A</v>
      </c>
      <c r="AB68" s="93" t="e">
        <v>#N/A</v>
      </c>
      <c r="AC68" s="93" t="e">
        <v>#N/A</v>
      </c>
      <c r="AD68" s="93" t="e">
        <v>#N/A</v>
      </c>
      <c r="AF68" s="39" t="e">
        <f t="shared" si="49"/>
        <v>#N/A</v>
      </c>
      <c r="AG68" s="93" t="e">
        <v>#N/A</v>
      </c>
      <c r="AH68" s="93" t="e">
        <v>#N/A</v>
      </c>
      <c r="AI68" s="93" t="e">
        <v>#N/A</v>
      </c>
      <c r="AJ68" s="93" t="e">
        <v>#N/A</v>
      </c>
      <c r="AL68" s="39" t="e">
        <f t="shared" si="50"/>
        <v>#N/A</v>
      </c>
      <c r="AM68" s="93" t="e">
        <v>#N/A</v>
      </c>
      <c r="AN68" s="93" t="e">
        <v>#N/A</v>
      </c>
      <c r="AO68" s="93" t="e">
        <v>#N/A</v>
      </c>
      <c r="AP68" s="93" t="e">
        <v>#N/A</v>
      </c>
      <c r="AQ68" s="93"/>
      <c r="AR68" s="39" t="e">
        <f t="shared" si="51"/>
        <v>#N/A</v>
      </c>
      <c r="AS68" s="93" t="e">
        <v>#N/A</v>
      </c>
      <c r="AT68" s="93" t="e">
        <v>#N/A</v>
      </c>
      <c r="AU68" s="93" t="e">
        <v>#N/A</v>
      </c>
      <c r="AV68" s="93" t="e">
        <v>#N/A</v>
      </c>
      <c r="AW68" s="90" t="e">
        <f t="shared" si="65"/>
        <v>#REF!</v>
      </c>
      <c r="AX68" s="39" t="e">
        <f t="shared" si="52"/>
        <v>#N/A</v>
      </c>
      <c r="AY68" s="93" t="e">
        <v>#N/A</v>
      </c>
      <c r="AZ68" s="93" t="e">
        <v>#N/A</v>
      </c>
      <c r="BA68" s="93" t="e">
        <v>#N/A</v>
      </c>
      <c r="BB68" s="93" t="e">
        <v>#N/A</v>
      </c>
      <c r="BD68" s="39" t="e">
        <f t="shared" si="53"/>
        <v>#N/A</v>
      </c>
      <c r="BE68" s="93" t="e">
        <v>#N/A</v>
      </c>
      <c r="BF68" s="93" t="e">
        <v>#N/A</v>
      </c>
      <c r="BG68" s="93" t="e">
        <v>#N/A</v>
      </c>
      <c r="BH68" s="93" t="e">
        <v>#N/A</v>
      </c>
      <c r="BJ68" s="39" t="e">
        <f t="shared" si="54"/>
        <v>#N/A</v>
      </c>
      <c r="BK68" s="93" t="e">
        <v>#N/A</v>
      </c>
      <c r="BL68" s="93" t="e">
        <v>#N/A</v>
      </c>
      <c r="BM68" s="93" t="e">
        <v>#N/A</v>
      </c>
      <c r="BN68" s="93" t="e">
        <v>#N/A</v>
      </c>
      <c r="BO68" s="93"/>
      <c r="BP68" s="39" t="e">
        <f t="shared" si="55"/>
        <v>#N/A</v>
      </c>
      <c r="BQ68" s="93" t="e">
        <v>#N/A</v>
      </c>
      <c r="BR68" s="93" t="e">
        <v>#N/A</v>
      </c>
      <c r="BS68" s="93" t="e">
        <v>#N/A</v>
      </c>
      <c r="BT68" s="93" t="e">
        <v>#N/A</v>
      </c>
      <c r="BU68" s="90" t="e">
        <f t="shared" si="66"/>
        <v>#REF!</v>
      </c>
      <c r="BV68" s="39" t="e">
        <f t="shared" si="56"/>
        <v>#N/A</v>
      </c>
      <c r="BW68" s="93" t="e">
        <v>#N/A</v>
      </c>
      <c r="BX68" s="93" t="e">
        <v>#N/A</v>
      </c>
      <c r="BY68" s="93" t="e">
        <v>#N/A</v>
      </c>
      <c r="BZ68" s="93" t="e">
        <v>#N/A</v>
      </c>
      <c r="CB68" s="39" t="e">
        <f t="shared" si="57"/>
        <v>#N/A</v>
      </c>
      <c r="CC68" s="93" t="e">
        <v>#N/A</v>
      </c>
      <c r="CD68" s="93" t="e">
        <v>#N/A</v>
      </c>
      <c r="CE68" s="93" t="e">
        <v>#N/A</v>
      </c>
      <c r="CF68" s="93" t="e">
        <v>#N/A</v>
      </c>
      <c r="CH68" s="39" t="e">
        <f t="shared" si="58"/>
        <v>#N/A</v>
      </c>
      <c r="CI68" s="93" t="e">
        <v>#N/A</v>
      </c>
      <c r="CJ68" s="93" t="e">
        <v>#N/A</v>
      </c>
      <c r="CK68" s="93" t="e">
        <v>#N/A</v>
      </c>
      <c r="CL68" s="93" t="e">
        <v>#N/A</v>
      </c>
      <c r="CM68" s="93"/>
      <c r="CN68" s="39" t="e">
        <f t="shared" si="59"/>
        <v>#N/A</v>
      </c>
      <c r="CO68" s="93" t="e">
        <v>#N/A</v>
      </c>
      <c r="CP68" s="93" t="e">
        <v>#N/A</v>
      </c>
      <c r="CQ68" s="93" t="e">
        <v>#N/A</v>
      </c>
      <c r="CR68" s="93" t="e">
        <v>#N/A</v>
      </c>
      <c r="CS68" s="90" t="e">
        <f t="shared" si="67"/>
        <v>#REF!</v>
      </c>
      <c r="CT68" s="39" t="e">
        <f t="shared" si="60"/>
        <v>#N/A</v>
      </c>
      <c r="CU68" s="93" t="e">
        <v>#N/A</v>
      </c>
      <c r="CV68" s="93" t="e">
        <v>#N/A</v>
      </c>
      <c r="CW68" s="93" t="e">
        <v>#N/A</v>
      </c>
      <c r="CX68" s="93" t="e">
        <v>#N/A</v>
      </c>
      <c r="CZ68" s="39" t="e">
        <f t="shared" si="61"/>
        <v>#N/A</v>
      </c>
      <c r="DA68" s="93" t="e">
        <v>#N/A</v>
      </c>
      <c r="DB68" s="93" t="e">
        <v>#N/A</v>
      </c>
      <c r="DC68" s="93" t="e">
        <v>#N/A</v>
      </c>
      <c r="DD68" s="93" t="e">
        <v>#N/A</v>
      </c>
      <c r="DF68" s="39" t="e">
        <f t="shared" si="62"/>
        <v>#N/A</v>
      </c>
      <c r="DG68" s="93" t="e">
        <v>#N/A</v>
      </c>
      <c r="DH68" s="93" t="e">
        <v>#N/A</v>
      </c>
      <c r="DI68" s="93" t="e">
        <v>#N/A</v>
      </c>
      <c r="DJ68" s="93" t="e">
        <v>#N/A</v>
      </c>
      <c r="DK68" s="93"/>
      <c r="DL68" s="39" t="e">
        <f t="shared" si="63"/>
        <v>#N/A</v>
      </c>
      <c r="DM68" s="93" t="e">
        <v>#N/A</v>
      </c>
      <c r="DN68" s="93" t="e">
        <v>#N/A</v>
      </c>
      <c r="DO68" s="93" t="e">
        <v>#N/A</v>
      </c>
      <c r="DP68" s="93" t="e">
        <v>#N/A</v>
      </c>
    </row>
    <row r="69" spans="1:120" x14ac:dyDescent="0.2">
      <c r="A69" s="90" t="e">
        <f>name!#REF!</f>
        <v>#REF!</v>
      </c>
      <c r="B69" s="39" t="e">
        <f t="shared" si="44"/>
        <v>#N/A</v>
      </c>
      <c r="C69" s="93" t="e">
        <v>#N/A</v>
      </c>
      <c r="D69" s="93" t="e">
        <v>#N/A</v>
      </c>
      <c r="E69" s="93" t="e">
        <v>#N/A</v>
      </c>
      <c r="F69" s="93" t="e">
        <v>#N/A</v>
      </c>
      <c r="H69" s="39" t="e">
        <f t="shared" si="45"/>
        <v>#N/A</v>
      </c>
      <c r="I69" s="93" t="e">
        <v>#N/A</v>
      </c>
      <c r="J69" s="93" t="e">
        <v>#N/A</v>
      </c>
      <c r="K69" s="93" t="e">
        <v>#N/A</v>
      </c>
      <c r="L69" s="93" t="e">
        <v>#N/A</v>
      </c>
      <c r="N69" s="39" t="e">
        <f t="shared" si="46"/>
        <v>#N/A</v>
      </c>
      <c r="O69" s="93" t="e">
        <v>#N/A</v>
      </c>
      <c r="P69" s="93" t="e">
        <v>#N/A</v>
      </c>
      <c r="Q69" s="93" t="e">
        <v>#N/A</v>
      </c>
      <c r="R69" s="93" t="e">
        <v>#N/A</v>
      </c>
      <c r="S69" s="93"/>
      <c r="T69" s="39" t="e">
        <f t="shared" si="47"/>
        <v>#N/A</v>
      </c>
      <c r="U69" s="93" t="e">
        <v>#N/A</v>
      </c>
      <c r="V69" s="93" t="e">
        <v>#N/A</v>
      </c>
      <c r="W69" s="93" t="e">
        <v>#N/A</v>
      </c>
      <c r="X69" s="93" t="e">
        <v>#N/A</v>
      </c>
      <c r="Y69" s="90" t="e">
        <f t="shared" si="64"/>
        <v>#REF!</v>
      </c>
      <c r="Z69" s="39" t="e">
        <f t="shared" si="48"/>
        <v>#N/A</v>
      </c>
      <c r="AA69" s="93" t="e">
        <v>#N/A</v>
      </c>
      <c r="AB69" s="93" t="e">
        <v>#N/A</v>
      </c>
      <c r="AC69" s="93" t="e">
        <v>#N/A</v>
      </c>
      <c r="AD69" s="93" t="e">
        <v>#N/A</v>
      </c>
      <c r="AF69" s="39" t="e">
        <f t="shared" si="49"/>
        <v>#N/A</v>
      </c>
      <c r="AG69" s="93" t="e">
        <v>#N/A</v>
      </c>
      <c r="AH69" s="93" t="e">
        <v>#N/A</v>
      </c>
      <c r="AI69" s="93" t="e">
        <v>#N/A</v>
      </c>
      <c r="AJ69" s="93" t="e">
        <v>#N/A</v>
      </c>
      <c r="AL69" s="39" t="e">
        <f t="shared" si="50"/>
        <v>#N/A</v>
      </c>
      <c r="AM69" s="93" t="e">
        <v>#N/A</v>
      </c>
      <c r="AN69" s="93" t="e">
        <v>#N/A</v>
      </c>
      <c r="AO69" s="93" t="e">
        <v>#N/A</v>
      </c>
      <c r="AP69" s="93" t="e">
        <v>#N/A</v>
      </c>
      <c r="AQ69" s="93"/>
      <c r="AR69" s="39" t="e">
        <f t="shared" si="51"/>
        <v>#N/A</v>
      </c>
      <c r="AS69" s="93" t="e">
        <v>#N/A</v>
      </c>
      <c r="AT69" s="93" t="e">
        <v>#N/A</v>
      </c>
      <c r="AU69" s="93" t="e">
        <v>#N/A</v>
      </c>
      <c r="AV69" s="93" t="e">
        <v>#N/A</v>
      </c>
      <c r="AW69" s="90" t="e">
        <f t="shared" si="65"/>
        <v>#REF!</v>
      </c>
      <c r="AX69" s="39" t="e">
        <f t="shared" si="52"/>
        <v>#N/A</v>
      </c>
      <c r="AY69" s="93" t="e">
        <v>#N/A</v>
      </c>
      <c r="AZ69" s="93" t="e">
        <v>#N/A</v>
      </c>
      <c r="BA69" s="93" t="e">
        <v>#N/A</v>
      </c>
      <c r="BB69" s="93" t="e">
        <v>#N/A</v>
      </c>
      <c r="BD69" s="39" t="e">
        <f t="shared" si="53"/>
        <v>#N/A</v>
      </c>
      <c r="BE69" s="93" t="e">
        <v>#N/A</v>
      </c>
      <c r="BF69" s="93" t="e">
        <v>#N/A</v>
      </c>
      <c r="BG69" s="93" t="e">
        <v>#N/A</v>
      </c>
      <c r="BH69" s="93" t="e">
        <v>#N/A</v>
      </c>
      <c r="BJ69" s="39" t="e">
        <f t="shared" si="54"/>
        <v>#N/A</v>
      </c>
      <c r="BK69" s="93" t="e">
        <v>#N/A</v>
      </c>
      <c r="BL69" s="93" t="e">
        <v>#N/A</v>
      </c>
      <c r="BM69" s="93" t="e">
        <v>#N/A</v>
      </c>
      <c r="BN69" s="93" t="e">
        <v>#N/A</v>
      </c>
      <c r="BO69" s="93"/>
      <c r="BP69" s="39" t="e">
        <f t="shared" si="55"/>
        <v>#N/A</v>
      </c>
      <c r="BQ69" s="93" t="e">
        <v>#N/A</v>
      </c>
      <c r="BR69" s="93" t="e">
        <v>#N/A</v>
      </c>
      <c r="BS69" s="93" t="e">
        <v>#N/A</v>
      </c>
      <c r="BT69" s="93" t="e">
        <v>#N/A</v>
      </c>
      <c r="BU69" s="90" t="e">
        <f t="shared" si="66"/>
        <v>#REF!</v>
      </c>
      <c r="BV69" s="39" t="e">
        <f t="shared" si="56"/>
        <v>#N/A</v>
      </c>
      <c r="BW69" s="93" t="e">
        <v>#N/A</v>
      </c>
      <c r="BX69" s="93" t="e">
        <v>#N/A</v>
      </c>
      <c r="BY69" s="93" t="e">
        <v>#N/A</v>
      </c>
      <c r="BZ69" s="93" t="e">
        <v>#N/A</v>
      </c>
      <c r="CB69" s="39" t="e">
        <f t="shared" si="57"/>
        <v>#N/A</v>
      </c>
      <c r="CC69" s="93" t="e">
        <v>#N/A</v>
      </c>
      <c r="CD69" s="93" t="e">
        <v>#N/A</v>
      </c>
      <c r="CE69" s="93" t="e">
        <v>#N/A</v>
      </c>
      <c r="CF69" s="93" t="e">
        <v>#N/A</v>
      </c>
      <c r="CH69" s="39" t="e">
        <f t="shared" si="58"/>
        <v>#N/A</v>
      </c>
      <c r="CI69" s="93" t="e">
        <v>#N/A</v>
      </c>
      <c r="CJ69" s="93" t="e">
        <v>#N/A</v>
      </c>
      <c r="CK69" s="93" t="e">
        <v>#N/A</v>
      </c>
      <c r="CL69" s="93" t="e">
        <v>#N/A</v>
      </c>
      <c r="CM69" s="93"/>
      <c r="CN69" s="39" t="e">
        <f t="shared" si="59"/>
        <v>#N/A</v>
      </c>
      <c r="CO69" s="93" t="e">
        <v>#N/A</v>
      </c>
      <c r="CP69" s="93" t="e">
        <v>#N/A</v>
      </c>
      <c r="CQ69" s="93" t="e">
        <v>#N/A</v>
      </c>
      <c r="CR69" s="93" t="e">
        <v>#N/A</v>
      </c>
      <c r="CS69" s="90" t="e">
        <f t="shared" si="67"/>
        <v>#REF!</v>
      </c>
      <c r="CT69" s="39" t="e">
        <f t="shared" si="60"/>
        <v>#N/A</v>
      </c>
      <c r="CU69" s="93" t="e">
        <v>#N/A</v>
      </c>
      <c r="CV69" s="93" t="e">
        <v>#N/A</v>
      </c>
      <c r="CW69" s="93" t="e">
        <v>#N/A</v>
      </c>
      <c r="CX69" s="93" t="e">
        <v>#N/A</v>
      </c>
      <c r="CZ69" s="39" t="e">
        <f t="shared" si="61"/>
        <v>#N/A</v>
      </c>
      <c r="DA69" s="93" t="e">
        <v>#N/A</v>
      </c>
      <c r="DB69" s="93" t="e">
        <v>#N/A</v>
      </c>
      <c r="DC69" s="93" t="e">
        <v>#N/A</v>
      </c>
      <c r="DD69" s="93" t="e">
        <v>#N/A</v>
      </c>
      <c r="DF69" s="39" t="e">
        <f t="shared" si="62"/>
        <v>#N/A</v>
      </c>
      <c r="DG69" s="93" t="e">
        <v>#N/A</v>
      </c>
      <c r="DH69" s="93" t="e">
        <v>#N/A</v>
      </c>
      <c r="DI69" s="93" t="e">
        <v>#N/A</v>
      </c>
      <c r="DJ69" s="93" t="e">
        <v>#N/A</v>
      </c>
      <c r="DK69" s="93"/>
      <c r="DL69" s="39" t="e">
        <f t="shared" si="63"/>
        <v>#N/A</v>
      </c>
      <c r="DM69" s="93" t="e">
        <v>#N/A</v>
      </c>
      <c r="DN69" s="93" t="e">
        <v>#N/A</v>
      </c>
      <c r="DO69" s="93" t="e">
        <v>#N/A</v>
      </c>
      <c r="DP69" s="93" t="e">
        <v>#N/A</v>
      </c>
    </row>
    <row r="70" spans="1:120" x14ac:dyDescent="0.2">
      <c r="A70" s="90" t="e">
        <f>name!#REF!</f>
        <v>#REF!</v>
      </c>
      <c r="B70" s="39" t="e">
        <f t="shared" si="44"/>
        <v>#N/A</v>
      </c>
      <c r="C70" s="93" t="e">
        <v>#N/A</v>
      </c>
      <c r="D70" s="93" t="e">
        <v>#N/A</v>
      </c>
      <c r="E70" s="93" t="e">
        <v>#N/A</v>
      </c>
      <c r="F70" s="93" t="e">
        <v>#N/A</v>
      </c>
      <c r="H70" s="39" t="e">
        <f t="shared" si="45"/>
        <v>#N/A</v>
      </c>
      <c r="I70" s="93" t="e">
        <v>#N/A</v>
      </c>
      <c r="J70" s="93" t="e">
        <v>#N/A</v>
      </c>
      <c r="K70" s="93" t="e">
        <v>#N/A</v>
      </c>
      <c r="L70" s="93" t="e">
        <v>#N/A</v>
      </c>
      <c r="N70" s="39" t="e">
        <f t="shared" si="46"/>
        <v>#N/A</v>
      </c>
      <c r="O70" s="93" t="e">
        <v>#N/A</v>
      </c>
      <c r="P70" s="93" t="e">
        <v>#N/A</v>
      </c>
      <c r="Q70" s="93" t="e">
        <v>#N/A</v>
      </c>
      <c r="R70" s="93" t="e">
        <v>#N/A</v>
      </c>
      <c r="S70" s="93"/>
      <c r="T70" s="39" t="e">
        <f t="shared" si="47"/>
        <v>#N/A</v>
      </c>
      <c r="U70" s="93" t="e">
        <v>#N/A</v>
      </c>
      <c r="V70" s="93" t="e">
        <v>#N/A</v>
      </c>
      <c r="W70" s="93" t="e">
        <v>#N/A</v>
      </c>
      <c r="X70" s="93" t="e">
        <v>#N/A</v>
      </c>
      <c r="Y70" s="90" t="e">
        <f t="shared" si="64"/>
        <v>#REF!</v>
      </c>
      <c r="Z70" s="39" t="e">
        <f t="shared" si="48"/>
        <v>#N/A</v>
      </c>
      <c r="AA70" s="93" t="e">
        <v>#N/A</v>
      </c>
      <c r="AB70" s="93" t="e">
        <v>#N/A</v>
      </c>
      <c r="AC70" s="93" t="e">
        <v>#N/A</v>
      </c>
      <c r="AD70" s="93" t="e">
        <v>#N/A</v>
      </c>
      <c r="AF70" s="39" t="e">
        <f t="shared" si="49"/>
        <v>#N/A</v>
      </c>
      <c r="AG70" s="93" t="e">
        <v>#N/A</v>
      </c>
      <c r="AH70" s="93" t="e">
        <v>#N/A</v>
      </c>
      <c r="AI70" s="93" t="e">
        <v>#N/A</v>
      </c>
      <c r="AJ70" s="93" t="e">
        <v>#N/A</v>
      </c>
      <c r="AL70" s="39" t="e">
        <f t="shared" si="50"/>
        <v>#N/A</v>
      </c>
      <c r="AM70" s="93" t="e">
        <v>#N/A</v>
      </c>
      <c r="AN70" s="93" t="e">
        <v>#N/A</v>
      </c>
      <c r="AO70" s="93" t="e">
        <v>#N/A</v>
      </c>
      <c r="AP70" s="93" t="e">
        <v>#N/A</v>
      </c>
      <c r="AQ70" s="93"/>
      <c r="AR70" s="39" t="e">
        <f t="shared" si="51"/>
        <v>#N/A</v>
      </c>
      <c r="AS70" s="93" t="e">
        <v>#N/A</v>
      </c>
      <c r="AT70" s="93" t="e">
        <v>#N/A</v>
      </c>
      <c r="AU70" s="93" t="e">
        <v>#N/A</v>
      </c>
      <c r="AV70" s="93" t="e">
        <v>#N/A</v>
      </c>
      <c r="AW70" s="90" t="e">
        <f t="shared" si="65"/>
        <v>#REF!</v>
      </c>
      <c r="AX70" s="39" t="e">
        <f t="shared" si="52"/>
        <v>#N/A</v>
      </c>
      <c r="AY70" s="93" t="e">
        <v>#N/A</v>
      </c>
      <c r="AZ70" s="93" t="e">
        <v>#N/A</v>
      </c>
      <c r="BA70" s="93" t="e">
        <v>#N/A</v>
      </c>
      <c r="BB70" s="93" t="e">
        <v>#N/A</v>
      </c>
      <c r="BD70" s="39" t="e">
        <f t="shared" si="53"/>
        <v>#N/A</v>
      </c>
      <c r="BE70" s="93" t="e">
        <v>#N/A</v>
      </c>
      <c r="BF70" s="93" t="e">
        <v>#N/A</v>
      </c>
      <c r="BG70" s="93" t="e">
        <v>#N/A</v>
      </c>
      <c r="BH70" s="93" t="e">
        <v>#N/A</v>
      </c>
      <c r="BJ70" s="39" t="e">
        <f t="shared" si="54"/>
        <v>#N/A</v>
      </c>
      <c r="BK70" s="93" t="e">
        <v>#N/A</v>
      </c>
      <c r="BL70" s="93" t="e">
        <v>#N/A</v>
      </c>
      <c r="BM70" s="93" t="e">
        <v>#N/A</v>
      </c>
      <c r="BN70" s="93" t="e">
        <v>#N/A</v>
      </c>
      <c r="BO70" s="93"/>
      <c r="BP70" s="39" t="e">
        <f t="shared" si="55"/>
        <v>#N/A</v>
      </c>
      <c r="BQ70" s="93" t="e">
        <v>#N/A</v>
      </c>
      <c r="BR70" s="93" t="e">
        <v>#N/A</v>
      </c>
      <c r="BS70" s="93" t="e">
        <v>#N/A</v>
      </c>
      <c r="BT70" s="93" t="e">
        <v>#N/A</v>
      </c>
      <c r="BU70" s="90" t="e">
        <f t="shared" si="66"/>
        <v>#REF!</v>
      </c>
      <c r="BV70" s="39" t="e">
        <f t="shared" si="56"/>
        <v>#N/A</v>
      </c>
      <c r="BW70" s="93" t="e">
        <v>#N/A</v>
      </c>
      <c r="BX70" s="93" t="e">
        <v>#N/A</v>
      </c>
      <c r="BY70" s="93" t="e">
        <v>#N/A</v>
      </c>
      <c r="BZ70" s="93" t="e">
        <v>#N/A</v>
      </c>
      <c r="CB70" s="39" t="e">
        <f t="shared" si="57"/>
        <v>#N/A</v>
      </c>
      <c r="CC70" s="93" t="e">
        <v>#N/A</v>
      </c>
      <c r="CD70" s="93" t="e">
        <v>#N/A</v>
      </c>
      <c r="CE70" s="93" t="e">
        <v>#N/A</v>
      </c>
      <c r="CF70" s="93" t="e">
        <v>#N/A</v>
      </c>
      <c r="CH70" s="39" t="e">
        <f t="shared" si="58"/>
        <v>#N/A</v>
      </c>
      <c r="CI70" s="93" t="e">
        <v>#N/A</v>
      </c>
      <c r="CJ70" s="93" t="e">
        <v>#N/A</v>
      </c>
      <c r="CK70" s="93" t="e">
        <v>#N/A</v>
      </c>
      <c r="CL70" s="93" t="e">
        <v>#N/A</v>
      </c>
      <c r="CM70" s="93"/>
      <c r="CN70" s="39" t="e">
        <f t="shared" si="59"/>
        <v>#N/A</v>
      </c>
      <c r="CO70" s="93" t="e">
        <v>#N/A</v>
      </c>
      <c r="CP70" s="93" t="e">
        <v>#N/A</v>
      </c>
      <c r="CQ70" s="93" t="e">
        <v>#N/A</v>
      </c>
      <c r="CR70" s="93" t="e">
        <v>#N/A</v>
      </c>
      <c r="CS70" s="90" t="e">
        <f t="shared" si="67"/>
        <v>#REF!</v>
      </c>
      <c r="CT70" s="39" t="e">
        <f t="shared" si="60"/>
        <v>#N/A</v>
      </c>
      <c r="CU70" s="93" t="e">
        <v>#N/A</v>
      </c>
      <c r="CV70" s="93" t="e">
        <v>#N/A</v>
      </c>
      <c r="CW70" s="93" t="e">
        <v>#N/A</v>
      </c>
      <c r="CX70" s="93" t="e">
        <v>#N/A</v>
      </c>
      <c r="CZ70" s="39" t="e">
        <f t="shared" si="61"/>
        <v>#N/A</v>
      </c>
      <c r="DA70" s="93" t="e">
        <v>#N/A</v>
      </c>
      <c r="DB70" s="93" t="e">
        <v>#N/A</v>
      </c>
      <c r="DC70" s="93" t="e">
        <v>#N/A</v>
      </c>
      <c r="DD70" s="93" t="e">
        <v>#N/A</v>
      </c>
      <c r="DF70" s="39" t="e">
        <f t="shared" si="62"/>
        <v>#N/A</v>
      </c>
      <c r="DG70" s="93" t="e">
        <v>#N/A</v>
      </c>
      <c r="DH70" s="93" t="e">
        <v>#N/A</v>
      </c>
      <c r="DI70" s="93" t="e">
        <v>#N/A</v>
      </c>
      <c r="DJ70" s="93" t="e">
        <v>#N/A</v>
      </c>
      <c r="DK70" s="93"/>
      <c r="DL70" s="39" t="e">
        <f t="shared" si="63"/>
        <v>#N/A</v>
      </c>
      <c r="DM70" s="93" t="e">
        <v>#N/A</v>
      </c>
      <c r="DN70" s="93" t="e">
        <v>#N/A</v>
      </c>
      <c r="DO70" s="93" t="e">
        <v>#N/A</v>
      </c>
      <c r="DP70" s="93" t="e">
        <v>#N/A</v>
      </c>
    </row>
    <row r="71" spans="1:120" x14ac:dyDescent="0.2">
      <c r="A71" s="90" t="e">
        <f>name!#REF!</f>
        <v>#REF!</v>
      </c>
      <c r="B71" s="39" t="e">
        <f t="shared" si="44"/>
        <v>#N/A</v>
      </c>
      <c r="C71" s="93" t="e">
        <v>#N/A</v>
      </c>
      <c r="D71" s="93" t="e">
        <v>#N/A</v>
      </c>
      <c r="E71" s="93" t="e">
        <v>#N/A</v>
      </c>
      <c r="F71" s="93" t="e">
        <v>#N/A</v>
      </c>
      <c r="H71" s="39" t="e">
        <f t="shared" si="45"/>
        <v>#N/A</v>
      </c>
      <c r="I71" s="93" t="e">
        <v>#N/A</v>
      </c>
      <c r="J71" s="93" t="e">
        <v>#N/A</v>
      </c>
      <c r="K71" s="93" t="e">
        <v>#N/A</v>
      </c>
      <c r="L71" s="93" t="e">
        <v>#N/A</v>
      </c>
      <c r="N71" s="39" t="e">
        <f t="shared" si="46"/>
        <v>#N/A</v>
      </c>
      <c r="O71" s="93" t="e">
        <v>#N/A</v>
      </c>
      <c r="P71" s="93" t="e">
        <v>#N/A</v>
      </c>
      <c r="Q71" s="93" t="e">
        <v>#N/A</v>
      </c>
      <c r="R71" s="93" t="e">
        <v>#N/A</v>
      </c>
      <c r="S71" s="93"/>
      <c r="T71" s="39" t="e">
        <f t="shared" si="47"/>
        <v>#N/A</v>
      </c>
      <c r="U71" s="93" t="e">
        <v>#N/A</v>
      </c>
      <c r="V71" s="93" t="e">
        <v>#N/A</v>
      </c>
      <c r="W71" s="93" t="e">
        <v>#N/A</v>
      </c>
      <c r="X71" s="93" t="e">
        <v>#N/A</v>
      </c>
      <c r="Y71" s="90" t="e">
        <f t="shared" si="64"/>
        <v>#REF!</v>
      </c>
      <c r="Z71" s="39" t="e">
        <f t="shared" si="48"/>
        <v>#N/A</v>
      </c>
      <c r="AA71" s="93" t="e">
        <v>#N/A</v>
      </c>
      <c r="AB71" s="93" t="e">
        <v>#N/A</v>
      </c>
      <c r="AC71" s="93" t="e">
        <v>#N/A</v>
      </c>
      <c r="AD71" s="93" t="e">
        <v>#N/A</v>
      </c>
      <c r="AF71" s="39" t="e">
        <f t="shared" si="49"/>
        <v>#N/A</v>
      </c>
      <c r="AG71" s="93" t="e">
        <v>#N/A</v>
      </c>
      <c r="AH71" s="93" t="e">
        <v>#N/A</v>
      </c>
      <c r="AI71" s="93" t="e">
        <v>#N/A</v>
      </c>
      <c r="AJ71" s="93" t="e">
        <v>#N/A</v>
      </c>
      <c r="AL71" s="39" t="e">
        <f t="shared" si="50"/>
        <v>#N/A</v>
      </c>
      <c r="AM71" s="93" t="e">
        <v>#N/A</v>
      </c>
      <c r="AN71" s="93" t="e">
        <v>#N/A</v>
      </c>
      <c r="AO71" s="93" t="e">
        <v>#N/A</v>
      </c>
      <c r="AP71" s="93" t="e">
        <v>#N/A</v>
      </c>
      <c r="AQ71" s="93"/>
      <c r="AR71" s="39" t="e">
        <f t="shared" si="51"/>
        <v>#N/A</v>
      </c>
      <c r="AS71" s="93" t="e">
        <v>#N/A</v>
      </c>
      <c r="AT71" s="93" t="e">
        <v>#N/A</v>
      </c>
      <c r="AU71" s="93" t="e">
        <v>#N/A</v>
      </c>
      <c r="AV71" s="93" t="e">
        <v>#N/A</v>
      </c>
      <c r="AW71" s="90" t="e">
        <f t="shared" si="65"/>
        <v>#REF!</v>
      </c>
      <c r="AX71" s="39" t="e">
        <f t="shared" si="52"/>
        <v>#N/A</v>
      </c>
      <c r="AY71" s="93" t="e">
        <v>#N/A</v>
      </c>
      <c r="AZ71" s="93" t="e">
        <v>#N/A</v>
      </c>
      <c r="BA71" s="93" t="e">
        <v>#N/A</v>
      </c>
      <c r="BB71" s="93" t="e">
        <v>#N/A</v>
      </c>
      <c r="BD71" s="39" t="e">
        <f t="shared" si="53"/>
        <v>#N/A</v>
      </c>
      <c r="BE71" s="93" t="e">
        <v>#N/A</v>
      </c>
      <c r="BF71" s="93" t="e">
        <v>#N/A</v>
      </c>
      <c r="BG71" s="93" t="e">
        <v>#N/A</v>
      </c>
      <c r="BH71" s="93" t="e">
        <v>#N/A</v>
      </c>
      <c r="BJ71" s="39" t="e">
        <f t="shared" si="54"/>
        <v>#N/A</v>
      </c>
      <c r="BK71" s="93" t="e">
        <v>#N/A</v>
      </c>
      <c r="BL71" s="93" t="e">
        <v>#N/A</v>
      </c>
      <c r="BM71" s="93" t="e">
        <v>#N/A</v>
      </c>
      <c r="BN71" s="93" t="e">
        <v>#N/A</v>
      </c>
      <c r="BO71" s="93"/>
      <c r="BP71" s="39" t="e">
        <f t="shared" si="55"/>
        <v>#N/A</v>
      </c>
      <c r="BQ71" s="93" t="e">
        <v>#N/A</v>
      </c>
      <c r="BR71" s="93" t="e">
        <v>#N/A</v>
      </c>
      <c r="BS71" s="93" t="e">
        <v>#N/A</v>
      </c>
      <c r="BT71" s="93" t="e">
        <v>#N/A</v>
      </c>
      <c r="BU71" s="90" t="e">
        <f t="shared" si="66"/>
        <v>#REF!</v>
      </c>
      <c r="BV71" s="39" t="e">
        <f t="shared" si="56"/>
        <v>#N/A</v>
      </c>
      <c r="BW71" s="93" t="e">
        <v>#N/A</v>
      </c>
      <c r="BX71" s="93" t="e">
        <v>#N/A</v>
      </c>
      <c r="BY71" s="93" t="e">
        <v>#N/A</v>
      </c>
      <c r="BZ71" s="93" t="e">
        <v>#N/A</v>
      </c>
      <c r="CB71" s="39" t="e">
        <f t="shared" si="57"/>
        <v>#N/A</v>
      </c>
      <c r="CC71" s="93" t="e">
        <v>#N/A</v>
      </c>
      <c r="CD71" s="93" t="e">
        <v>#N/A</v>
      </c>
      <c r="CE71" s="93" t="e">
        <v>#N/A</v>
      </c>
      <c r="CF71" s="93" t="e">
        <v>#N/A</v>
      </c>
      <c r="CH71" s="39" t="e">
        <f t="shared" si="58"/>
        <v>#N/A</v>
      </c>
      <c r="CI71" s="93" t="e">
        <v>#N/A</v>
      </c>
      <c r="CJ71" s="93" t="e">
        <v>#N/A</v>
      </c>
      <c r="CK71" s="93" t="e">
        <v>#N/A</v>
      </c>
      <c r="CL71" s="93" t="e">
        <v>#N/A</v>
      </c>
      <c r="CM71" s="93"/>
      <c r="CN71" s="39" t="e">
        <f t="shared" si="59"/>
        <v>#N/A</v>
      </c>
      <c r="CO71" s="93" t="e">
        <v>#N/A</v>
      </c>
      <c r="CP71" s="93" t="e">
        <v>#N/A</v>
      </c>
      <c r="CQ71" s="93" t="e">
        <v>#N/A</v>
      </c>
      <c r="CR71" s="93" t="e">
        <v>#N/A</v>
      </c>
      <c r="CS71" s="90" t="e">
        <f t="shared" si="67"/>
        <v>#REF!</v>
      </c>
      <c r="CT71" s="39" t="e">
        <f t="shared" si="60"/>
        <v>#N/A</v>
      </c>
      <c r="CU71" s="93" t="e">
        <v>#N/A</v>
      </c>
      <c r="CV71" s="93" t="e">
        <v>#N/A</v>
      </c>
      <c r="CW71" s="93" t="e">
        <v>#N/A</v>
      </c>
      <c r="CX71" s="93" t="e">
        <v>#N/A</v>
      </c>
      <c r="CZ71" s="39" t="e">
        <f t="shared" si="61"/>
        <v>#N/A</v>
      </c>
      <c r="DA71" s="93" t="e">
        <v>#N/A</v>
      </c>
      <c r="DB71" s="93" t="e">
        <v>#N/A</v>
      </c>
      <c r="DC71" s="93" t="e">
        <v>#N/A</v>
      </c>
      <c r="DD71" s="93" t="e">
        <v>#N/A</v>
      </c>
      <c r="DF71" s="39" t="e">
        <f t="shared" si="62"/>
        <v>#N/A</v>
      </c>
      <c r="DG71" s="93" t="e">
        <v>#N/A</v>
      </c>
      <c r="DH71" s="93" t="e">
        <v>#N/A</v>
      </c>
      <c r="DI71" s="93" t="e">
        <v>#N/A</v>
      </c>
      <c r="DJ71" s="93" t="e">
        <v>#N/A</v>
      </c>
      <c r="DK71" s="93"/>
      <c r="DL71" s="39" t="e">
        <f t="shared" si="63"/>
        <v>#N/A</v>
      </c>
      <c r="DM71" s="93" t="e">
        <v>#N/A</v>
      </c>
      <c r="DN71" s="93" t="e">
        <v>#N/A</v>
      </c>
      <c r="DO71" s="93" t="e">
        <v>#N/A</v>
      </c>
      <c r="DP71" s="93" t="e">
        <v>#N/A</v>
      </c>
    </row>
    <row r="72" spans="1:120" x14ac:dyDescent="0.2">
      <c r="A72" s="90" t="e">
        <f>name!#REF!</f>
        <v>#REF!</v>
      </c>
      <c r="B72" s="39" t="e">
        <f t="shared" si="44"/>
        <v>#N/A</v>
      </c>
      <c r="C72" s="93" t="e">
        <v>#N/A</v>
      </c>
      <c r="D72" s="93" t="e">
        <v>#N/A</v>
      </c>
      <c r="E72" s="93" t="e">
        <v>#N/A</v>
      </c>
      <c r="F72" s="93" t="e">
        <v>#N/A</v>
      </c>
      <c r="H72" s="39" t="e">
        <f t="shared" si="45"/>
        <v>#N/A</v>
      </c>
      <c r="I72" s="93" t="e">
        <v>#N/A</v>
      </c>
      <c r="J72" s="93" t="e">
        <v>#N/A</v>
      </c>
      <c r="K72" s="93" t="e">
        <v>#N/A</v>
      </c>
      <c r="L72" s="93" t="e">
        <v>#N/A</v>
      </c>
      <c r="N72" s="39" t="e">
        <f t="shared" si="46"/>
        <v>#N/A</v>
      </c>
      <c r="O72" s="93" t="e">
        <v>#N/A</v>
      </c>
      <c r="P72" s="93" t="e">
        <v>#N/A</v>
      </c>
      <c r="Q72" s="93" t="e">
        <v>#N/A</v>
      </c>
      <c r="R72" s="93" t="e">
        <v>#N/A</v>
      </c>
      <c r="S72" s="93"/>
      <c r="T72" s="39" t="e">
        <f t="shared" si="47"/>
        <v>#N/A</v>
      </c>
      <c r="U72" s="93" t="e">
        <v>#N/A</v>
      </c>
      <c r="V72" s="93" t="e">
        <v>#N/A</v>
      </c>
      <c r="W72" s="93" t="e">
        <v>#N/A</v>
      </c>
      <c r="X72" s="93" t="e">
        <v>#N/A</v>
      </c>
      <c r="Y72" s="90" t="e">
        <f t="shared" si="64"/>
        <v>#REF!</v>
      </c>
      <c r="Z72" s="39" t="e">
        <f t="shared" si="48"/>
        <v>#N/A</v>
      </c>
      <c r="AA72" s="93" t="e">
        <v>#N/A</v>
      </c>
      <c r="AB72" s="93" t="e">
        <v>#N/A</v>
      </c>
      <c r="AC72" s="93" t="e">
        <v>#N/A</v>
      </c>
      <c r="AD72" s="93" t="e">
        <v>#N/A</v>
      </c>
      <c r="AF72" s="39" t="e">
        <f t="shared" si="49"/>
        <v>#N/A</v>
      </c>
      <c r="AG72" s="93" t="e">
        <v>#N/A</v>
      </c>
      <c r="AH72" s="93" t="e">
        <v>#N/A</v>
      </c>
      <c r="AI72" s="93" t="e">
        <v>#N/A</v>
      </c>
      <c r="AJ72" s="93" t="e">
        <v>#N/A</v>
      </c>
      <c r="AL72" s="39" t="e">
        <f t="shared" si="50"/>
        <v>#N/A</v>
      </c>
      <c r="AM72" s="93" t="e">
        <v>#N/A</v>
      </c>
      <c r="AN72" s="93" t="e">
        <v>#N/A</v>
      </c>
      <c r="AO72" s="93" t="e">
        <v>#N/A</v>
      </c>
      <c r="AP72" s="93" t="e">
        <v>#N/A</v>
      </c>
      <c r="AQ72" s="93"/>
      <c r="AR72" s="39" t="e">
        <f t="shared" si="51"/>
        <v>#N/A</v>
      </c>
      <c r="AS72" s="93" t="e">
        <v>#N/A</v>
      </c>
      <c r="AT72" s="93" t="e">
        <v>#N/A</v>
      </c>
      <c r="AU72" s="93" t="e">
        <v>#N/A</v>
      </c>
      <c r="AV72" s="93" t="e">
        <v>#N/A</v>
      </c>
      <c r="AW72" s="90" t="e">
        <f t="shared" si="65"/>
        <v>#REF!</v>
      </c>
      <c r="AX72" s="39" t="e">
        <f t="shared" si="52"/>
        <v>#N/A</v>
      </c>
      <c r="AY72" s="93" t="e">
        <v>#N/A</v>
      </c>
      <c r="AZ72" s="93" t="e">
        <v>#N/A</v>
      </c>
      <c r="BA72" s="93" t="e">
        <v>#N/A</v>
      </c>
      <c r="BB72" s="93" t="e">
        <v>#N/A</v>
      </c>
      <c r="BD72" s="39" t="e">
        <f t="shared" si="53"/>
        <v>#N/A</v>
      </c>
      <c r="BE72" s="93" t="e">
        <v>#N/A</v>
      </c>
      <c r="BF72" s="93" t="e">
        <v>#N/A</v>
      </c>
      <c r="BG72" s="93" t="e">
        <v>#N/A</v>
      </c>
      <c r="BH72" s="93" t="e">
        <v>#N/A</v>
      </c>
      <c r="BJ72" s="39" t="e">
        <f t="shared" si="54"/>
        <v>#N/A</v>
      </c>
      <c r="BK72" s="93" t="e">
        <v>#N/A</v>
      </c>
      <c r="BL72" s="93" t="e">
        <v>#N/A</v>
      </c>
      <c r="BM72" s="93" t="e">
        <v>#N/A</v>
      </c>
      <c r="BN72" s="93" t="e">
        <v>#N/A</v>
      </c>
      <c r="BO72" s="93"/>
      <c r="BP72" s="39" t="e">
        <f t="shared" si="55"/>
        <v>#N/A</v>
      </c>
      <c r="BQ72" s="93" t="e">
        <v>#N/A</v>
      </c>
      <c r="BR72" s="93" t="e">
        <v>#N/A</v>
      </c>
      <c r="BS72" s="93" t="e">
        <v>#N/A</v>
      </c>
      <c r="BT72" s="93" t="e">
        <v>#N/A</v>
      </c>
      <c r="BU72" s="90" t="e">
        <f t="shared" si="66"/>
        <v>#REF!</v>
      </c>
      <c r="BV72" s="39" t="e">
        <f t="shared" si="56"/>
        <v>#N/A</v>
      </c>
      <c r="BW72" s="93" t="e">
        <v>#N/A</v>
      </c>
      <c r="BX72" s="93" t="e">
        <v>#N/A</v>
      </c>
      <c r="BY72" s="93" t="e">
        <v>#N/A</v>
      </c>
      <c r="BZ72" s="93" t="e">
        <v>#N/A</v>
      </c>
      <c r="CB72" s="39" t="e">
        <f t="shared" si="57"/>
        <v>#N/A</v>
      </c>
      <c r="CC72" s="93" t="e">
        <v>#N/A</v>
      </c>
      <c r="CD72" s="93" t="e">
        <v>#N/A</v>
      </c>
      <c r="CE72" s="93" t="e">
        <v>#N/A</v>
      </c>
      <c r="CF72" s="93" t="e">
        <v>#N/A</v>
      </c>
      <c r="CH72" s="39" t="e">
        <f t="shared" si="58"/>
        <v>#N/A</v>
      </c>
      <c r="CI72" s="93" t="e">
        <v>#N/A</v>
      </c>
      <c r="CJ72" s="93" t="e">
        <v>#N/A</v>
      </c>
      <c r="CK72" s="93" t="e">
        <v>#N/A</v>
      </c>
      <c r="CL72" s="93" t="e">
        <v>#N/A</v>
      </c>
      <c r="CM72" s="93"/>
      <c r="CN72" s="39" t="e">
        <f t="shared" si="59"/>
        <v>#N/A</v>
      </c>
      <c r="CO72" s="93" t="e">
        <v>#N/A</v>
      </c>
      <c r="CP72" s="93" t="e">
        <v>#N/A</v>
      </c>
      <c r="CQ72" s="93" t="e">
        <v>#N/A</v>
      </c>
      <c r="CR72" s="93" t="e">
        <v>#N/A</v>
      </c>
      <c r="CS72" s="90" t="e">
        <f t="shared" si="67"/>
        <v>#REF!</v>
      </c>
      <c r="CT72" s="39" t="e">
        <f t="shared" si="60"/>
        <v>#N/A</v>
      </c>
      <c r="CU72" s="93" t="e">
        <v>#N/A</v>
      </c>
      <c r="CV72" s="93" t="e">
        <v>#N/A</v>
      </c>
      <c r="CW72" s="93" t="e">
        <v>#N/A</v>
      </c>
      <c r="CX72" s="93" t="e">
        <v>#N/A</v>
      </c>
      <c r="CZ72" s="39" t="e">
        <f t="shared" si="61"/>
        <v>#N/A</v>
      </c>
      <c r="DA72" s="93" t="e">
        <v>#N/A</v>
      </c>
      <c r="DB72" s="93" t="e">
        <v>#N/A</v>
      </c>
      <c r="DC72" s="93" t="e">
        <v>#N/A</v>
      </c>
      <c r="DD72" s="93" t="e">
        <v>#N/A</v>
      </c>
      <c r="DF72" s="39" t="e">
        <f t="shared" si="62"/>
        <v>#N/A</v>
      </c>
      <c r="DG72" s="93" t="e">
        <v>#N/A</v>
      </c>
      <c r="DH72" s="93" t="e">
        <v>#N/A</v>
      </c>
      <c r="DI72" s="93" t="e">
        <v>#N/A</v>
      </c>
      <c r="DJ72" s="93" t="e">
        <v>#N/A</v>
      </c>
      <c r="DK72" s="93"/>
      <c r="DL72" s="39" t="e">
        <f t="shared" si="63"/>
        <v>#N/A</v>
      </c>
      <c r="DM72" s="93" t="e">
        <v>#N/A</v>
      </c>
      <c r="DN72" s="93" t="e">
        <v>#N/A</v>
      </c>
      <c r="DO72" s="93" t="e">
        <v>#N/A</v>
      </c>
      <c r="DP72" s="93" t="e">
        <v>#N/A</v>
      </c>
    </row>
    <row r="73" spans="1:120" x14ac:dyDescent="0.2">
      <c r="A73" s="90" t="e">
        <f>name!#REF!</f>
        <v>#REF!</v>
      </c>
      <c r="B73" s="39" t="e">
        <f t="shared" si="44"/>
        <v>#N/A</v>
      </c>
      <c r="C73" s="93" t="e">
        <v>#N/A</v>
      </c>
      <c r="D73" s="93" t="e">
        <v>#N/A</v>
      </c>
      <c r="E73" s="93" t="e">
        <v>#N/A</v>
      </c>
      <c r="F73" s="93" t="e">
        <v>#N/A</v>
      </c>
      <c r="H73" s="39" t="e">
        <f t="shared" si="45"/>
        <v>#N/A</v>
      </c>
      <c r="I73" s="93" t="e">
        <v>#N/A</v>
      </c>
      <c r="J73" s="93" t="e">
        <v>#N/A</v>
      </c>
      <c r="K73" s="93" t="e">
        <v>#N/A</v>
      </c>
      <c r="L73" s="93" t="e">
        <v>#N/A</v>
      </c>
      <c r="N73" s="39" t="e">
        <f t="shared" si="46"/>
        <v>#N/A</v>
      </c>
      <c r="O73" s="93" t="e">
        <v>#N/A</v>
      </c>
      <c r="P73" s="93" t="e">
        <v>#N/A</v>
      </c>
      <c r="Q73" s="93" t="e">
        <v>#N/A</v>
      </c>
      <c r="R73" s="93" t="e">
        <v>#N/A</v>
      </c>
      <c r="S73" s="93"/>
      <c r="T73" s="39" t="e">
        <f t="shared" si="47"/>
        <v>#N/A</v>
      </c>
      <c r="U73" s="93" t="e">
        <v>#N/A</v>
      </c>
      <c r="V73" s="93" t="e">
        <v>#N/A</v>
      </c>
      <c r="W73" s="93" t="e">
        <v>#N/A</v>
      </c>
      <c r="X73" s="93" t="e">
        <v>#N/A</v>
      </c>
      <c r="Y73" s="90" t="e">
        <f t="shared" si="64"/>
        <v>#REF!</v>
      </c>
      <c r="Z73" s="39" t="e">
        <f t="shared" si="48"/>
        <v>#N/A</v>
      </c>
      <c r="AA73" s="93" t="e">
        <v>#N/A</v>
      </c>
      <c r="AB73" s="93" t="e">
        <v>#N/A</v>
      </c>
      <c r="AC73" s="93" t="e">
        <v>#N/A</v>
      </c>
      <c r="AD73" s="93" t="e">
        <v>#N/A</v>
      </c>
      <c r="AF73" s="39" t="e">
        <f t="shared" si="49"/>
        <v>#N/A</v>
      </c>
      <c r="AG73" s="93" t="e">
        <v>#N/A</v>
      </c>
      <c r="AH73" s="93" t="e">
        <v>#N/A</v>
      </c>
      <c r="AI73" s="93" t="e">
        <v>#N/A</v>
      </c>
      <c r="AJ73" s="93" t="e">
        <v>#N/A</v>
      </c>
      <c r="AL73" s="39" t="e">
        <f t="shared" si="50"/>
        <v>#N/A</v>
      </c>
      <c r="AM73" s="93" t="e">
        <v>#N/A</v>
      </c>
      <c r="AN73" s="93" t="e">
        <v>#N/A</v>
      </c>
      <c r="AO73" s="93" t="e">
        <v>#N/A</v>
      </c>
      <c r="AP73" s="93" t="e">
        <v>#N/A</v>
      </c>
      <c r="AQ73" s="93"/>
      <c r="AR73" s="39" t="e">
        <f t="shared" si="51"/>
        <v>#N/A</v>
      </c>
      <c r="AS73" s="93" t="e">
        <v>#N/A</v>
      </c>
      <c r="AT73" s="93" t="e">
        <v>#N/A</v>
      </c>
      <c r="AU73" s="93" t="e">
        <v>#N/A</v>
      </c>
      <c r="AV73" s="93" t="e">
        <v>#N/A</v>
      </c>
      <c r="AW73" s="90" t="e">
        <f t="shared" si="65"/>
        <v>#REF!</v>
      </c>
      <c r="AX73" s="39" t="e">
        <f t="shared" si="52"/>
        <v>#N/A</v>
      </c>
      <c r="AY73" s="93" t="e">
        <v>#N/A</v>
      </c>
      <c r="AZ73" s="93" t="e">
        <v>#N/A</v>
      </c>
      <c r="BA73" s="93" t="e">
        <v>#N/A</v>
      </c>
      <c r="BB73" s="93" t="e">
        <v>#N/A</v>
      </c>
      <c r="BD73" s="39" t="e">
        <f t="shared" si="53"/>
        <v>#N/A</v>
      </c>
      <c r="BE73" s="93" t="e">
        <v>#N/A</v>
      </c>
      <c r="BF73" s="93" t="e">
        <v>#N/A</v>
      </c>
      <c r="BG73" s="93" t="e">
        <v>#N/A</v>
      </c>
      <c r="BH73" s="93" t="e">
        <v>#N/A</v>
      </c>
      <c r="BJ73" s="39" t="e">
        <f t="shared" si="54"/>
        <v>#N/A</v>
      </c>
      <c r="BK73" s="93" t="e">
        <v>#N/A</v>
      </c>
      <c r="BL73" s="93" t="e">
        <v>#N/A</v>
      </c>
      <c r="BM73" s="93" t="e">
        <v>#N/A</v>
      </c>
      <c r="BN73" s="93" t="e">
        <v>#N/A</v>
      </c>
      <c r="BO73" s="93"/>
      <c r="BP73" s="39" t="e">
        <f t="shared" si="55"/>
        <v>#N/A</v>
      </c>
      <c r="BQ73" s="93" t="e">
        <v>#N/A</v>
      </c>
      <c r="BR73" s="93" t="e">
        <v>#N/A</v>
      </c>
      <c r="BS73" s="93" t="e">
        <v>#N/A</v>
      </c>
      <c r="BT73" s="93" t="e">
        <v>#N/A</v>
      </c>
      <c r="BU73" s="90" t="e">
        <f t="shared" si="66"/>
        <v>#REF!</v>
      </c>
      <c r="BV73" s="39" t="e">
        <f t="shared" si="56"/>
        <v>#N/A</v>
      </c>
      <c r="BW73" s="93" t="e">
        <v>#N/A</v>
      </c>
      <c r="BX73" s="93" t="e">
        <v>#N/A</v>
      </c>
      <c r="BY73" s="93" t="e">
        <v>#N/A</v>
      </c>
      <c r="BZ73" s="93" t="e">
        <v>#N/A</v>
      </c>
      <c r="CB73" s="39" t="e">
        <f t="shared" si="57"/>
        <v>#N/A</v>
      </c>
      <c r="CC73" s="93" t="e">
        <v>#N/A</v>
      </c>
      <c r="CD73" s="93" t="e">
        <v>#N/A</v>
      </c>
      <c r="CE73" s="93" t="e">
        <v>#N/A</v>
      </c>
      <c r="CF73" s="93" t="e">
        <v>#N/A</v>
      </c>
      <c r="CH73" s="39" t="e">
        <f t="shared" si="58"/>
        <v>#N/A</v>
      </c>
      <c r="CI73" s="93" t="e">
        <v>#N/A</v>
      </c>
      <c r="CJ73" s="93" t="e">
        <v>#N/A</v>
      </c>
      <c r="CK73" s="93" t="e">
        <v>#N/A</v>
      </c>
      <c r="CL73" s="93" t="e">
        <v>#N/A</v>
      </c>
      <c r="CM73" s="93"/>
      <c r="CN73" s="39" t="e">
        <f t="shared" si="59"/>
        <v>#N/A</v>
      </c>
      <c r="CO73" s="93" t="e">
        <v>#N/A</v>
      </c>
      <c r="CP73" s="93" t="e">
        <v>#N/A</v>
      </c>
      <c r="CQ73" s="93" t="e">
        <v>#N/A</v>
      </c>
      <c r="CR73" s="93" t="e">
        <v>#N/A</v>
      </c>
      <c r="CS73" s="90" t="e">
        <f t="shared" si="67"/>
        <v>#REF!</v>
      </c>
      <c r="CT73" s="39" t="e">
        <f t="shared" si="60"/>
        <v>#N/A</v>
      </c>
      <c r="CU73" s="93" t="e">
        <v>#N/A</v>
      </c>
      <c r="CV73" s="93" t="e">
        <v>#N/A</v>
      </c>
      <c r="CW73" s="93" t="e">
        <v>#N/A</v>
      </c>
      <c r="CX73" s="93" t="e">
        <v>#N/A</v>
      </c>
      <c r="CZ73" s="39" t="e">
        <f t="shared" si="61"/>
        <v>#N/A</v>
      </c>
      <c r="DA73" s="93" t="e">
        <v>#N/A</v>
      </c>
      <c r="DB73" s="93" t="e">
        <v>#N/A</v>
      </c>
      <c r="DC73" s="93" t="e">
        <v>#N/A</v>
      </c>
      <c r="DD73" s="93" t="e">
        <v>#N/A</v>
      </c>
      <c r="DF73" s="39" t="e">
        <f t="shared" si="62"/>
        <v>#N/A</v>
      </c>
      <c r="DG73" s="93" t="e">
        <v>#N/A</v>
      </c>
      <c r="DH73" s="93" t="e">
        <v>#N/A</v>
      </c>
      <c r="DI73" s="93" t="e">
        <v>#N/A</v>
      </c>
      <c r="DJ73" s="93" t="e">
        <v>#N/A</v>
      </c>
      <c r="DK73" s="93"/>
      <c r="DL73" s="39" t="e">
        <f t="shared" si="63"/>
        <v>#N/A</v>
      </c>
      <c r="DM73" s="93" t="e">
        <v>#N/A</v>
      </c>
      <c r="DN73" s="93" t="e">
        <v>#N/A</v>
      </c>
      <c r="DO73" s="93" t="e">
        <v>#N/A</v>
      </c>
      <c r="DP73" s="93" t="e">
        <v>#N/A</v>
      </c>
    </row>
    <row r="74" spans="1:120" x14ac:dyDescent="0.2">
      <c r="A74" s="90" t="e">
        <f>name!#REF!</f>
        <v>#REF!</v>
      </c>
      <c r="B74" s="39" t="e">
        <f t="shared" si="44"/>
        <v>#N/A</v>
      </c>
      <c r="C74" s="93" t="e">
        <v>#N/A</v>
      </c>
      <c r="D74" s="93" t="e">
        <v>#N/A</v>
      </c>
      <c r="E74" s="93" t="e">
        <v>#N/A</v>
      </c>
      <c r="F74" s="93" t="e">
        <v>#N/A</v>
      </c>
      <c r="H74" s="39" t="e">
        <f t="shared" si="45"/>
        <v>#N/A</v>
      </c>
      <c r="I74" s="93" t="e">
        <v>#N/A</v>
      </c>
      <c r="J74" s="93" t="e">
        <v>#N/A</v>
      </c>
      <c r="K74" s="93" t="e">
        <v>#N/A</v>
      </c>
      <c r="L74" s="93" t="e">
        <v>#N/A</v>
      </c>
      <c r="N74" s="39" t="e">
        <f t="shared" si="46"/>
        <v>#N/A</v>
      </c>
      <c r="O74" s="93" t="e">
        <v>#N/A</v>
      </c>
      <c r="P74" s="93" t="e">
        <v>#N/A</v>
      </c>
      <c r="Q74" s="93" t="e">
        <v>#N/A</v>
      </c>
      <c r="R74" s="93" t="e">
        <v>#N/A</v>
      </c>
      <c r="S74" s="93"/>
      <c r="T74" s="39" t="e">
        <f t="shared" si="47"/>
        <v>#N/A</v>
      </c>
      <c r="U74" s="93" t="e">
        <v>#N/A</v>
      </c>
      <c r="V74" s="93" t="e">
        <v>#N/A</v>
      </c>
      <c r="W74" s="93" t="e">
        <v>#N/A</v>
      </c>
      <c r="X74" s="93" t="e">
        <v>#N/A</v>
      </c>
      <c r="Y74" s="90" t="e">
        <f t="shared" si="64"/>
        <v>#REF!</v>
      </c>
      <c r="Z74" s="39" t="e">
        <f t="shared" si="48"/>
        <v>#N/A</v>
      </c>
      <c r="AA74" s="93" t="e">
        <v>#N/A</v>
      </c>
      <c r="AB74" s="93" t="e">
        <v>#N/A</v>
      </c>
      <c r="AC74" s="93" t="e">
        <v>#N/A</v>
      </c>
      <c r="AD74" s="93" t="e">
        <v>#N/A</v>
      </c>
      <c r="AF74" s="39" t="e">
        <f t="shared" si="49"/>
        <v>#N/A</v>
      </c>
      <c r="AG74" s="93" t="e">
        <v>#N/A</v>
      </c>
      <c r="AH74" s="93" t="e">
        <v>#N/A</v>
      </c>
      <c r="AI74" s="93" t="e">
        <v>#N/A</v>
      </c>
      <c r="AJ74" s="93" t="e">
        <v>#N/A</v>
      </c>
      <c r="AL74" s="39" t="e">
        <f t="shared" si="50"/>
        <v>#N/A</v>
      </c>
      <c r="AM74" s="93" t="e">
        <v>#N/A</v>
      </c>
      <c r="AN74" s="93" t="e">
        <v>#N/A</v>
      </c>
      <c r="AO74" s="93" t="e">
        <v>#N/A</v>
      </c>
      <c r="AP74" s="93" t="e">
        <v>#N/A</v>
      </c>
      <c r="AQ74" s="93"/>
      <c r="AR74" s="39" t="e">
        <f t="shared" si="51"/>
        <v>#N/A</v>
      </c>
      <c r="AS74" s="93" t="e">
        <v>#N/A</v>
      </c>
      <c r="AT74" s="93" t="e">
        <v>#N/A</v>
      </c>
      <c r="AU74" s="93" t="e">
        <v>#N/A</v>
      </c>
      <c r="AV74" s="93" t="e">
        <v>#N/A</v>
      </c>
      <c r="AW74" s="90" t="e">
        <f t="shared" si="65"/>
        <v>#REF!</v>
      </c>
      <c r="AX74" s="39" t="e">
        <f t="shared" si="52"/>
        <v>#N/A</v>
      </c>
      <c r="AY74" s="93" t="e">
        <v>#N/A</v>
      </c>
      <c r="AZ74" s="93" t="e">
        <v>#N/A</v>
      </c>
      <c r="BA74" s="93" t="e">
        <v>#N/A</v>
      </c>
      <c r="BB74" s="93" t="e">
        <v>#N/A</v>
      </c>
      <c r="BD74" s="39" t="e">
        <f t="shared" si="53"/>
        <v>#N/A</v>
      </c>
      <c r="BE74" s="93" t="e">
        <v>#N/A</v>
      </c>
      <c r="BF74" s="93" t="e">
        <v>#N/A</v>
      </c>
      <c r="BG74" s="93" t="e">
        <v>#N/A</v>
      </c>
      <c r="BH74" s="93" t="e">
        <v>#N/A</v>
      </c>
      <c r="BJ74" s="39" t="e">
        <f t="shared" si="54"/>
        <v>#N/A</v>
      </c>
      <c r="BK74" s="93" t="e">
        <v>#N/A</v>
      </c>
      <c r="BL74" s="93" t="e">
        <v>#N/A</v>
      </c>
      <c r="BM74" s="93" t="e">
        <v>#N/A</v>
      </c>
      <c r="BN74" s="93" t="e">
        <v>#N/A</v>
      </c>
      <c r="BO74" s="93"/>
      <c r="BP74" s="39" t="e">
        <f t="shared" si="55"/>
        <v>#N/A</v>
      </c>
      <c r="BQ74" s="93" t="e">
        <v>#N/A</v>
      </c>
      <c r="BR74" s="93" t="e">
        <v>#N/A</v>
      </c>
      <c r="BS74" s="93" t="e">
        <v>#N/A</v>
      </c>
      <c r="BT74" s="93" t="e">
        <v>#N/A</v>
      </c>
      <c r="BU74" s="90" t="e">
        <f t="shared" si="66"/>
        <v>#REF!</v>
      </c>
      <c r="BV74" s="39" t="e">
        <f t="shared" si="56"/>
        <v>#N/A</v>
      </c>
      <c r="BW74" s="93" t="e">
        <v>#N/A</v>
      </c>
      <c r="BX74" s="93" t="e">
        <v>#N/A</v>
      </c>
      <c r="BY74" s="93" t="e">
        <v>#N/A</v>
      </c>
      <c r="BZ74" s="93" t="e">
        <v>#N/A</v>
      </c>
      <c r="CB74" s="39" t="e">
        <f t="shared" si="57"/>
        <v>#N/A</v>
      </c>
      <c r="CC74" s="93" t="e">
        <v>#N/A</v>
      </c>
      <c r="CD74" s="93" t="e">
        <v>#N/A</v>
      </c>
      <c r="CE74" s="93" t="e">
        <v>#N/A</v>
      </c>
      <c r="CF74" s="93" t="e">
        <v>#N/A</v>
      </c>
      <c r="CH74" s="39" t="e">
        <f t="shared" si="58"/>
        <v>#N/A</v>
      </c>
      <c r="CI74" s="93" t="e">
        <v>#N/A</v>
      </c>
      <c r="CJ74" s="93" t="e">
        <v>#N/A</v>
      </c>
      <c r="CK74" s="93" t="e">
        <v>#N/A</v>
      </c>
      <c r="CL74" s="93" t="e">
        <v>#N/A</v>
      </c>
      <c r="CM74" s="93"/>
      <c r="CN74" s="39" t="e">
        <f t="shared" si="59"/>
        <v>#N/A</v>
      </c>
      <c r="CO74" s="93" t="e">
        <v>#N/A</v>
      </c>
      <c r="CP74" s="93" t="e">
        <v>#N/A</v>
      </c>
      <c r="CQ74" s="93" t="e">
        <v>#N/A</v>
      </c>
      <c r="CR74" s="93" t="e">
        <v>#N/A</v>
      </c>
      <c r="CS74" s="90" t="e">
        <f t="shared" si="67"/>
        <v>#REF!</v>
      </c>
      <c r="CT74" s="39" t="e">
        <f t="shared" si="60"/>
        <v>#N/A</v>
      </c>
      <c r="CU74" s="93" t="e">
        <v>#N/A</v>
      </c>
      <c r="CV74" s="93" t="e">
        <v>#N/A</v>
      </c>
      <c r="CW74" s="93" t="e">
        <v>#N/A</v>
      </c>
      <c r="CX74" s="93" t="e">
        <v>#N/A</v>
      </c>
      <c r="CZ74" s="39" t="e">
        <f t="shared" si="61"/>
        <v>#N/A</v>
      </c>
      <c r="DA74" s="93" t="e">
        <v>#N/A</v>
      </c>
      <c r="DB74" s="93" t="e">
        <v>#N/A</v>
      </c>
      <c r="DC74" s="93" t="e">
        <v>#N/A</v>
      </c>
      <c r="DD74" s="93" t="e">
        <v>#N/A</v>
      </c>
      <c r="DF74" s="39" t="e">
        <f t="shared" si="62"/>
        <v>#N/A</v>
      </c>
      <c r="DG74" s="93" t="e">
        <v>#N/A</v>
      </c>
      <c r="DH74" s="93" t="e">
        <v>#N/A</v>
      </c>
      <c r="DI74" s="93" t="e">
        <v>#N/A</v>
      </c>
      <c r="DJ74" s="93" t="e">
        <v>#N/A</v>
      </c>
      <c r="DK74" s="93"/>
      <c r="DL74" s="39" t="e">
        <f t="shared" si="63"/>
        <v>#N/A</v>
      </c>
      <c r="DM74" s="93" t="e">
        <v>#N/A</v>
      </c>
      <c r="DN74" s="93" t="e">
        <v>#N/A</v>
      </c>
      <c r="DO74" s="93" t="e">
        <v>#N/A</v>
      </c>
      <c r="DP74" s="93" t="e">
        <v>#N/A</v>
      </c>
    </row>
    <row r="75" spans="1:120" x14ac:dyDescent="0.2">
      <c r="A75" s="90" t="e">
        <f>name!#REF!</f>
        <v>#REF!</v>
      </c>
      <c r="B75" s="39" t="e">
        <f t="shared" si="44"/>
        <v>#N/A</v>
      </c>
      <c r="C75" s="93" t="e">
        <v>#N/A</v>
      </c>
      <c r="D75" s="93" t="e">
        <v>#N/A</v>
      </c>
      <c r="E75" s="93" t="e">
        <v>#N/A</v>
      </c>
      <c r="F75" s="93" t="e">
        <v>#N/A</v>
      </c>
      <c r="H75" s="39" t="e">
        <f t="shared" si="45"/>
        <v>#N/A</v>
      </c>
      <c r="I75" s="93" t="e">
        <v>#N/A</v>
      </c>
      <c r="J75" s="93" t="e">
        <v>#N/A</v>
      </c>
      <c r="K75" s="93" t="e">
        <v>#N/A</v>
      </c>
      <c r="L75" s="93" t="e">
        <v>#N/A</v>
      </c>
      <c r="N75" s="39" t="e">
        <f t="shared" si="46"/>
        <v>#N/A</v>
      </c>
      <c r="O75" s="93" t="e">
        <v>#N/A</v>
      </c>
      <c r="P75" s="93" t="e">
        <v>#N/A</v>
      </c>
      <c r="Q75" s="93" t="e">
        <v>#N/A</v>
      </c>
      <c r="R75" s="93" t="e">
        <v>#N/A</v>
      </c>
      <c r="S75" s="93"/>
      <c r="T75" s="39" t="e">
        <f t="shared" si="47"/>
        <v>#N/A</v>
      </c>
      <c r="U75" s="93" t="e">
        <v>#N/A</v>
      </c>
      <c r="V75" s="93" t="e">
        <v>#N/A</v>
      </c>
      <c r="W75" s="93" t="e">
        <v>#N/A</v>
      </c>
      <c r="X75" s="93" t="e">
        <v>#N/A</v>
      </c>
      <c r="Y75" s="90" t="e">
        <f t="shared" si="64"/>
        <v>#REF!</v>
      </c>
      <c r="Z75" s="39" t="e">
        <f t="shared" si="48"/>
        <v>#N/A</v>
      </c>
      <c r="AA75" s="93" t="e">
        <v>#N/A</v>
      </c>
      <c r="AB75" s="93" t="e">
        <v>#N/A</v>
      </c>
      <c r="AC75" s="93" t="e">
        <v>#N/A</v>
      </c>
      <c r="AD75" s="93" t="e">
        <v>#N/A</v>
      </c>
      <c r="AF75" s="39" t="e">
        <f t="shared" si="49"/>
        <v>#N/A</v>
      </c>
      <c r="AG75" s="93" t="e">
        <v>#N/A</v>
      </c>
      <c r="AH75" s="93" t="e">
        <v>#N/A</v>
      </c>
      <c r="AI75" s="93" t="e">
        <v>#N/A</v>
      </c>
      <c r="AJ75" s="93" t="e">
        <v>#N/A</v>
      </c>
      <c r="AL75" s="39" t="e">
        <f t="shared" si="50"/>
        <v>#N/A</v>
      </c>
      <c r="AM75" s="93" t="e">
        <v>#N/A</v>
      </c>
      <c r="AN75" s="93" t="e">
        <v>#N/A</v>
      </c>
      <c r="AO75" s="93" t="e">
        <v>#N/A</v>
      </c>
      <c r="AP75" s="93" t="e">
        <v>#N/A</v>
      </c>
      <c r="AQ75" s="93"/>
      <c r="AR75" s="39" t="e">
        <f t="shared" si="51"/>
        <v>#N/A</v>
      </c>
      <c r="AS75" s="93" t="e">
        <v>#N/A</v>
      </c>
      <c r="AT75" s="93" t="e">
        <v>#N/A</v>
      </c>
      <c r="AU75" s="93" t="e">
        <v>#N/A</v>
      </c>
      <c r="AV75" s="93" t="e">
        <v>#N/A</v>
      </c>
      <c r="AW75" s="90" t="e">
        <f t="shared" si="65"/>
        <v>#REF!</v>
      </c>
      <c r="AX75" s="39" t="e">
        <f t="shared" si="52"/>
        <v>#N/A</v>
      </c>
      <c r="AY75" s="93" t="e">
        <v>#N/A</v>
      </c>
      <c r="AZ75" s="93" t="e">
        <v>#N/A</v>
      </c>
      <c r="BA75" s="93" t="e">
        <v>#N/A</v>
      </c>
      <c r="BB75" s="93" t="e">
        <v>#N/A</v>
      </c>
      <c r="BD75" s="39" t="e">
        <f t="shared" si="53"/>
        <v>#N/A</v>
      </c>
      <c r="BE75" s="93" t="e">
        <v>#N/A</v>
      </c>
      <c r="BF75" s="93" t="e">
        <v>#N/A</v>
      </c>
      <c r="BG75" s="93" t="e">
        <v>#N/A</v>
      </c>
      <c r="BH75" s="93" t="e">
        <v>#N/A</v>
      </c>
      <c r="BJ75" s="39" t="e">
        <f t="shared" si="54"/>
        <v>#N/A</v>
      </c>
      <c r="BK75" s="93" t="e">
        <v>#N/A</v>
      </c>
      <c r="BL75" s="93" t="e">
        <v>#N/A</v>
      </c>
      <c r="BM75" s="93" t="e">
        <v>#N/A</v>
      </c>
      <c r="BN75" s="93" t="e">
        <v>#N/A</v>
      </c>
      <c r="BO75" s="93"/>
      <c r="BP75" s="39" t="e">
        <f t="shared" si="55"/>
        <v>#N/A</v>
      </c>
      <c r="BQ75" s="93" t="e">
        <v>#N/A</v>
      </c>
      <c r="BR75" s="93" t="e">
        <v>#N/A</v>
      </c>
      <c r="BS75" s="93" t="e">
        <v>#N/A</v>
      </c>
      <c r="BT75" s="93" t="e">
        <v>#N/A</v>
      </c>
      <c r="BU75" s="90" t="e">
        <f t="shared" si="66"/>
        <v>#REF!</v>
      </c>
      <c r="BV75" s="39" t="e">
        <f t="shared" si="56"/>
        <v>#N/A</v>
      </c>
      <c r="BW75" s="93" t="e">
        <v>#N/A</v>
      </c>
      <c r="BX75" s="93" t="e">
        <v>#N/A</v>
      </c>
      <c r="BY75" s="93" t="e">
        <v>#N/A</v>
      </c>
      <c r="BZ75" s="93" t="e">
        <v>#N/A</v>
      </c>
      <c r="CB75" s="39" t="e">
        <f t="shared" si="57"/>
        <v>#N/A</v>
      </c>
      <c r="CC75" s="93" t="e">
        <v>#N/A</v>
      </c>
      <c r="CD75" s="93" t="e">
        <v>#N/A</v>
      </c>
      <c r="CE75" s="93" t="e">
        <v>#N/A</v>
      </c>
      <c r="CF75" s="93" t="e">
        <v>#N/A</v>
      </c>
      <c r="CH75" s="39" t="e">
        <f t="shared" si="58"/>
        <v>#N/A</v>
      </c>
      <c r="CI75" s="93" t="e">
        <v>#N/A</v>
      </c>
      <c r="CJ75" s="93" t="e">
        <v>#N/A</v>
      </c>
      <c r="CK75" s="93" t="e">
        <v>#N/A</v>
      </c>
      <c r="CL75" s="93" t="e">
        <v>#N/A</v>
      </c>
      <c r="CM75" s="93"/>
      <c r="CN75" s="39" t="e">
        <f t="shared" si="59"/>
        <v>#N/A</v>
      </c>
      <c r="CO75" s="93" t="e">
        <v>#N/A</v>
      </c>
      <c r="CP75" s="93" t="e">
        <v>#N/A</v>
      </c>
      <c r="CQ75" s="93" t="e">
        <v>#N/A</v>
      </c>
      <c r="CR75" s="93" t="e">
        <v>#N/A</v>
      </c>
      <c r="CS75" s="90" t="e">
        <f t="shared" si="67"/>
        <v>#REF!</v>
      </c>
      <c r="CT75" s="39" t="e">
        <f t="shared" si="60"/>
        <v>#N/A</v>
      </c>
      <c r="CU75" s="93" t="e">
        <v>#N/A</v>
      </c>
      <c r="CV75" s="93" t="e">
        <v>#N/A</v>
      </c>
      <c r="CW75" s="93" t="e">
        <v>#N/A</v>
      </c>
      <c r="CX75" s="93" t="e">
        <v>#N/A</v>
      </c>
      <c r="CZ75" s="39" t="e">
        <f t="shared" si="61"/>
        <v>#N/A</v>
      </c>
      <c r="DA75" s="93" t="e">
        <v>#N/A</v>
      </c>
      <c r="DB75" s="93" t="e">
        <v>#N/A</v>
      </c>
      <c r="DC75" s="93" t="e">
        <v>#N/A</v>
      </c>
      <c r="DD75" s="93" t="e">
        <v>#N/A</v>
      </c>
      <c r="DF75" s="39" t="e">
        <f t="shared" si="62"/>
        <v>#N/A</v>
      </c>
      <c r="DG75" s="93" t="e">
        <v>#N/A</v>
      </c>
      <c r="DH75" s="93" t="e">
        <v>#N/A</v>
      </c>
      <c r="DI75" s="93" t="e">
        <v>#N/A</v>
      </c>
      <c r="DJ75" s="93" t="e">
        <v>#N/A</v>
      </c>
      <c r="DK75" s="93"/>
      <c r="DL75" s="39" t="e">
        <f t="shared" si="63"/>
        <v>#N/A</v>
      </c>
      <c r="DM75" s="93" t="e">
        <v>#N/A</v>
      </c>
      <c r="DN75" s="93" t="e">
        <v>#N/A</v>
      </c>
      <c r="DO75" s="93" t="e">
        <v>#N/A</v>
      </c>
      <c r="DP75" s="93" t="e">
        <v>#N/A</v>
      </c>
    </row>
    <row r="76" spans="1:120" x14ac:dyDescent="0.2">
      <c r="B76" s="39"/>
      <c r="H76" s="39"/>
      <c r="N76" s="39"/>
      <c r="T76" s="39"/>
      <c r="Z76" s="39"/>
      <c r="AF76" s="39"/>
      <c r="AL76" s="39"/>
      <c r="AR76" s="39"/>
      <c r="AX76" s="39"/>
      <c r="BD76" s="39"/>
      <c r="BJ76" s="39"/>
      <c r="BP76" s="39"/>
      <c r="BV76" s="39"/>
      <c r="CB76" s="39"/>
      <c r="CH76" s="39"/>
      <c r="CN76" s="39"/>
      <c r="CT76" s="39"/>
      <c r="CZ76" s="39"/>
      <c r="DF76" s="39"/>
      <c r="DL76" s="39"/>
    </row>
    <row r="77" spans="1:120" x14ac:dyDescent="0.2">
      <c r="A77" s="91" t="e">
        <f>name!#REF!</f>
        <v>#REF!</v>
      </c>
      <c r="B77" s="42">
        <f t="shared" si="44"/>
        <v>2.7912372459239387</v>
      </c>
      <c r="C77" s="92">
        <f>C50</f>
        <v>4561.2992279926211</v>
      </c>
      <c r="D77" s="92">
        <f>D50</f>
        <v>431.97496524334053</v>
      </c>
      <c r="E77" s="92">
        <f>E50</f>
        <v>1445.5882710202891</v>
      </c>
      <c r="F77" s="92">
        <f>F50</f>
        <v>1877.5632362636297</v>
      </c>
      <c r="G77" s="91"/>
      <c r="H77" s="42">
        <f t="shared" si="45"/>
        <v>2.6517730789267446</v>
      </c>
      <c r="I77" s="92">
        <f>I50</f>
        <v>774.77767553257945</v>
      </c>
      <c r="J77" s="92">
        <f>J50</f>
        <v>-90.9176985646708</v>
      </c>
      <c r="K77" s="92">
        <f>K50</f>
        <v>231.78692033646578</v>
      </c>
      <c r="L77" s="92">
        <f>L50</f>
        <v>140.86922177179497</v>
      </c>
      <c r="M77" s="91"/>
      <c r="N77" s="42">
        <f t="shared" si="46"/>
        <v>2.6893242464146816</v>
      </c>
      <c r="O77" s="92">
        <f>O50</f>
        <v>1810.6123702397726</v>
      </c>
      <c r="P77" s="92">
        <f>P50</f>
        <v>208.84741372398935</v>
      </c>
      <c r="Q77" s="92">
        <f>Q50</f>
        <v>550.29225403969679</v>
      </c>
      <c r="R77" s="92">
        <f>R50</f>
        <v>759.13966776368613</v>
      </c>
      <c r="S77" s="92"/>
      <c r="T77" s="42">
        <f t="shared" si="47"/>
        <v>2.9376202991175049</v>
      </c>
      <c r="U77" s="92">
        <f>U50</f>
        <v>1975.9091822202711</v>
      </c>
      <c r="V77" s="92">
        <f>V50</f>
        <v>314.04525008402186</v>
      </c>
      <c r="W77" s="92">
        <f>W50</f>
        <v>663.50909664412427</v>
      </c>
      <c r="X77" s="92">
        <f>X50</f>
        <v>977.55434672814613</v>
      </c>
      <c r="Y77" s="91" t="e">
        <f>A77</f>
        <v>#REF!</v>
      </c>
      <c r="Z77" s="42">
        <f>IF(AA77&gt;0,((1+(AC77/AA77))^(1/($A$101-$A$100))-1)*100,0)</f>
        <v>2.9771972098236787</v>
      </c>
      <c r="AA77" s="92">
        <f>AA50</f>
        <v>2141.7348734083043</v>
      </c>
      <c r="AB77" s="92">
        <f>AB50</f>
        <v>328.18012130131888</v>
      </c>
      <c r="AC77" s="92">
        <f>AC50</f>
        <v>730.21185757939747</v>
      </c>
      <c r="AD77" s="92">
        <f>AD50</f>
        <v>1058.3919788807164</v>
      </c>
      <c r="AE77" s="91"/>
      <c r="AF77" s="42">
        <f>IF(AG77&gt;0,((1+(AI77/AG77))^(1/($A$101-$A$100))-1)*100,0)</f>
        <v>3.0280155732974823</v>
      </c>
      <c r="AG77" s="92">
        <f>AG50</f>
        <v>114.36183531349347</v>
      </c>
      <c r="AH77" s="92">
        <f>AH50</f>
        <v>10.806009020856356</v>
      </c>
      <c r="AI77" s="92">
        <f>AI50</f>
        <v>39.749458273691218</v>
      </c>
      <c r="AJ77" s="92">
        <f>AJ50</f>
        <v>50.555467294547576</v>
      </c>
      <c r="AK77" s="91"/>
      <c r="AL77" s="42">
        <f>IF(AM77&gt;0,((1+(AO77/AM77))^(1/($A$101-$A$100))-1)*100,0)</f>
        <v>2.9663353480916088</v>
      </c>
      <c r="AM77" s="92">
        <f>AM50</f>
        <v>484.03376220781502</v>
      </c>
      <c r="AN77" s="92">
        <f>AN50</f>
        <v>80.752171418150368</v>
      </c>
      <c r="AO77" s="92">
        <f>AO50</f>
        <v>164.34415782441963</v>
      </c>
      <c r="AP77" s="92">
        <f>AP50</f>
        <v>245.09632924256999</v>
      </c>
      <c r="AQ77" s="92"/>
      <c r="AR77" s="42">
        <f>IF(AS77&gt;0,((1+(AU77/AS77))^(1/($A$101-$A$100))-1)*100,0)</f>
        <v>2.9768281396108875</v>
      </c>
      <c r="AS77" s="92">
        <f>AS50</f>
        <v>1543.3392758869961</v>
      </c>
      <c r="AT77" s="92">
        <f>AT50</f>
        <v>236.62194086231219</v>
      </c>
      <c r="AU77" s="92">
        <f>AU50</f>
        <v>526.11824148128676</v>
      </c>
      <c r="AV77" s="92">
        <f>AV50</f>
        <v>762.74018234359892</v>
      </c>
      <c r="AW77" s="91" t="e">
        <f>Y77</f>
        <v>#REF!</v>
      </c>
      <c r="AX77" s="42">
        <f>IF(AY77&gt;0,((1+(BA77/AY77))^(1/($A$101-$A$100))-1)*100,0)</f>
        <v>2.5960689907792656</v>
      </c>
      <c r="AY77" s="92">
        <f>AY50</f>
        <v>1169.4910110900296</v>
      </c>
      <c r="AZ77" s="92">
        <f>AZ50</f>
        <v>61.012733866251224</v>
      </c>
      <c r="BA77" s="92">
        <f>BA50</f>
        <v>341.64688672572964</v>
      </c>
      <c r="BB77" s="92">
        <f>BB50</f>
        <v>402.65962059198085</v>
      </c>
      <c r="BC77" s="91"/>
      <c r="BD77" s="42">
        <f>IF(BE77&gt;0,((1+(BG77/BE77))^(1/($A$101-$A$100))-1)*100,0)</f>
        <v>2.5108134589674425</v>
      </c>
      <c r="BE77" s="92">
        <f>BE50</f>
        <v>196.77997170605971</v>
      </c>
      <c r="BF77" s="92">
        <f>BF50</f>
        <v>-19.19988351079143</v>
      </c>
      <c r="BG77" s="92">
        <f>BG50</f>
        <v>55.380896948664599</v>
      </c>
      <c r="BH77" s="92">
        <f>BH50</f>
        <v>36.181013437873169</v>
      </c>
      <c r="BI77" s="91"/>
      <c r="BJ77" s="42">
        <f>IF(BK77&gt;0,((1+(BM77/BK77))^(1/($A$101-$A$100))-1)*100,0)</f>
        <v>2.5531077119064882</v>
      </c>
      <c r="BK77" s="92">
        <f>BK50</f>
        <v>650.12175377402275</v>
      </c>
      <c r="BL77" s="92">
        <f>BL50</f>
        <v>42.192712487148434</v>
      </c>
      <c r="BM77" s="92">
        <f>BM50</f>
        <v>186.41100647521165</v>
      </c>
      <c r="BN77" s="92">
        <f>BN50</f>
        <v>228.60371896236009</v>
      </c>
      <c r="BO77" s="92"/>
      <c r="BP77" s="42">
        <f>IF(BQ77&gt;0,((1+(BS77/BQ77))^(1/($A$101-$A$100))-1)*100,0)</f>
        <v>2.7334678665663192</v>
      </c>
      <c r="BQ77" s="92">
        <f>BQ50</f>
        <v>322.58928560994713</v>
      </c>
      <c r="BR77" s="92">
        <f>BR50</f>
        <v>38.019904889894228</v>
      </c>
      <c r="BS77" s="92">
        <f>BS50</f>
        <v>99.854983301853494</v>
      </c>
      <c r="BT77" s="92">
        <f>BT50</f>
        <v>137.87488819174771</v>
      </c>
      <c r="BU77" s="91" t="e">
        <f>AW77</f>
        <v>#REF!</v>
      </c>
      <c r="BV77" s="42">
        <f>IF(BW77&gt;0,((1+(BY77/BW77))^(1/($A$101-$A$100))-1)*100,0)</f>
        <v>2.5889208699682698</v>
      </c>
      <c r="BW77" s="92">
        <f>BW50</f>
        <v>786.26148565798121</v>
      </c>
      <c r="BX77" s="92">
        <f>BX50</f>
        <v>-16.768227409449015</v>
      </c>
      <c r="BY77" s="92">
        <f>BY50</f>
        <v>228.98528730973825</v>
      </c>
      <c r="BZ77" s="92">
        <f>BZ50</f>
        <v>212.21705990028923</v>
      </c>
      <c r="CA77" s="91"/>
      <c r="CB77" s="42">
        <f>IF(CC77&gt;0,((1+(CE77/CC77))^(1/($A$101-$A$100))-1)*100,0)</f>
        <v>2.5278948366694864</v>
      </c>
      <c r="CC77" s="92">
        <f>CC50</f>
        <v>257.91842111045776</v>
      </c>
      <c r="CD77" s="92">
        <f>CD50</f>
        <v>-52.179148361626908</v>
      </c>
      <c r="CE77" s="92">
        <f>CE50</f>
        <v>73.138570554183204</v>
      </c>
      <c r="CF77" s="92">
        <f>CF50</f>
        <v>20.959422192556296</v>
      </c>
      <c r="CG77" s="91"/>
      <c r="CH77" s="42">
        <f>IF(CI77&gt;0,((1+(CK77/CI77))^(1/($A$101-$A$100))-1)*100,0)</f>
        <v>2.5655949055339189</v>
      </c>
      <c r="CI77" s="92">
        <f>CI50</f>
        <v>462.50112579230256</v>
      </c>
      <c r="CJ77" s="92">
        <f>CJ50</f>
        <v>18.263082416840735</v>
      </c>
      <c r="CK77" s="92">
        <f>CK50</f>
        <v>133.33911166207648</v>
      </c>
      <c r="CL77" s="92">
        <f>CL50</f>
        <v>151.60219407891722</v>
      </c>
      <c r="CM77" s="92"/>
      <c r="CN77" s="42">
        <f>IF(CO77&gt;0,((1+(CQ77/CO77))^(1/($A$101-$A$100))-1)*100,0)</f>
        <v>2.9840981402702971</v>
      </c>
      <c r="CO77" s="92">
        <f>CO50</f>
        <v>65.841938755220539</v>
      </c>
      <c r="CP77" s="92">
        <f>CP50</f>
        <v>17.147838535337179</v>
      </c>
      <c r="CQ77" s="92">
        <f>CQ50</f>
        <v>22.507605093478684</v>
      </c>
      <c r="CR77" s="92">
        <f>CR50</f>
        <v>39.65544362881586</v>
      </c>
      <c r="CS77" s="91" t="e">
        <f>BU77</f>
        <v>#REF!</v>
      </c>
      <c r="CT77" s="42">
        <f>IF(CU77&gt;0,((1+(CW77/CU77))^(1/($A$101-$A$100))-1)*100,0)</f>
        <v>2.7533233225370157</v>
      </c>
      <c r="CU77" s="92">
        <f>CU50</f>
        <v>463.81185783630696</v>
      </c>
      <c r="CV77" s="92">
        <f>CV50</f>
        <v>59.550337485219423</v>
      </c>
      <c r="CW77" s="92">
        <f>CW50</f>
        <v>144.74423940542175</v>
      </c>
      <c r="CX77" s="92">
        <f>CX50</f>
        <v>204.29457689064117</v>
      </c>
      <c r="CY77" s="91"/>
      <c r="CZ77" s="42">
        <f>IF(DA77&gt;0,((1+(DC77/DA77))^(1/($A$101-$A$100))-1)*100,0)</f>
        <v>2.7273559755584653</v>
      </c>
      <c r="DA77" s="92">
        <f>DA50</f>
        <v>205.71744740256855</v>
      </c>
      <c r="DB77" s="92">
        <f>DB50</f>
        <v>-30.344675713108767</v>
      </c>
      <c r="DC77" s="92">
        <f>DC50</f>
        <v>63.517994559926827</v>
      </c>
      <c r="DD77" s="92">
        <f>DD50</f>
        <v>33.173318846818063</v>
      </c>
      <c r="DE77" s="91"/>
      <c r="DF77" s="42">
        <f>IF(DG77&gt;0,((1+(DI77/DG77))^(1/($A$101-$A$100))-1)*100,0)</f>
        <v>2.7323553670193235</v>
      </c>
      <c r="DG77" s="92">
        <f>DG50</f>
        <v>213.95572846563186</v>
      </c>
      <c r="DH77" s="92">
        <f>DH50</f>
        <v>67.639447401849822</v>
      </c>
      <c r="DI77" s="92">
        <f>DI50</f>
        <v>66.197978077989319</v>
      </c>
      <c r="DJ77" s="92">
        <f>DJ50</f>
        <v>133.83742547983914</v>
      </c>
      <c r="DK77" s="92"/>
      <c r="DL77" s="42">
        <f>IF(DM77&gt;0,((1+(DO77/DM77))^(1/($A$101-$A$100))-1)*100,0)</f>
        <v>2.9736201868302725</v>
      </c>
      <c r="DM77" s="92">
        <f>DM50</f>
        <v>44.13868196810671</v>
      </c>
      <c r="DN77" s="92">
        <f>DN50</f>
        <v>22.25556579647839</v>
      </c>
      <c r="DO77" s="92">
        <f>DO50</f>
        <v>15.028266767505601</v>
      </c>
      <c r="DP77" s="92">
        <f>DP50</f>
        <v>37.283832563983992</v>
      </c>
    </row>
    <row r="79" spans="1:120" x14ac:dyDescent="0.2">
      <c r="A79" s="90" t="str">
        <f ca="1">CELL("filename")</f>
        <v>M:\IE\Projects\Nuffield via NFER AI and automation\Data\Results\Workbooks\EM\[EM_MainTables.Main.xlsm]Manager</v>
      </c>
      <c r="Y79" s="90" t="str">
        <f ca="1">CELL("filename")</f>
        <v>M:\IE\Projects\Nuffield via NFER AI and automation\Data\Results\Workbooks\EM\[EM_MainTables.Main.xlsm]Manager</v>
      </c>
      <c r="AW79" s="90" t="str">
        <f ca="1">CELL("filename")</f>
        <v>M:\IE\Projects\Nuffield via NFER AI and automation\Data\Results\Workbooks\EM\[EM_MainTables.Main.xlsm]Manager</v>
      </c>
      <c r="BU79" s="90" t="str">
        <f ca="1">CELL("filename")</f>
        <v>M:\IE\Projects\Nuffield via NFER AI and automation\Data\Results\Workbooks\EM\[EM_MainTables.Main.xlsm]Manager</v>
      </c>
      <c r="CS79" s="90" t="str">
        <f ca="1">CELL("filename")</f>
        <v>M:\IE\Projects\Nuffield via NFER AI and automation\Data\Results\Workbooks\EM\[EM_MainTables.Main.xlsm]Manager</v>
      </c>
    </row>
    <row r="80" spans="1:120" ht="15.75" x14ac:dyDescent="0.25">
      <c r="A80" s="18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8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8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8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8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115" t="str">
        <f>$X$3</f>
        <v>thousands</v>
      </c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115" t="str">
        <f>$X$3</f>
        <v>thousands</v>
      </c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115" t="str">
        <f>$X$3</f>
        <v>thousands</v>
      </c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115" t="str">
        <f>$X$3</f>
        <v>thousands</v>
      </c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115" t="str">
        <f>$X$3</f>
        <v>thousands</v>
      </c>
    </row>
    <row r="83" spans="1:120" x14ac:dyDescent="0.2">
      <c r="B83" s="381" t="str">
        <f>B4</f>
        <v>All qualifications</v>
      </c>
      <c r="C83" s="381"/>
      <c r="D83" s="381"/>
      <c r="E83" s="381"/>
      <c r="F83" s="381"/>
      <c r="G83" s="113"/>
      <c r="H83" s="381" t="str">
        <f>H4</f>
        <v>RQF8 Doctorate</v>
      </c>
      <c r="I83" s="381"/>
      <c r="J83" s="381"/>
      <c r="K83" s="381"/>
      <c r="L83" s="381"/>
      <c r="M83" s="113"/>
      <c r="N83" s="382" t="str">
        <f>N4</f>
        <v>RQF7 Other higher degree</v>
      </c>
      <c r="O83" s="382"/>
      <c r="P83" s="382"/>
      <c r="Q83" s="382"/>
      <c r="R83" s="382"/>
      <c r="S83" s="110"/>
      <c r="T83" s="382" t="str">
        <f>T4</f>
        <v>RQF6 First degree</v>
      </c>
      <c r="U83" s="382"/>
      <c r="V83" s="382"/>
      <c r="W83" s="382"/>
      <c r="X83" s="382"/>
      <c r="Z83" s="381" t="str">
        <f>Z4</f>
        <v>All qualifications</v>
      </c>
      <c r="AA83" s="381"/>
      <c r="AB83" s="381"/>
      <c r="AC83" s="381"/>
      <c r="AD83" s="381"/>
      <c r="AE83" s="113"/>
      <c r="AF83" s="381" t="str">
        <f>AF4</f>
        <v>RQF8 Doctorate</v>
      </c>
      <c r="AG83" s="381"/>
      <c r="AH83" s="381"/>
      <c r="AI83" s="381"/>
      <c r="AJ83" s="381"/>
      <c r="AK83" s="113"/>
      <c r="AL83" s="382" t="str">
        <f>AL4</f>
        <v>RQF7 Other higher degree</v>
      </c>
      <c r="AM83" s="382"/>
      <c r="AN83" s="382"/>
      <c r="AO83" s="382"/>
      <c r="AP83" s="382"/>
      <c r="AQ83" s="110"/>
      <c r="AR83" s="382" t="str">
        <f>AR4</f>
        <v>RQF6 First degree</v>
      </c>
      <c r="AS83" s="382"/>
      <c r="AT83" s="382"/>
      <c r="AU83" s="382"/>
      <c r="AV83" s="382"/>
      <c r="AX83" s="381" t="str">
        <f>AX4</f>
        <v>All qualifications</v>
      </c>
      <c r="AY83" s="381"/>
      <c r="AZ83" s="381"/>
      <c r="BA83" s="381"/>
      <c r="BB83" s="381"/>
      <c r="BC83" s="113"/>
      <c r="BD83" s="381" t="str">
        <f>BD4</f>
        <v>RQF8 Doctorate</v>
      </c>
      <c r="BE83" s="381"/>
      <c r="BF83" s="381"/>
      <c r="BG83" s="381"/>
      <c r="BH83" s="381"/>
      <c r="BI83" s="113"/>
      <c r="BJ83" s="382" t="str">
        <f>BJ4</f>
        <v>RQF7 Other higher degree</v>
      </c>
      <c r="BK83" s="382"/>
      <c r="BL83" s="382"/>
      <c r="BM83" s="382"/>
      <c r="BN83" s="382"/>
      <c r="BO83" s="110"/>
      <c r="BP83" s="382" t="str">
        <f>BP4</f>
        <v>RQF6 First degree</v>
      </c>
      <c r="BQ83" s="382"/>
      <c r="BR83" s="382"/>
      <c r="BS83" s="382"/>
      <c r="BT83" s="382"/>
      <c r="BV83" s="381" t="str">
        <f>BV4</f>
        <v>All qualifications</v>
      </c>
      <c r="BW83" s="381"/>
      <c r="BX83" s="381"/>
      <c r="BY83" s="381"/>
      <c r="BZ83" s="381"/>
      <c r="CA83" s="113"/>
      <c r="CB83" s="381" t="str">
        <f>CB4</f>
        <v>RQF8 Doctorate</v>
      </c>
      <c r="CC83" s="381"/>
      <c r="CD83" s="381"/>
      <c r="CE83" s="381"/>
      <c r="CF83" s="381"/>
      <c r="CG83" s="113"/>
      <c r="CH83" s="382" t="str">
        <f>CH4</f>
        <v>RQF7 Other higher degree</v>
      </c>
      <c r="CI83" s="382"/>
      <c r="CJ83" s="382"/>
      <c r="CK83" s="382"/>
      <c r="CL83" s="382"/>
      <c r="CM83" s="110"/>
      <c r="CN83" s="382" t="str">
        <f>CN4</f>
        <v>RQF6 First degree</v>
      </c>
      <c r="CO83" s="382"/>
      <c r="CP83" s="382"/>
      <c r="CQ83" s="382"/>
      <c r="CR83" s="382"/>
      <c r="CT83" s="381" t="str">
        <f>CT4</f>
        <v>All qualifications</v>
      </c>
      <c r="CU83" s="381"/>
      <c r="CV83" s="381"/>
      <c r="CW83" s="381"/>
      <c r="CX83" s="381"/>
      <c r="CY83" s="113"/>
      <c r="CZ83" s="381" t="str">
        <f>CZ4</f>
        <v>RQF8 Doctorate</v>
      </c>
      <c r="DA83" s="381"/>
      <c r="DB83" s="381"/>
      <c r="DC83" s="381"/>
      <c r="DD83" s="381"/>
      <c r="DE83" s="113"/>
      <c r="DF83" s="382" t="str">
        <f>DF4</f>
        <v>RQF7 Other higher degree</v>
      </c>
      <c r="DG83" s="382"/>
      <c r="DH83" s="382"/>
      <c r="DI83" s="382"/>
      <c r="DJ83" s="382"/>
      <c r="DK83" s="110"/>
      <c r="DL83" s="382" t="str">
        <f>DL4</f>
        <v>RQF6 First degree</v>
      </c>
      <c r="DM83" s="382"/>
      <c r="DN83" s="382"/>
      <c r="DO83" s="382"/>
      <c r="DP83" s="382"/>
    </row>
    <row r="85" spans="1:120" ht="38.25" x14ac:dyDescent="0.2">
      <c r="A85" s="112"/>
      <c r="B85" s="109" t="str">
        <f>B6</f>
        <v>RD p.a%</v>
      </c>
      <c r="C85" s="109" t="str">
        <f>C6</f>
        <v>2015 Level</v>
      </c>
      <c r="D85" s="109" t="str">
        <f>D6</f>
        <v>Net Change</v>
      </c>
      <c r="E85" s="109" t="str">
        <f>E6</f>
        <v>Replace-ment Demand</v>
      </c>
      <c r="F85" s="109" t="str">
        <f>F6</f>
        <v>Total Require-ment</v>
      </c>
      <c r="G85" s="108"/>
      <c r="H85" s="104" t="str">
        <f>B85</f>
        <v>RD p.a%</v>
      </c>
      <c r="I85" s="104" t="str">
        <f>C85</f>
        <v>2015 Level</v>
      </c>
      <c r="J85" s="104" t="str">
        <f>D85</f>
        <v>Net Change</v>
      </c>
      <c r="K85" s="104" t="str">
        <f>E85</f>
        <v>Replace-ment Demand</v>
      </c>
      <c r="L85" s="104" t="str">
        <f>F85</f>
        <v>Total Require-ment</v>
      </c>
      <c r="M85" s="103"/>
      <c r="N85" s="105" t="str">
        <f>H85</f>
        <v>RD p.a%</v>
      </c>
      <c r="O85" s="105" t="str">
        <f>I85</f>
        <v>2015 Level</v>
      </c>
      <c r="P85" s="105" t="str">
        <f>J85</f>
        <v>Net Change</v>
      </c>
      <c r="Q85" s="105" t="str">
        <f>K85</f>
        <v>Replace-ment Demand</v>
      </c>
      <c r="R85" s="105" t="str">
        <f>L85</f>
        <v>Total Require-ment</v>
      </c>
      <c r="S85" s="103"/>
      <c r="T85" s="105" t="str">
        <f>N85</f>
        <v>RD p.a%</v>
      </c>
      <c r="U85" s="105" t="str">
        <f>O85</f>
        <v>2015 Level</v>
      </c>
      <c r="V85" s="105" t="str">
        <f>P85</f>
        <v>Net Change</v>
      </c>
      <c r="W85" s="105" t="str">
        <f>Q85</f>
        <v>Replace-ment Demand</v>
      </c>
      <c r="X85" s="105" t="str">
        <f>R85</f>
        <v>Total Require-ment</v>
      </c>
      <c r="Y85" s="112"/>
      <c r="Z85" s="109" t="str">
        <f>Z6</f>
        <v>RD p.a%</v>
      </c>
      <c r="AA85" s="109" t="str">
        <f>AA6</f>
        <v>2015 Level</v>
      </c>
      <c r="AB85" s="109" t="str">
        <f>AB6</f>
        <v>Net Change</v>
      </c>
      <c r="AC85" s="109" t="str">
        <f>AC6</f>
        <v>Replace-ment Demand</v>
      </c>
      <c r="AD85" s="109" t="str">
        <f>AD6</f>
        <v>Total Require-ment</v>
      </c>
      <c r="AE85" s="108"/>
      <c r="AF85" s="104" t="str">
        <f>Z85</f>
        <v>RD p.a%</v>
      </c>
      <c r="AG85" s="104" t="str">
        <f>AA85</f>
        <v>2015 Level</v>
      </c>
      <c r="AH85" s="104" t="str">
        <f>AB85</f>
        <v>Net Change</v>
      </c>
      <c r="AI85" s="104" t="str">
        <f>AC85</f>
        <v>Replace-ment Demand</v>
      </c>
      <c r="AJ85" s="104" t="str">
        <f>AD85</f>
        <v>Total Require-ment</v>
      </c>
      <c r="AK85" s="103"/>
      <c r="AL85" s="105" t="str">
        <f>AF85</f>
        <v>RD p.a%</v>
      </c>
      <c r="AM85" s="105" t="str">
        <f>AG85</f>
        <v>2015 Level</v>
      </c>
      <c r="AN85" s="105" t="str">
        <f>AH85</f>
        <v>Net Change</v>
      </c>
      <c r="AO85" s="105" t="str">
        <f>AI85</f>
        <v>Replace-ment Demand</v>
      </c>
      <c r="AP85" s="105" t="str">
        <f>AJ85</f>
        <v>Total Require-ment</v>
      </c>
      <c r="AQ85" s="103"/>
      <c r="AR85" s="105" t="str">
        <f>AL85</f>
        <v>RD p.a%</v>
      </c>
      <c r="AS85" s="105" t="str">
        <f>AM85</f>
        <v>2015 Level</v>
      </c>
      <c r="AT85" s="105" t="str">
        <f>AN85</f>
        <v>Net Change</v>
      </c>
      <c r="AU85" s="105" t="str">
        <f>AO85</f>
        <v>Replace-ment Demand</v>
      </c>
      <c r="AV85" s="105" t="str">
        <f>AP85</f>
        <v>Total Require-ment</v>
      </c>
      <c r="AW85" s="112"/>
      <c r="AX85" s="109" t="str">
        <f>AX6</f>
        <v>RD p.a%</v>
      </c>
      <c r="AY85" s="109" t="str">
        <f>AY6</f>
        <v>2015 Level</v>
      </c>
      <c r="AZ85" s="109" t="str">
        <f>AZ6</f>
        <v>Net Change</v>
      </c>
      <c r="BA85" s="109" t="str">
        <f>BA6</f>
        <v>Replace-ment Demand</v>
      </c>
      <c r="BB85" s="109" t="str">
        <f>BB6</f>
        <v>Total Require-ment</v>
      </c>
      <c r="BC85" s="108"/>
      <c r="BD85" s="104" t="str">
        <f>AX85</f>
        <v>RD p.a%</v>
      </c>
      <c r="BE85" s="104" t="str">
        <f>AY85</f>
        <v>2015 Level</v>
      </c>
      <c r="BF85" s="104" t="str">
        <f>AZ85</f>
        <v>Net Change</v>
      </c>
      <c r="BG85" s="104" t="str">
        <f>BA85</f>
        <v>Replace-ment Demand</v>
      </c>
      <c r="BH85" s="104" t="str">
        <f>BB85</f>
        <v>Total Require-ment</v>
      </c>
      <c r="BI85" s="103"/>
      <c r="BJ85" s="105" t="str">
        <f>BD85</f>
        <v>RD p.a%</v>
      </c>
      <c r="BK85" s="105" t="str">
        <f>BE85</f>
        <v>2015 Level</v>
      </c>
      <c r="BL85" s="105" t="str">
        <f>BF85</f>
        <v>Net Change</v>
      </c>
      <c r="BM85" s="105" t="str">
        <f>BG85</f>
        <v>Replace-ment Demand</v>
      </c>
      <c r="BN85" s="105" t="str">
        <f>BH85</f>
        <v>Total Require-ment</v>
      </c>
      <c r="BO85" s="103"/>
      <c r="BP85" s="105" t="str">
        <f>BJ85</f>
        <v>RD p.a%</v>
      </c>
      <c r="BQ85" s="105" t="str">
        <f>BK85</f>
        <v>2015 Level</v>
      </c>
      <c r="BR85" s="105" t="str">
        <f>BL85</f>
        <v>Net Change</v>
      </c>
      <c r="BS85" s="105" t="str">
        <f>BM85</f>
        <v>Replace-ment Demand</v>
      </c>
      <c r="BT85" s="105" t="str">
        <f>BN85</f>
        <v>Total Require-ment</v>
      </c>
      <c r="BU85" s="112"/>
      <c r="BV85" s="109" t="str">
        <f>BV6</f>
        <v>RD p.a%</v>
      </c>
      <c r="BW85" s="109" t="str">
        <f>BW6</f>
        <v>2015 Level</v>
      </c>
      <c r="BX85" s="109" t="str">
        <f>BX6</f>
        <v>Net Change</v>
      </c>
      <c r="BY85" s="109" t="str">
        <f>BY6</f>
        <v>Replace-ment Demand</v>
      </c>
      <c r="BZ85" s="109" t="str">
        <f>BZ6</f>
        <v>Total Require-ment</v>
      </c>
      <c r="CA85" s="108"/>
      <c r="CB85" s="104" t="str">
        <f>BV85</f>
        <v>RD p.a%</v>
      </c>
      <c r="CC85" s="104" t="str">
        <f>BW85</f>
        <v>2015 Level</v>
      </c>
      <c r="CD85" s="104" t="str">
        <f>BX85</f>
        <v>Net Change</v>
      </c>
      <c r="CE85" s="104" t="str">
        <f>BY85</f>
        <v>Replace-ment Demand</v>
      </c>
      <c r="CF85" s="104" t="str">
        <f>BZ85</f>
        <v>Total Require-ment</v>
      </c>
      <c r="CG85" s="103"/>
      <c r="CH85" s="105" t="str">
        <f>CB85</f>
        <v>RD p.a%</v>
      </c>
      <c r="CI85" s="105" t="str">
        <f>CC85</f>
        <v>2015 Level</v>
      </c>
      <c r="CJ85" s="105" t="str">
        <f>CD85</f>
        <v>Net Change</v>
      </c>
      <c r="CK85" s="105" t="str">
        <f>CE85</f>
        <v>Replace-ment Demand</v>
      </c>
      <c r="CL85" s="105" t="str">
        <f>CF85</f>
        <v>Total Require-ment</v>
      </c>
      <c r="CM85" s="103"/>
      <c r="CN85" s="105" t="str">
        <f>CH85</f>
        <v>RD p.a%</v>
      </c>
      <c r="CO85" s="105" t="str">
        <f>CI85</f>
        <v>2015 Level</v>
      </c>
      <c r="CP85" s="105" t="str">
        <f>CJ85</f>
        <v>Net Change</v>
      </c>
      <c r="CQ85" s="105" t="str">
        <f>CK85</f>
        <v>Replace-ment Demand</v>
      </c>
      <c r="CR85" s="105" t="str">
        <f>CL85</f>
        <v>Total Require-ment</v>
      </c>
      <c r="CS85" s="112"/>
      <c r="CT85" s="109" t="str">
        <f>CT6</f>
        <v>RD p.a%</v>
      </c>
      <c r="CU85" s="109" t="str">
        <f>CU6</f>
        <v>2015 Level</v>
      </c>
      <c r="CV85" s="109" t="str">
        <f>CV6</f>
        <v>Net Change</v>
      </c>
      <c r="CW85" s="109" t="str">
        <f>CW6</f>
        <v>Replace-ment Demand</v>
      </c>
      <c r="CX85" s="109" t="str">
        <f>CX6</f>
        <v>Total Require-ment</v>
      </c>
      <c r="CY85" s="108"/>
      <c r="CZ85" s="104" t="str">
        <f>CT85</f>
        <v>RD p.a%</v>
      </c>
      <c r="DA85" s="104" t="str">
        <f>CU85</f>
        <v>2015 Level</v>
      </c>
      <c r="DB85" s="104" t="str">
        <f>CV85</f>
        <v>Net Change</v>
      </c>
      <c r="DC85" s="104" t="str">
        <f>CW85</f>
        <v>Replace-ment Demand</v>
      </c>
      <c r="DD85" s="104" t="str">
        <f>CX85</f>
        <v>Total Require-ment</v>
      </c>
      <c r="DE85" s="103"/>
      <c r="DF85" s="105" t="str">
        <f>CZ85</f>
        <v>RD p.a%</v>
      </c>
      <c r="DG85" s="105" t="str">
        <f>DA85</f>
        <v>2015 Level</v>
      </c>
      <c r="DH85" s="105" t="str">
        <f>DB85</f>
        <v>Net Change</v>
      </c>
      <c r="DI85" s="105" t="str">
        <f>DC85</f>
        <v>Replace-ment Demand</v>
      </c>
      <c r="DJ85" s="105" t="str">
        <f>DD85</f>
        <v>Total Require-ment</v>
      </c>
      <c r="DK85" s="103"/>
      <c r="DL85" s="105" t="str">
        <f>DF85</f>
        <v>RD p.a%</v>
      </c>
      <c r="DM85" s="105" t="str">
        <f>DG85</f>
        <v>2015 Level</v>
      </c>
      <c r="DN85" s="105" t="str">
        <f>DH85</f>
        <v>Net Change</v>
      </c>
      <c r="DO85" s="105" t="str">
        <f>DI85</f>
        <v>Replace-ment Demand</v>
      </c>
      <c r="DP85" s="105" t="str">
        <f>DJ85</f>
        <v>Total Require-ment</v>
      </c>
    </row>
    <row r="87" spans="1:120" x14ac:dyDescent="0.2">
      <c r="A87" s="90" t="str">
        <f>name!C4</f>
        <v>Primary sector and utilities</v>
      </c>
      <c r="B87" s="39" t="e">
        <f t="shared" ref="B87:B94" si="68">IF(C87&gt;0,((1+(E87/C87))^(1/($A$101-$A$100))-1)*100,0)</f>
        <v>#REF!</v>
      </c>
      <c r="C87" s="93" t="e">
        <f t="array" ref="C87:C92">MMULT(aggregation!#REF!,BasicTable5!C8:C48)</f>
        <v>#REF!</v>
      </c>
      <c r="D87" s="93" t="e">
        <f t="array" ref="D87:D92">MMULT(aggregation!#REF!,BasicTable5!D8:D48)</f>
        <v>#REF!</v>
      </c>
      <c r="E87" s="93" t="e">
        <f t="array" ref="E87:E92">MMULT(aggregation!#REF!,BasicTable5!E8:E48)</f>
        <v>#REF!</v>
      </c>
      <c r="F87" s="93" t="e">
        <f t="array" ref="F87:F92">MMULT(aggregation!#REF!,BasicTable5!F8:F48)</f>
        <v>#REF!</v>
      </c>
      <c r="H87" s="39" t="e">
        <f t="shared" ref="H87:H94" si="69">IF(I87&gt;0,((1+(K87/I87))^(1/($A$101-$A$100))-1)*100,0)</f>
        <v>#REF!</v>
      </c>
      <c r="I87" s="93" t="e">
        <f t="array" ref="I87:I92">MMULT(aggregation!#REF!,BasicTable5!I8:I48)</f>
        <v>#REF!</v>
      </c>
      <c r="J87" s="93" t="e">
        <f t="array" ref="J87:J92">MMULT(aggregation!#REF!,BasicTable5!J8:J48)</f>
        <v>#REF!</v>
      </c>
      <c r="K87" s="93" t="e">
        <f t="array" ref="K87:K92">MMULT(aggregation!#REF!,BasicTable5!K8:K48)</f>
        <v>#REF!</v>
      </c>
      <c r="L87" s="93" t="e">
        <f t="array" ref="L87:L92">MMULT(aggregation!#REF!,BasicTable5!L8:L48)</f>
        <v>#REF!</v>
      </c>
      <c r="N87" s="39" t="e">
        <f t="shared" ref="N87:N94" si="70">IF(O87&gt;0,((1+(Q87/O87))^(1/($A$101-$A$100))-1)*100,0)</f>
        <v>#REF!</v>
      </c>
      <c r="O87" s="93" t="e">
        <f t="array" ref="O87:O92">MMULT(aggregation!#REF!,BasicTable5!O8:O48)</f>
        <v>#REF!</v>
      </c>
      <c r="P87" s="93" t="e">
        <f t="array" ref="P87:P92">MMULT(aggregation!#REF!,BasicTable5!P8:P48)</f>
        <v>#REF!</v>
      </c>
      <c r="Q87" s="93" t="e">
        <f t="array" ref="Q87:Q92">MMULT(aggregation!#REF!,BasicTable5!Q8:Q48)</f>
        <v>#REF!</v>
      </c>
      <c r="R87" s="93" t="e">
        <f t="array" ref="R87:R92">MMULT(aggregation!#REF!,BasicTable5!R8:R48)</f>
        <v>#REF!</v>
      </c>
      <c r="S87" s="93"/>
      <c r="T87" s="39" t="e">
        <f t="shared" ref="T87:T94" si="71">IF(U87&gt;0,((1+(W87/U87))^(1/($A$101-$A$100))-1)*100,0)</f>
        <v>#REF!</v>
      </c>
      <c r="U87" s="93" t="e">
        <f t="array" ref="U87:U92">MMULT(aggregation!#REF!,BasicTable5!U8:U48)</f>
        <v>#REF!</v>
      </c>
      <c r="V87" s="93" t="e">
        <f t="array" ref="V87:V92">MMULT(aggregation!#REF!,BasicTable5!V8:V48)</f>
        <v>#REF!</v>
      </c>
      <c r="W87" s="93" t="e">
        <f t="array" ref="W87:W92">MMULT(aggregation!#REF!,BasicTable5!W8:W48)</f>
        <v>#REF!</v>
      </c>
      <c r="X87" s="93" t="e">
        <f t="array" ref="X87:X92">MMULT(aggregation!#REF!,BasicTable5!X8:X48)</f>
        <v>#REF!</v>
      </c>
      <c r="Y87" s="90" t="str">
        <f t="shared" ref="Y87:Y92" si="72">A87</f>
        <v>Primary sector and utilities</v>
      </c>
      <c r="Z87" s="39" t="e">
        <f t="shared" ref="Z87:Z92" si="73">IF(AA87&gt;0,((1+(AC87/AA87))^(1/($A$101-$A$100))-1)*100,0)</f>
        <v>#REF!</v>
      </c>
      <c r="AA87" s="93" t="e">
        <f t="array" ref="AA87:AA92">MMULT(aggregation!#REF!,BasicTable5!AA8:AA48)</f>
        <v>#REF!</v>
      </c>
      <c r="AB87" s="93" t="e">
        <f t="array" ref="AB87:AB92">MMULT(aggregation!#REF!,BasicTable5!AB8:AB48)</f>
        <v>#REF!</v>
      </c>
      <c r="AC87" s="93" t="e">
        <f t="array" ref="AC87:AC92">MMULT(aggregation!#REF!,BasicTable5!AC8:AC48)</f>
        <v>#REF!</v>
      </c>
      <c r="AD87" s="93" t="e">
        <f t="array" ref="AD87:AD92">MMULT(aggregation!#REF!,BasicTable5!AD8:AD48)</f>
        <v>#REF!</v>
      </c>
      <c r="AF87" s="39" t="e">
        <f t="shared" ref="AF87:AF92" si="74">IF(AG87&gt;0,((1+(AI87/AG87))^(1/($A$101-$A$100))-1)*100,0)</f>
        <v>#REF!</v>
      </c>
      <c r="AG87" s="93" t="e">
        <f t="array" ref="AG87:AG92">MMULT(aggregation!#REF!,BasicTable5!AG8:AG48)</f>
        <v>#REF!</v>
      </c>
      <c r="AH87" s="93" t="e">
        <f t="array" ref="AH87:AH92">MMULT(aggregation!#REF!,BasicTable5!AH8:AH48)</f>
        <v>#REF!</v>
      </c>
      <c r="AI87" s="93" t="e">
        <f t="array" ref="AI87:AI92">MMULT(aggregation!#REF!,BasicTable5!AI8:AI48)</f>
        <v>#REF!</v>
      </c>
      <c r="AJ87" s="93" t="e">
        <f t="array" ref="AJ87:AJ92">MMULT(aggregation!#REF!,BasicTable5!AJ8:AJ48)</f>
        <v>#REF!</v>
      </c>
      <c r="AL87" s="39" t="e">
        <f t="shared" ref="AL87:AL92" si="75">IF(AM87&gt;0,((1+(AO87/AM87))^(1/($A$101-$A$100))-1)*100,0)</f>
        <v>#REF!</v>
      </c>
      <c r="AM87" s="93" t="e">
        <f t="array" ref="AM87:AM92">MMULT(aggregation!#REF!,BasicTable5!AM8:AM48)</f>
        <v>#REF!</v>
      </c>
      <c r="AN87" s="93" t="e">
        <f t="array" ref="AN87:AN92">MMULT(aggregation!#REF!,BasicTable5!AN8:AN48)</f>
        <v>#REF!</v>
      </c>
      <c r="AO87" s="93" t="e">
        <f t="array" ref="AO87:AO92">MMULT(aggregation!#REF!,BasicTable5!AO8:AO48)</f>
        <v>#REF!</v>
      </c>
      <c r="AP87" s="93" t="e">
        <f t="array" ref="AP87:AP92">MMULT(aggregation!#REF!,BasicTable5!AP8:AP48)</f>
        <v>#REF!</v>
      </c>
      <c r="AQ87" s="93"/>
      <c r="AR87" s="39" t="e">
        <f t="shared" ref="AR87:AR92" si="76">IF(AS87&gt;0,((1+(AU87/AS87))^(1/($A$101-$A$100))-1)*100,0)</f>
        <v>#REF!</v>
      </c>
      <c r="AS87" s="93" t="e">
        <f t="array" ref="AS87:AS92">MMULT(aggregation!#REF!,BasicTable5!AS8:AS48)</f>
        <v>#REF!</v>
      </c>
      <c r="AT87" s="93" t="e">
        <f t="array" ref="AT87:AT92">MMULT(aggregation!#REF!,BasicTable5!AT8:AT48)</f>
        <v>#REF!</v>
      </c>
      <c r="AU87" s="93" t="e">
        <f t="array" ref="AU87:AU92">MMULT(aggregation!#REF!,BasicTable5!AU8:AU48)</f>
        <v>#REF!</v>
      </c>
      <c r="AV87" s="93" t="e">
        <f t="array" ref="AV87:AV92">MMULT(aggregation!#REF!,BasicTable5!AV8:AV48)</f>
        <v>#REF!</v>
      </c>
      <c r="AW87" s="90" t="str">
        <f t="shared" ref="AW87:AW92" si="77">Y87</f>
        <v>Primary sector and utilities</v>
      </c>
      <c r="AX87" s="39" t="e">
        <f t="shared" ref="AX87:AX92" si="78">IF(AY87&gt;0,((1+(BA87/AY87))^(1/($A$101-$A$100))-1)*100,0)</f>
        <v>#REF!</v>
      </c>
      <c r="AY87" s="93" t="e">
        <f t="array" ref="AY87:AY92">MMULT(aggregation!#REF!,BasicTable5!AY8:AY48)</f>
        <v>#REF!</v>
      </c>
      <c r="AZ87" s="93" t="e">
        <f t="array" ref="AZ87:AZ92">MMULT(aggregation!#REF!,BasicTable5!AZ8:AZ48)</f>
        <v>#REF!</v>
      </c>
      <c r="BA87" s="93" t="e">
        <f t="array" ref="BA87:BA92">MMULT(aggregation!#REF!,BasicTable5!BA8:BA48)</f>
        <v>#REF!</v>
      </c>
      <c r="BB87" s="93" t="e">
        <f t="array" ref="BB87:BB92">MMULT(aggregation!#REF!,BasicTable5!BB8:BB48)</f>
        <v>#REF!</v>
      </c>
      <c r="BD87" s="39" t="e">
        <f t="shared" ref="BD87:BD92" si="79">IF(BE87&gt;0,((1+(BG87/BE87))^(1/($A$101-$A$100))-1)*100,0)</f>
        <v>#REF!</v>
      </c>
      <c r="BE87" s="93" t="e">
        <f t="array" ref="BE87:BE92">MMULT(aggregation!#REF!,BasicTable5!BE8:BE48)</f>
        <v>#REF!</v>
      </c>
      <c r="BF87" s="93" t="e">
        <f t="array" ref="BF87:BF92">MMULT(aggregation!#REF!,BasicTable5!BF8:BF48)</f>
        <v>#REF!</v>
      </c>
      <c r="BG87" s="93" t="e">
        <f t="array" ref="BG87:BG92">MMULT(aggregation!#REF!,BasicTable5!BG8:BG48)</f>
        <v>#REF!</v>
      </c>
      <c r="BH87" s="93" t="e">
        <f t="array" ref="BH87:BH92">MMULT(aggregation!#REF!,BasicTable5!BH8:BH48)</f>
        <v>#REF!</v>
      </c>
      <c r="BJ87" s="39" t="e">
        <f t="shared" ref="BJ87:BJ92" si="80">IF(BK87&gt;0,((1+(BM87/BK87))^(1/($A$101-$A$100))-1)*100,0)</f>
        <v>#REF!</v>
      </c>
      <c r="BK87" s="93" t="e">
        <f t="array" ref="BK87:BK92">MMULT(aggregation!#REF!,BasicTable5!BK8:BK48)</f>
        <v>#REF!</v>
      </c>
      <c r="BL87" s="93" t="e">
        <f t="array" ref="BL87:BL92">MMULT(aggregation!#REF!,BasicTable5!BL8:BL48)</f>
        <v>#REF!</v>
      </c>
      <c r="BM87" s="93" t="e">
        <f t="array" ref="BM87:BM92">MMULT(aggregation!#REF!,BasicTable5!BM8:BM48)</f>
        <v>#REF!</v>
      </c>
      <c r="BN87" s="93" t="e">
        <f t="array" ref="BN87:BN92">MMULT(aggregation!#REF!,BasicTable5!BN8:BN48)</f>
        <v>#REF!</v>
      </c>
      <c r="BO87" s="93"/>
      <c r="BP87" s="39" t="e">
        <f t="shared" ref="BP87:BP92" si="81">IF(BQ87&gt;0,((1+(BS87/BQ87))^(1/($A$101-$A$100))-1)*100,0)</f>
        <v>#REF!</v>
      </c>
      <c r="BQ87" s="93" t="e">
        <f t="array" ref="BQ87:BQ92">MMULT(aggregation!#REF!,BasicTable5!BQ8:BQ48)</f>
        <v>#REF!</v>
      </c>
      <c r="BR87" s="93" t="e">
        <f t="array" ref="BR87:BR92">MMULT(aggregation!#REF!,BasicTable5!BR8:BR48)</f>
        <v>#REF!</v>
      </c>
      <c r="BS87" s="93" t="e">
        <f t="array" ref="BS87:BS92">MMULT(aggregation!#REF!,BasicTable5!BS8:BS48)</f>
        <v>#REF!</v>
      </c>
      <c r="BT87" s="93" t="e">
        <f t="array" ref="BT87:BT92">MMULT(aggregation!#REF!,BasicTable5!BT8:BT48)</f>
        <v>#REF!</v>
      </c>
      <c r="BU87" s="90" t="str">
        <f t="shared" ref="BU87:BU92" si="82">AW87</f>
        <v>Primary sector and utilities</v>
      </c>
      <c r="BV87" s="39" t="e">
        <f t="shared" ref="BV87:BV92" si="83">IF(BW87&gt;0,((1+(BY87/BW87))^(1/($A$101-$A$100))-1)*100,0)</f>
        <v>#REF!</v>
      </c>
      <c r="BW87" s="93" t="e">
        <f t="array" ref="BW87:BW92">MMULT(aggregation!#REF!,BasicTable5!BW8:BW48)</f>
        <v>#REF!</v>
      </c>
      <c r="BX87" s="93" t="e">
        <f t="array" ref="BX87:BX92">MMULT(aggregation!#REF!,BasicTable5!BX8:BX48)</f>
        <v>#REF!</v>
      </c>
      <c r="BY87" s="93" t="e">
        <f t="array" ref="BY87:BY92">MMULT(aggregation!#REF!,BasicTable5!BY8:BY48)</f>
        <v>#REF!</v>
      </c>
      <c r="BZ87" s="93" t="e">
        <f t="array" ref="BZ87:BZ92">MMULT(aggregation!#REF!,BasicTable5!BZ8:BZ48)</f>
        <v>#REF!</v>
      </c>
      <c r="CB87" s="39" t="e">
        <f t="shared" ref="CB87:CB92" si="84">IF(CC87&gt;0,((1+(CE87/CC87))^(1/($A$101-$A$100))-1)*100,0)</f>
        <v>#REF!</v>
      </c>
      <c r="CC87" s="93" t="e">
        <f t="array" ref="CC87:CC92">MMULT(aggregation!#REF!,BasicTable5!CC8:CC48)</f>
        <v>#REF!</v>
      </c>
      <c r="CD87" s="93" t="e">
        <f t="array" ref="CD87:CD92">MMULT(aggregation!#REF!,BasicTable5!CD8:CD48)</f>
        <v>#REF!</v>
      </c>
      <c r="CE87" s="93" t="e">
        <f t="array" ref="CE87:CE92">MMULT(aggregation!#REF!,BasicTable5!CE8:CE48)</f>
        <v>#REF!</v>
      </c>
      <c r="CF87" s="93" t="e">
        <f t="array" ref="CF87:CF92">MMULT(aggregation!#REF!,BasicTable5!CF8:CF48)</f>
        <v>#REF!</v>
      </c>
      <c r="CH87" s="39" t="e">
        <f t="shared" ref="CH87:CH92" si="85">IF(CI87&gt;0,((1+(CK87/CI87))^(1/($A$101-$A$100))-1)*100,0)</f>
        <v>#REF!</v>
      </c>
      <c r="CI87" s="93" t="e">
        <f t="array" ref="CI87:CI92">MMULT(aggregation!#REF!,BasicTable5!CI8:CI48)</f>
        <v>#REF!</v>
      </c>
      <c r="CJ87" s="93" t="e">
        <f t="array" ref="CJ87:CJ92">MMULT(aggregation!#REF!,BasicTable5!CJ8:CJ48)</f>
        <v>#REF!</v>
      </c>
      <c r="CK87" s="93" t="e">
        <f t="array" ref="CK87:CK92">MMULT(aggregation!#REF!,BasicTable5!CK8:CK48)</f>
        <v>#REF!</v>
      </c>
      <c r="CL87" s="93" t="e">
        <f t="array" ref="CL87:CL92">MMULT(aggregation!#REF!,BasicTable5!CL8:CL48)</f>
        <v>#REF!</v>
      </c>
      <c r="CM87" s="93"/>
      <c r="CN87" s="39" t="e">
        <f t="shared" ref="CN87:CN92" si="86">IF(CO87&gt;0,((1+(CQ87/CO87))^(1/($A$101-$A$100))-1)*100,0)</f>
        <v>#REF!</v>
      </c>
      <c r="CO87" s="93" t="e">
        <f t="array" ref="CO87:CO92">MMULT(aggregation!#REF!,BasicTable5!CO8:CO48)</f>
        <v>#REF!</v>
      </c>
      <c r="CP87" s="93" t="e">
        <f t="array" ref="CP87:CP92">MMULT(aggregation!#REF!,BasicTable5!CP8:CP48)</f>
        <v>#REF!</v>
      </c>
      <c r="CQ87" s="93" t="e">
        <f t="array" ref="CQ87:CQ92">MMULT(aggregation!#REF!,BasicTable5!CQ8:CQ48)</f>
        <v>#REF!</v>
      </c>
      <c r="CR87" s="93" t="e">
        <f t="array" ref="CR87:CR92">MMULT(aggregation!#REF!,BasicTable5!CR8:CR48)</f>
        <v>#REF!</v>
      </c>
      <c r="CS87" s="90" t="str">
        <f t="shared" ref="CS87:CS92" si="87">BU87</f>
        <v>Primary sector and utilities</v>
      </c>
      <c r="CT87" s="39" t="e">
        <f t="shared" ref="CT87:CT92" si="88">IF(CU87&gt;0,((1+(CW87/CU87))^(1/($A$101-$A$100))-1)*100,0)</f>
        <v>#REF!</v>
      </c>
      <c r="CU87" s="93" t="e">
        <f t="array" ref="CU87:CU92">MMULT(aggregation!#REF!,BasicTable5!CU8:CU48)</f>
        <v>#REF!</v>
      </c>
      <c r="CV87" s="93" t="e">
        <f t="array" ref="CV87:CV92">MMULT(aggregation!#REF!,BasicTable5!CV8:CV48)</f>
        <v>#REF!</v>
      </c>
      <c r="CW87" s="93" t="e">
        <f t="array" ref="CW87:CW92">MMULT(aggregation!#REF!,BasicTable5!CW8:CW48)</f>
        <v>#REF!</v>
      </c>
      <c r="CX87" s="93" t="e">
        <f t="array" ref="CX87:CX92">MMULT(aggregation!#REF!,BasicTable5!CX8:CX48)</f>
        <v>#REF!</v>
      </c>
      <c r="CZ87" s="39" t="e">
        <f t="shared" ref="CZ87:CZ92" si="89">IF(DA87&gt;0,((1+(DC87/DA87))^(1/($A$101-$A$100))-1)*100,0)</f>
        <v>#REF!</v>
      </c>
      <c r="DA87" s="93" t="e">
        <f t="array" ref="DA87:DA92">MMULT(aggregation!#REF!,BasicTable5!DA8:DA48)</f>
        <v>#REF!</v>
      </c>
      <c r="DB87" s="93" t="e">
        <f t="array" ref="DB87:DB92">MMULT(aggregation!#REF!,BasicTable5!DB8:DB48)</f>
        <v>#REF!</v>
      </c>
      <c r="DC87" s="93" t="e">
        <f t="array" ref="DC87:DC92">MMULT(aggregation!#REF!,BasicTable5!DC8:DC48)</f>
        <v>#REF!</v>
      </c>
      <c r="DD87" s="93" t="e">
        <f t="array" ref="DD87:DD92">MMULT(aggregation!#REF!,BasicTable5!DD8:DD48)</f>
        <v>#REF!</v>
      </c>
      <c r="DF87" s="39" t="e">
        <f t="shared" ref="DF87:DF92" si="90">IF(DG87&gt;0,((1+(DI87/DG87))^(1/($A$101-$A$100))-1)*100,0)</f>
        <v>#REF!</v>
      </c>
      <c r="DG87" s="93" t="e">
        <f t="array" ref="DG87:DG92">MMULT(aggregation!#REF!,BasicTable5!DG8:DG48)</f>
        <v>#REF!</v>
      </c>
      <c r="DH87" s="93" t="e">
        <f t="array" ref="DH87:DH92">MMULT(aggregation!#REF!,BasicTable5!DH8:DH48)</f>
        <v>#REF!</v>
      </c>
      <c r="DI87" s="93" t="e">
        <f t="array" ref="DI87:DI92">MMULT(aggregation!#REF!,BasicTable5!DI8:DI48)</f>
        <v>#REF!</v>
      </c>
      <c r="DJ87" s="93" t="e">
        <f t="array" ref="DJ87:DJ92">MMULT(aggregation!#REF!,BasicTable5!DJ8:DJ48)</f>
        <v>#REF!</v>
      </c>
      <c r="DK87" s="93"/>
      <c r="DL87" s="39" t="e">
        <f t="shared" ref="DL87:DL92" si="91">IF(DM87&gt;0,((1+(DO87/DM87))^(1/($A$101-$A$100))-1)*100,0)</f>
        <v>#REF!</v>
      </c>
      <c r="DM87" s="93" t="e">
        <f t="array" ref="DM87:DM92">MMULT(aggregation!#REF!,BasicTable5!DM8:DM48)</f>
        <v>#REF!</v>
      </c>
      <c r="DN87" s="93" t="e">
        <f t="array" ref="DN87:DN92">MMULT(aggregation!#REF!,BasicTable5!DN8:DN48)</f>
        <v>#REF!</v>
      </c>
      <c r="DO87" s="93" t="e">
        <f t="array" ref="DO87:DO92">MMULT(aggregation!#REF!,BasicTable5!DO8:DO48)</f>
        <v>#REF!</v>
      </c>
      <c r="DP87" s="93" t="e">
        <f t="array" ref="DP87:DP92">MMULT(aggregation!#REF!,BasicTable5!DP8:DP48)</f>
        <v>#REF!</v>
      </c>
    </row>
    <row r="88" spans="1:120" x14ac:dyDescent="0.2">
      <c r="A88" s="90" t="str">
        <f>name!C5</f>
        <v>Manufacturing</v>
      </c>
      <c r="B88" s="39" t="e">
        <f t="shared" si="68"/>
        <v>#REF!</v>
      </c>
      <c r="C88" s="93" t="e">
        <v>#REF!</v>
      </c>
      <c r="D88" s="93" t="e">
        <v>#REF!</v>
      </c>
      <c r="E88" s="93" t="e">
        <v>#REF!</v>
      </c>
      <c r="F88" s="93" t="e">
        <v>#REF!</v>
      </c>
      <c r="H88" s="39" t="e">
        <f t="shared" si="69"/>
        <v>#REF!</v>
      </c>
      <c r="I88" s="93" t="e">
        <v>#REF!</v>
      </c>
      <c r="J88" s="93" t="e">
        <v>#REF!</v>
      </c>
      <c r="K88" s="93" t="e">
        <v>#REF!</v>
      </c>
      <c r="L88" s="93" t="e">
        <v>#REF!</v>
      </c>
      <c r="N88" s="39" t="e">
        <f t="shared" si="70"/>
        <v>#REF!</v>
      </c>
      <c r="O88" s="93" t="e">
        <v>#REF!</v>
      </c>
      <c r="P88" s="93" t="e">
        <v>#REF!</v>
      </c>
      <c r="Q88" s="93" t="e">
        <v>#REF!</v>
      </c>
      <c r="R88" s="93" t="e">
        <v>#REF!</v>
      </c>
      <c r="S88" s="93"/>
      <c r="T88" s="39" t="e">
        <f t="shared" si="71"/>
        <v>#REF!</v>
      </c>
      <c r="U88" s="93" t="e">
        <v>#REF!</v>
      </c>
      <c r="V88" s="93" t="e">
        <v>#REF!</v>
      </c>
      <c r="W88" s="93" t="e">
        <v>#REF!</v>
      </c>
      <c r="X88" s="93" t="e">
        <v>#REF!</v>
      </c>
      <c r="Y88" s="90" t="str">
        <f t="shared" si="72"/>
        <v>Manufacturing</v>
      </c>
      <c r="Z88" s="39" t="e">
        <f t="shared" si="73"/>
        <v>#REF!</v>
      </c>
      <c r="AA88" s="93" t="e">
        <v>#REF!</v>
      </c>
      <c r="AB88" s="93" t="e">
        <v>#REF!</v>
      </c>
      <c r="AC88" s="93" t="e">
        <v>#REF!</v>
      </c>
      <c r="AD88" s="93" t="e">
        <v>#REF!</v>
      </c>
      <c r="AF88" s="39" t="e">
        <f t="shared" si="74"/>
        <v>#REF!</v>
      </c>
      <c r="AG88" s="93" t="e">
        <v>#REF!</v>
      </c>
      <c r="AH88" s="93" t="e">
        <v>#REF!</v>
      </c>
      <c r="AI88" s="93" t="e">
        <v>#REF!</v>
      </c>
      <c r="AJ88" s="93" t="e">
        <v>#REF!</v>
      </c>
      <c r="AL88" s="39" t="e">
        <f t="shared" si="75"/>
        <v>#REF!</v>
      </c>
      <c r="AM88" s="93" t="e">
        <v>#REF!</v>
      </c>
      <c r="AN88" s="93" t="e">
        <v>#REF!</v>
      </c>
      <c r="AO88" s="93" t="e">
        <v>#REF!</v>
      </c>
      <c r="AP88" s="93" t="e">
        <v>#REF!</v>
      </c>
      <c r="AQ88" s="93"/>
      <c r="AR88" s="39" t="e">
        <f t="shared" si="76"/>
        <v>#REF!</v>
      </c>
      <c r="AS88" s="93" t="e">
        <v>#REF!</v>
      </c>
      <c r="AT88" s="93" t="e">
        <v>#REF!</v>
      </c>
      <c r="AU88" s="93" t="e">
        <v>#REF!</v>
      </c>
      <c r="AV88" s="93" t="e">
        <v>#REF!</v>
      </c>
      <c r="AW88" s="90" t="str">
        <f t="shared" si="77"/>
        <v>Manufacturing</v>
      </c>
      <c r="AX88" s="39" t="e">
        <f t="shared" si="78"/>
        <v>#REF!</v>
      </c>
      <c r="AY88" s="93" t="e">
        <v>#REF!</v>
      </c>
      <c r="AZ88" s="93" t="e">
        <v>#REF!</v>
      </c>
      <c r="BA88" s="93" t="e">
        <v>#REF!</v>
      </c>
      <c r="BB88" s="93" t="e">
        <v>#REF!</v>
      </c>
      <c r="BD88" s="39" t="e">
        <f t="shared" si="79"/>
        <v>#REF!</v>
      </c>
      <c r="BE88" s="93" t="e">
        <v>#REF!</v>
      </c>
      <c r="BF88" s="93" t="e">
        <v>#REF!</v>
      </c>
      <c r="BG88" s="93" t="e">
        <v>#REF!</v>
      </c>
      <c r="BH88" s="93" t="e">
        <v>#REF!</v>
      </c>
      <c r="BJ88" s="39" t="e">
        <f t="shared" si="80"/>
        <v>#REF!</v>
      </c>
      <c r="BK88" s="93" t="e">
        <v>#REF!</v>
      </c>
      <c r="BL88" s="93" t="e">
        <v>#REF!</v>
      </c>
      <c r="BM88" s="93" t="e">
        <v>#REF!</v>
      </c>
      <c r="BN88" s="93" t="e">
        <v>#REF!</v>
      </c>
      <c r="BO88" s="93"/>
      <c r="BP88" s="39" t="e">
        <f t="shared" si="81"/>
        <v>#REF!</v>
      </c>
      <c r="BQ88" s="93" t="e">
        <v>#REF!</v>
      </c>
      <c r="BR88" s="93" t="e">
        <v>#REF!</v>
      </c>
      <c r="BS88" s="93" t="e">
        <v>#REF!</v>
      </c>
      <c r="BT88" s="93" t="e">
        <v>#REF!</v>
      </c>
      <c r="BU88" s="90" t="str">
        <f t="shared" si="82"/>
        <v>Manufacturing</v>
      </c>
      <c r="BV88" s="39" t="e">
        <f t="shared" si="83"/>
        <v>#REF!</v>
      </c>
      <c r="BW88" s="93" t="e">
        <v>#REF!</v>
      </c>
      <c r="BX88" s="93" t="e">
        <v>#REF!</v>
      </c>
      <c r="BY88" s="93" t="e">
        <v>#REF!</v>
      </c>
      <c r="BZ88" s="93" t="e">
        <v>#REF!</v>
      </c>
      <c r="CB88" s="39" t="e">
        <f t="shared" si="84"/>
        <v>#REF!</v>
      </c>
      <c r="CC88" s="93" t="e">
        <v>#REF!</v>
      </c>
      <c r="CD88" s="93" t="e">
        <v>#REF!</v>
      </c>
      <c r="CE88" s="93" t="e">
        <v>#REF!</v>
      </c>
      <c r="CF88" s="93" t="e">
        <v>#REF!</v>
      </c>
      <c r="CH88" s="39" t="e">
        <f t="shared" si="85"/>
        <v>#REF!</v>
      </c>
      <c r="CI88" s="93" t="e">
        <v>#REF!</v>
      </c>
      <c r="CJ88" s="93" t="e">
        <v>#REF!</v>
      </c>
      <c r="CK88" s="93" t="e">
        <v>#REF!</v>
      </c>
      <c r="CL88" s="93" t="e">
        <v>#REF!</v>
      </c>
      <c r="CM88" s="93"/>
      <c r="CN88" s="39" t="e">
        <f t="shared" si="86"/>
        <v>#REF!</v>
      </c>
      <c r="CO88" s="93" t="e">
        <v>#REF!</v>
      </c>
      <c r="CP88" s="93" t="e">
        <v>#REF!</v>
      </c>
      <c r="CQ88" s="93" t="e">
        <v>#REF!</v>
      </c>
      <c r="CR88" s="93" t="e">
        <v>#REF!</v>
      </c>
      <c r="CS88" s="90" t="str">
        <f t="shared" si="87"/>
        <v>Manufacturing</v>
      </c>
      <c r="CT88" s="39" t="e">
        <f t="shared" si="88"/>
        <v>#REF!</v>
      </c>
      <c r="CU88" s="93" t="e">
        <v>#REF!</v>
      </c>
      <c r="CV88" s="93" t="e">
        <v>#REF!</v>
      </c>
      <c r="CW88" s="93" t="e">
        <v>#REF!</v>
      </c>
      <c r="CX88" s="93" t="e">
        <v>#REF!</v>
      </c>
      <c r="CZ88" s="39" t="e">
        <f t="shared" si="89"/>
        <v>#REF!</v>
      </c>
      <c r="DA88" s="93" t="e">
        <v>#REF!</v>
      </c>
      <c r="DB88" s="93" t="e">
        <v>#REF!</v>
      </c>
      <c r="DC88" s="93" t="e">
        <v>#REF!</v>
      </c>
      <c r="DD88" s="93" t="e">
        <v>#REF!</v>
      </c>
      <c r="DF88" s="39" t="e">
        <f t="shared" si="90"/>
        <v>#REF!</v>
      </c>
      <c r="DG88" s="93" t="e">
        <v>#REF!</v>
      </c>
      <c r="DH88" s="93" t="e">
        <v>#REF!</v>
      </c>
      <c r="DI88" s="93" t="e">
        <v>#REF!</v>
      </c>
      <c r="DJ88" s="93" t="e">
        <v>#REF!</v>
      </c>
      <c r="DK88" s="93"/>
      <c r="DL88" s="39" t="e">
        <f t="shared" si="91"/>
        <v>#REF!</v>
      </c>
      <c r="DM88" s="93" t="e">
        <v>#REF!</v>
      </c>
      <c r="DN88" s="93" t="e">
        <v>#REF!</v>
      </c>
      <c r="DO88" s="93" t="e">
        <v>#REF!</v>
      </c>
      <c r="DP88" s="93" t="e">
        <v>#REF!</v>
      </c>
    </row>
    <row r="89" spans="1:120" x14ac:dyDescent="0.2">
      <c r="A89" s="90" t="str">
        <f>name!C6</f>
        <v>Construction</v>
      </c>
      <c r="B89" s="39" t="e">
        <f t="shared" si="68"/>
        <v>#REF!</v>
      </c>
      <c r="C89" s="93" t="e">
        <v>#REF!</v>
      </c>
      <c r="D89" s="93" t="e">
        <v>#REF!</v>
      </c>
      <c r="E89" s="93" t="e">
        <v>#REF!</v>
      </c>
      <c r="F89" s="93" t="e">
        <v>#REF!</v>
      </c>
      <c r="H89" s="39" t="e">
        <f t="shared" si="69"/>
        <v>#REF!</v>
      </c>
      <c r="I89" s="93" t="e">
        <v>#REF!</v>
      </c>
      <c r="J89" s="93" t="e">
        <v>#REF!</v>
      </c>
      <c r="K89" s="93" t="e">
        <v>#REF!</v>
      </c>
      <c r="L89" s="93" t="e">
        <v>#REF!</v>
      </c>
      <c r="N89" s="39" t="e">
        <f t="shared" si="70"/>
        <v>#REF!</v>
      </c>
      <c r="O89" s="93" t="e">
        <v>#REF!</v>
      </c>
      <c r="P89" s="93" t="e">
        <v>#REF!</v>
      </c>
      <c r="Q89" s="93" t="e">
        <v>#REF!</v>
      </c>
      <c r="R89" s="93" t="e">
        <v>#REF!</v>
      </c>
      <c r="S89" s="93"/>
      <c r="T89" s="39" t="e">
        <f t="shared" si="71"/>
        <v>#REF!</v>
      </c>
      <c r="U89" s="93" t="e">
        <v>#REF!</v>
      </c>
      <c r="V89" s="93" t="e">
        <v>#REF!</v>
      </c>
      <c r="W89" s="93" t="e">
        <v>#REF!</v>
      </c>
      <c r="X89" s="93" t="e">
        <v>#REF!</v>
      </c>
      <c r="Y89" s="90" t="str">
        <f t="shared" si="72"/>
        <v>Construction</v>
      </c>
      <c r="Z89" s="39" t="e">
        <f t="shared" si="73"/>
        <v>#REF!</v>
      </c>
      <c r="AA89" s="93" t="e">
        <v>#REF!</v>
      </c>
      <c r="AB89" s="93" t="e">
        <v>#REF!</v>
      </c>
      <c r="AC89" s="93" t="e">
        <v>#REF!</v>
      </c>
      <c r="AD89" s="93" t="e">
        <v>#REF!</v>
      </c>
      <c r="AF89" s="39" t="e">
        <f t="shared" si="74"/>
        <v>#REF!</v>
      </c>
      <c r="AG89" s="93" t="e">
        <v>#REF!</v>
      </c>
      <c r="AH89" s="93" t="e">
        <v>#REF!</v>
      </c>
      <c r="AI89" s="93" t="e">
        <v>#REF!</v>
      </c>
      <c r="AJ89" s="93" t="e">
        <v>#REF!</v>
      </c>
      <c r="AL89" s="39" t="e">
        <f t="shared" si="75"/>
        <v>#REF!</v>
      </c>
      <c r="AM89" s="93" t="e">
        <v>#REF!</v>
      </c>
      <c r="AN89" s="93" t="e">
        <v>#REF!</v>
      </c>
      <c r="AO89" s="93" t="e">
        <v>#REF!</v>
      </c>
      <c r="AP89" s="93" t="e">
        <v>#REF!</v>
      </c>
      <c r="AQ89" s="93"/>
      <c r="AR89" s="39" t="e">
        <f t="shared" si="76"/>
        <v>#REF!</v>
      </c>
      <c r="AS89" s="93" t="e">
        <v>#REF!</v>
      </c>
      <c r="AT89" s="93" t="e">
        <v>#REF!</v>
      </c>
      <c r="AU89" s="93" t="e">
        <v>#REF!</v>
      </c>
      <c r="AV89" s="93" t="e">
        <v>#REF!</v>
      </c>
      <c r="AW89" s="90" t="str">
        <f t="shared" si="77"/>
        <v>Construction</v>
      </c>
      <c r="AX89" s="39" t="e">
        <f t="shared" si="78"/>
        <v>#REF!</v>
      </c>
      <c r="AY89" s="93" t="e">
        <v>#REF!</v>
      </c>
      <c r="AZ89" s="93" t="e">
        <v>#REF!</v>
      </c>
      <c r="BA89" s="93" t="e">
        <v>#REF!</v>
      </c>
      <c r="BB89" s="93" t="e">
        <v>#REF!</v>
      </c>
      <c r="BD89" s="39" t="e">
        <f t="shared" si="79"/>
        <v>#REF!</v>
      </c>
      <c r="BE89" s="93" t="e">
        <v>#REF!</v>
      </c>
      <c r="BF89" s="93" t="e">
        <v>#REF!</v>
      </c>
      <c r="BG89" s="93" t="e">
        <v>#REF!</v>
      </c>
      <c r="BH89" s="93" t="e">
        <v>#REF!</v>
      </c>
      <c r="BJ89" s="39" t="e">
        <f t="shared" si="80"/>
        <v>#REF!</v>
      </c>
      <c r="BK89" s="93" t="e">
        <v>#REF!</v>
      </c>
      <c r="BL89" s="93" t="e">
        <v>#REF!</v>
      </c>
      <c r="BM89" s="93" t="e">
        <v>#REF!</v>
      </c>
      <c r="BN89" s="93" t="e">
        <v>#REF!</v>
      </c>
      <c r="BO89" s="93"/>
      <c r="BP89" s="39" t="e">
        <f t="shared" si="81"/>
        <v>#REF!</v>
      </c>
      <c r="BQ89" s="93" t="e">
        <v>#REF!</v>
      </c>
      <c r="BR89" s="93" t="e">
        <v>#REF!</v>
      </c>
      <c r="BS89" s="93" t="e">
        <v>#REF!</v>
      </c>
      <c r="BT89" s="93" t="e">
        <v>#REF!</v>
      </c>
      <c r="BU89" s="90" t="str">
        <f t="shared" si="82"/>
        <v>Construction</v>
      </c>
      <c r="BV89" s="39" t="e">
        <f t="shared" si="83"/>
        <v>#REF!</v>
      </c>
      <c r="BW89" s="93" t="e">
        <v>#REF!</v>
      </c>
      <c r="BX89" s="93" t="e">
        <v>#REF!</v>
      </c>
      <c r="BY89" s="93" t="e">
        <v>#REF!</v>
      </c>
      <c r="BZ89" s="93" t="e">
        <v>#REF!</v>
      </c>
      <c r="CB89" s="39" t="e">
        <f t="shared" si="84"/>
        <v>#REF!</v>
      </c>
      <c r="CC89" s="93" t="e">
        <v>#REF!</v>
      </c>
      <c r="CD89" s="93" t="e">
        <v>#REF!</v>
      </c>
      <c r="CE89" s="93" t="e">
        <v>#REF!</v>
      </c>
      <c r="CF89" s="93" t="e">
        <v>#REF!</v>
      </c>
      <c r="CH89" s="39" t="e">
        <f t="shared" si="85"/>
        <v>#REF!</v>
      </c>
      <c r="CI89" s="93" t="e">
        <v>#REF!</v>
      </c>
      <c r="CJ89" s="93" t="e">
        <v>#REF!</v>
      </c>
      <c r="CK89" s="93" t="e">
        <v>#REF!</v>
      </c>
      <c r="CL89" s="93" t="e">
        <v>#REF!</v>
      </c>
      <c r="CM89" s="93"/>
      <c r="CN89" s="39" t="e">
        <f t="shared" si="86"/>
        <v>#REF!</v>
      </c>
      <c r="CO89" s="93" t="e">
        <v>#REF!</v>
      </c>
      <c r="CP89" s="93" t="e">
        <v>#REF!</v>
      </c>
      <c r="CQ89" s="93" t="e">
        <v>#REF!</v>
      </c>
      <c r="CR89" s="93" t="e">
        <v>#REF!</v>
      </c>
      <c r="CS89" s="90" t="str">
        <f t="shared" si="87"/>
        <v>Construction</v>
      </c>
      <c r="CT89" s="39" t="e">
        <f t="shared" si="88"/>
        <v>#REF!</v>
      </c>
      <c r="CU89" s="93" t="e">
        <v>#REF!</v>
      </c>
      <c r="CV89" s="93" t="e">
        <v>#REF!</v>
      </c>
      <c r="CW89" s="93" t="e">
        <v>#REF!</v>
      </c>
      <c r="CX89" s="93" t="e">
        <v>#REF!</v>
      </c>
      <c r="CZ89" s="39" t="e">
        <f t="shared" si="89"/>
        <v>#REF!</v>
      </c>
      <c r="DA89" s="93" t="e">
        <v>#REF!</v>
      </c>
      <c r="DB89" s="93" t="e">
        <v>#REF!</v>
      </c>
      <c r="DC89" s="93" t="e">
        <v>#REF!</v>
      </c>
      <c r="DD89" s="93" t="e">
        <v>#REF!</v>
      </c>
      <c r="DF89" s="39" t="e">
        <f t="shared" si="90"/>
        <v>#REF!</v>
      </c>
      <c r="DG89" s="93" t="e">
        <v>#REF!</v>
      </c>
      <c r="DH89" s="93" t="e">
        <v>#REF!</v>
      </c>
      <c r="DI89" s="93" t="e">
        <v>#REF!</v>
      </c>
      <c r="DJ89" s="93" t="e">
        <v>#REF!</v>
      </c>
      <c r="DK89" s="93"/>
      <c r="DL89" s="39" t="e">
        <f t="shared" si="91"/>
        <v>#REF!</v>
      </c>
      <c r="DM89" s="93" t="e">
        <v>#REF!</v>
      </c>
      <c r="DN89" s="93" t="e">
        <v>#REF!</v>
      </c>
      <c r="DO89" s="93" t="e">
        <v>#REF!</v>
      </c>
      <c r="DP89" s="93" t="e">
        <v>#REF!</v>
      </c>
    </row>
    <row r="90" spans="1:120" x14ac:dyDescent="0.2">
      <c r="A90" s="90" t="str">
        <f>name!C7</f>
        <v>Trade, accomod. and transport</v>
      </c>
      <c r="B90" s="39" t="e">
        <f t="shared" si="68"/>
        <v>#REF!</v>
      </c>
      <c r="C90" s="93" t="e">
        <v>#REF!</v>
      </c>
      <c r="D90" s="93" t="e">
        <v>#REF!</v>
      </c>
      <c r="E90" s="93" t="e">
        <v>#REF!</v>
      </c>
      <c r="F90" s="93" t="e">
        <v>#REF!</v>
      </c>
      <c r="H90" s="39" t="e">
        <f t="shared" si="69"/>
        <v>#REF!</v>
      </c>
      <c r="I90" s="93" t="e">
        <v>#REF!</v>
      </c>
      <c r="J90" s="93" t="e">
        <v>#REF!</v>
      </c>
      <c r="K90" s="93" t="e">
        <v>#REF!</v>
      </c>
      <c r="L90" s="93" t="e">
        <v>#REF!</v>
      </c>
      <c r="N90" s="39" t="e">
        <f t="shared" si="70"/>
        <v>#REF!</v>
      </c>
      <c r="O90" s="93" t="e">
        <v>#REF!</v>
      </c>
      <c r="P90" s="93" t="e">
        <v>#REF!</v>
      </c>
      <c r="Q90" s="93" t="e">
        <v>#REF!</v>
      </c>
      <c r="R90" s="93" t="e">
        <v>#REF!</v>
      </c>
      <c r="S90" s="93"/>
      <c r="T90" s="39" t="e">
        <f t="shared" si="71"/>
        <v>#REF!</v>
      </c>
      <c r="U90" s="93" t="e">
        <v>#REF!</v>
      </c>
      <c r="V90" s="93" t="e">
        <v>#REF!</v>
      </c>
      <c r="W90" s="93" t="e">
        <v>#REF!</v>
      </c>
      <c r="X90" s="93" t="e">
        <v>#REF!</v>
      </c>
      <c r="Y90" s="90" t="str">
        <f t="shared" si="72"/>
        <v>Trade, accomod. and transport</v>
      </c>
      <c r="Z90" s="39" t="e">
        <f t="shared" si="73"/>
        <v>#REF!</v>
      </c>
      <c r="AA90" s="93" t="e">
        <v>#REF!</v>
      </c>
      <c r="AB90" s="93" t="e">
        <v>#REF!</v>
      </c>
      <c r="AC90" s="93" t="e">
        <v>#REF!</v>
      </c>
      <c r="AD90" s="93" t="e">
        <v>#REF!</v>
      </c>
      <c r="AF90" s="39" t="e">
        <f t="shared" si="74"/>
        <v>#REF!</v>
      </c>
      <c r="AG90" s="93" t="e">
        <v>#REF!</v>
      </c>
      <c r="AH90" s="93" t="e">
        <v>#REF!</v>
      </c>
      <c r="AI90" s="93" t="e">
        <v>#REF!</v>
      </c>
      <c r="AJ90" s="93" t="e">
        <v>#REF!</v>
      </c>
      <c r="AL90" s="39" t="e">
        <f t="shared" si="75"/>
        <v>#REF!</v>
      </c>
      <c r="AM90" s="93" t="e">
        <v>#REF!</v>
      </c>
      <c r="AN90" s="93" t="e">
        <v>#REF!</v>
      </c>
      <c r="AO90" s="93" t="e">
        <v>#REF!</v>
      </c>
      <c r="AP90" s="93" t="e">
        <v>#REF!</v>
      </c>
      <c r="AQ90" s="93"/>
      <c r="AR90" s="39" t="e">
        <f t="shared" si="76"/>
        <v>#REF!</v>
      </c>
      <c r="AS90" s="93" t="e">
        <v>#REF!</v>
      </c>
      <c r="AT90" s="93" t="e">
        <v>#REF!</v>
      </c>
      <c r="AU90" s="93" t="e">
        <v>#REF!</v>
      </c>
      <c r="AV90" s="93" t="e">
        <v>#REF!</v>
      </c>
      <c r="AW90" s="90" t="str">
        <f t="shared" si="77"/>
        <v>Trade, accomod. and transport</v>
      </c>
      <c r="AX90" s="39" t="e">
        <f t="shared" si="78"/>
        <v>#REF!</v>
      </c>
      <c r="AY90" s="93" t="e">
        <v>#REF!</v>
      </c>
      <c r="AZ90" s="93" t="e">
        <v>#REF!</v>
      </c>
      <c r="BA90" s="93" t="e">
        <v>#REF!</v>
      </c>
      <c r="BB90" s="93" t="e">
        <v>#REF!</v>
      </c>
      <c r="BD90" s="39" t="e">
        <f t="shared" si="79"/>
        <v>#REF!</v>
      </c>
      <c r="BE90" s="93" t="e">
        <v>#REF!</v>
      </c>
      <c r="BF90" s="93" t="e">
        <v>#REF!</v>
      </c>
      <c r="BG90" s="93" t="e">
        <v>#REF!</v>
      </c>
      <c r="BH90" s="93" t="e">
        <v>#REF!</v>
      </c>
      <c r="BJ90" s="39" t="e">
        <f t="shared" si="80"/>
        <v>#REF!</v>
      </c>
      <c r="BK90" s="93" t="e">
        <v>#REF!</v>
      </c>
      <c r="BL90" s="93" t="e">
        <v>#REF!</v>
      </c>
      <c r="BM90" s="93" t="e">
        <v>#REF!</v>
      </c>
      <c r="BN90" s="93" t="e">
        <v>#REF!</v>
      </c>
      <c r="BO90" s="93"/>
      <c r="BP90" s="39" t="e">
        <f t="shared" si="81"/>
        <v>#REF!</v>
      </c>
      <c r="BQ90" s="93" t="e">
        <v>#REF!</v>
      </c>
      <c r="BR90" s="93" t="e">
        <v>#REF!</v>
      </c>
      <c r="BS90" s="93" t="e">
        <v>#REF!</v>
      </c>
      <c r="BT90" s="93" t="e">
        <v>#REF!</v>
      </c>
      <c r="BU90" s="90" t="str">
        <f t="shared" si="82"/>
        <v>Trade, accomod. and transport</v>
      </c>
      <c r="BV90" s="39" t="e">
        <f t="shared" si="83"/>
        <v>#REF!</v>
      </c>
      <c r="BW90" s="93" t="e">
        <v>#REF!</v>
      </c>
      <c r="BX90" s="93" t="e">
        <v>#REF!</v>
      </c>
      <c r="BY90" s="93" t="e">
        <v>#REF!</v>
      </c>
      <c r="BZ90" s="93" t="e">
        <v>#REF!</v>
      </c>
      <c r="CB90" s="39" t="e">
        <f t="shared" si="84"/>
        <v>#REF!</v>
      </c>
      <c r="CC90" s="93" t="e">
        <v>#REF!</v>
      </c>
      <c r="CD90" s="93" t="e">
        <v>#REF!</v>
      </c>
      <c r="CE90" s="93" t="e">
        <v>#REF!</v>
      </c>
      <c r="CF90" s="93" t="e">
        <v>#REF!</v>
      </c>
      <c r="CH90" s="39" t="e">
        <f t="shared" si="85"/>
        <v>#REF!</v>
      </c>
      <c r="CI90" s="93" t="e">
        <v>#REF!</v>
      </c>
      <c r="CJ90" s="93" t="e">
        <v>#REF!</v>
      </c>
      <c r="CK90" s="93" t="e">
        <v>#REF!</v>
      </c>
      <c r="CL90" s="93" t="e">
        <v>#REF!</v>
      </c>
      <c r="CM90" s="93"/>
      <c r="CN90" s="39" t="e">
        <f t="shared" si="86"/>
        <v>#REF!</v>
      </c>
      <c r="CO90" s="93" t="e">
        <v>#REF!</v>
      </c>
      <c r="CP90" s="93" t="e">
        <v>#REF!</v>
      </c>
      <c r="CQ90" s="93" t="e">
        <v>#REF!</v>
      </c>
      <c r="CR90" s="93" t="e">
        <v>#REF!</v>
      </c>
      <c r="CS90" s="90" t="str">
        <f t="shared" si="87"/>
        <v>Trade, accomod. and transport</v>
      </c>
      <c r="CT90" s="39" t="e">
        <f t="shared" si="88"/>
        <v>#REF!</v>
      </c>
      <c r="CU90" s="93" t="e">
        <v>#REF!</v>
      </c>
      <c r="CV90" s="93" t="e">
        <v>#REF!</v>
      </c>
      <c r="CW90" s="93" t="e">
        <v>#REF!</v>
      </c>
      <c r="CX90" s="93" t="e">
        <v>#REF!</v>
      </c>
      <c r="CZ90" s="39" t="e">
        <f t="shared" si="89"/>
        <v>#REF!</v>
      </c>
      <c r="DA90" s="93" t="e">
        <v>#REF!</v>
      </c>
      <c r="DB90" s="93" t="e">
        <v>#REF!</v>
      </c>
      <c r="DC90" s="93" t="e">
        <v>#REF!</v>
      </c>
      <c r="DD90" s="93" t="e">
        <v>#REF!</v>
      </c>
      <c r="DF90" s="39" t="e">
        <f t="shared" si="90"/>
        <v>#REF!</v>
      </c>
      <c r="DG90" s="93" t="e">
        <v>#REF!</v>
      </c>
      <c r="DH90" s="93" t="e">
        <v>#REF!</v>
      </c>
      <c r="DI90" s="93" t="e">
        <v>#REF!</v>
      </c>
      <c r="DJ90" s="93" t="e">
        <v>#REF!</v>
      </c>
      <c r="DK90" s="93"/>
      <c r="DL90" s="39" t="e">
        <f t="shared" si="91"/>
        <v>#REF!</v>
      </c>
      <c r="DM90" s="93" t="e">
        <v>#REF!</v>
      </c>
      <c r="DN90" s="93" t="e">
        <v>#REF!</v>
      </c>
      <c r="DO90" s="93" t="e">
        <v>#REF!</v>
      </c>
      <c r="DP90" s="93" t="e">
        <v>#REF!</v>
      </c>
    </row>
    <row r="91" spans="1:120" x14ac:dyDescent="0.2">
      <c r="A91" s="90" t="str">
        <f>name!C8</f>
        <v>Business and other services</v>
      </c>
      <c r="B91" s="39" t="e">
        <f t="shared" si="68"/>
        <v>#REF!</v>
      </c>
      <c r="C91" s="93" t="e">
        <v>#REF!</v>
      </c>
      <c r="D91" s="93" t="e">
        <v>#REF!</v>
      </c>
      <c r="E91" s="93" t="e">
        <v>#REF!</v>
      </c>
      <c r="F91" s="93" t="e">
        <v>#REF!</v>
      </c>
      <c r="H91" s="39" t="e">
        <f t="shared" si="69"/>
        <v>#REF!</v>
      </c>
      <c r="I91" s="93" t="e">
        <v>#REF!</v>
      </c>
      <c r="J91" s="93" t="e">
        <v>#REF!</v>
      </c>
      <c r="K91" s="93" t="e">
        <v>#REF!</v>
      </c>
      <c r="L91" s="93" t="e">
        <v>#REF!</v>
      </c>
      <c r="N91" s="39" t="e">
        <f t="shared" si="70"/>
        <v>#REF!</v>
      </c>
      <c r="O91" s="93" t="e">
        <v>#REF!</v>
      </c>
      <c r="P91" s="93" t="e">
        <v>#REF!</v>
      </c>
      <c r="Q91" s="93" t="e">
        <v>#REF!</v>
      </c>
      <c r="R91" s="93" t="e">
        <v>#REF!</v>
      </c>
      <c r="S91" s="93"/>
      <c r="T91" s="39" t="e">
        <f t="shared" si="71"/>
        <v>#REF!</v>
      </c>
      <c r="U91" s="93" t="e">
        <v>#REF!</v>
      </c>
      <c r="V91" s="93" t="e">
        <v>#REF!</v>
      </c>
      <c r="W91" s="93" t="e">
        <v>#REF!</v>
      </c>
      <c r="X91" s="93" t="e">
        <v>#REF!</v>
      </c>
      <c r="Y91" s="90" t="str">
        <f t="shared" si="72"/>
        <v>Business and other services</v>
      </c>
      <c r="Z91" s="39" t="e">
        <f t="shared" si="73"/>
        <v>#REF!</v>
      </c>
      <c r="AA91" s="93" t="e">
        <v>#REF!</v>
      </c>
      <c r="AB91" s="93" t="e">
        <v>#REF!</v>
      </c>
      <c r="AC91" s="93" t="e">
        <v>#REF!</v>
      </c>
      <c r="AD91" s="93" t="e">
        <v>#REF!</v>
      </c>
      <c r="AF91" s="39" t="e">
        <f t="shared" si="74"/>
        <v>#REF!</v>
      </c>
      <c r="AG91" s="93" t="e">
        <v>#REF!</v>
      </c>
      <c r="AH91" s="93" t="e">
        <v>#REF!</v>
      </c>
      <c r="AI91" s="93" t="e">
        <v>#REF!</v>
      </c>
      <c r="AJ91" s="93" t="e">
        <v>#REF!</v>
      </c>
      <c r="AL91" s="39" t="e">
        <f t="shared" si="75"/>
        <v>#REF!</v>
      </c>
      <c r="AM91" s="93" t="e">
        <v>#REF!</v>
      </c>
      <c r="AN91" s="93" t="e">
        <v>#REF!</v>
      </c>
      <c r="AO91" s="93" t="e">
        <v>#REF!</v>
      </c>
      <c r="AP91" s="93" t="e">
        <v>#REF!</v>
      </c>
      <c r="AQ91" s="93"/>
      <c r="AR91" s="39" t="e">
        <f t="shared" si="76"/>
        <v>#REF!</v>
      </c>
      <c r="AS91" s="93" t="e">
        <v>#REF!</v>
      </c>
      <c r="AT91" s="93" t="e">
        <v>#REF!</v>
      </c>
      <c r="AU91" s="93" t="e">
        <v>#REF!</v>
      </c>
      <c r="AV91" s="93" t="e">
        <v>#REF!</v>
      </c>
      <c r="AW91" s="90" t="str">
        <f t="shared" si="77"/>
        <v>Business and other services</v>
      </c>
      <c r="AX91" s="39" t="e">
        <f t="shared" si="78"/>
        <v>#REF!</v>
      </c>
      <c r="AY91" s="93" t="e">
        <v>#REF!</v>
      </c>
      <c r="AZ91" s="93" t="e">
        <v>#REF!</v>
      </c>
      <c r="BA91" s="93" t="e">
        <v>#REF!</v>
      </c>
      <c r="BB91" s="93" t="e">
        <v>#REF!</v>
      </c>
      <c r="BD91" s="39" t="e">
        <f t="shared" si="79"/>
        <v>#REF!</v>
      </c>
      <c r="BE91" s="93" t="e">
        <v>#REF!</v>
      </c>
      <c r="BF91" s="93" t="e">
        <v>#REF!</v>
      </c>
      <c r="BG91" s="93" t="e">
        <v>#REF!</v>
      </c>
      <c r="BH91" s="93" t="e">
        <v>#REF!</v>
      </c>
      <c r="BJ91" s="39" t="e">
        <f t="shared" si="80"/>
        <v>#REF!</v>
      </c>
      <c r="BK91" s="93" t="e">
        <v>#REF!</v>
      </c>
      <c r="BL91" s="93" t="e">
        <v>#REF!</v>
      </c>
      <c r="BM91" s="93" t="e">
        <v>#REF!</v>
      </c>
      <c r="BN91" s="93" t="e">
        <v>#REF!</v>
      </c>
      <c r="BO91" s="93"/>
      <c r="BP91" s="39" t="e">
        <f t="shared" si="81"/>
        <v>#REF!</v>
      </c>
      <c r="BQ91" s="93" t="e">
        <v>#REF!</v>
      </c>
      <c r="BR91" s="93" t="e">
        <v>#REF!</v>
      </c>
      <c r="BS91" s="93" t="e">
        <v>#REF!</v>
      </c>
      <c r="BT91" s="93" t="e">
        <v>#REF!</v>
      </c>
      <c r="BU91" s="90" t="str">
        <f t="shared" si="82"/>
        <v>Business and other services</v>
      </c>
      <c r="BV91" s="39" t="e">
        <f t="shared" si="83"/>
        <v>#REF!</v>
      </c>
      <c r="BW91" s="93" t="e">
        <v>#REF!</v>
      </c>
      <c r="BX91" s="93" t="e">
        <v>#REF!</v>
      </c>
      <c r="BY91" s="93" t="e">
        <v>#REF!</v>
      </c>
      <c r="BZ91" s="93" t="e">
        <v>#REF!</v>
      </c>
      <c r="CB91" s="39" t="e">
        <f t="shared" si="84"/>
        <v>#REF!</v>
      </c>
      <c r="CC91" s="93" t="e">
        <v>#REF!</v>
      </c>
      <c r="CD91" s="93" t="e">
        <v>#REF!</v>
      </c>
      <c r="CE91" s="93" t="e">
        <v>#REF!</v>
      </c>
      <c r="CF91" s="93" t="e">
        <v>#REF!</v>
      </c>
      <c r="CH91" s="39" t="e">
        <f t="shared" si="85"/>
        <v>#REF!</v>
      </c>
      <c r="CI91" s="93" t="e">
        <v>#REF!</v>
      </c>
      <c r="CJ91" s="93" t="e">
        <v>#REF!</v>
      </c>
      <c r="CK91" s="93" t="e">
        <v>#REF!</v>
      </c>
      <c r="CL91" s="93" t="e">
        <v>#REF!</v>
      </c>
      <c r="CM91" s="93"/>
      <c r="CN91" s="39" t="e">
        <f t="shared" si="86"/>
        <v>#REF!</v>
      </c>
      <c r="CO91" s="93" t="e">
        <v>#REF!</v>
      </c>
      <c r="CP91" s="93" t="e">
        <v>#REF!</v>
      </c>
      <c r="CQ91" s="93" t="e">
        <v>#REF!</v>
      </c>
      <c r="CR91" s="93" t="e">
        <v>#REF!</v>
      </c>
      <c r="CS91" s="90" t="str">
        <f t="shared" si="87"/>
        <v>Business and other services</v>
      </c>
      <c r="CT91" s="39" t="e">
        <f t="shared" si="88"/>
        <v>#REF!</v>
      </c>
      <c r="CU91" s="93" t="e">
        <v>#REF!</v>
      </c>
      <c r="CV91" s="93" t="e">
        <v>#REF!</v>
      </c>
      <c r="CW91" s="93" t="e">
        <v>#REF!</v>
      </c>
      <c r="CX91" s="93" t="e">
        <v>#REF!</v>
      </c>
      <c r="CZ91" s="39" t="e">
        <f t="shared" si="89"/>
        <v>#REF!</v>
      </c>
      <c r="DA91" s="93" t="e">
        <v>#REF!</v>
      </c>
      <c r="DB91" s="93" t="e">
        <v>#REF!</v>
      </c>
      <c r="DC91" s="93" t="e">
        <v>#REF!</v>
      </c>
      <c r="DD91" s="93" t="e">
        <v>#REF!</v>
      </c>
      <c r="DF91" s="39" t="e">
        <f t="shared" si="90"/>
        <v>#REF!</v>
      </c>
      <c r="DG91" s="93" t="e">
        <v>#REF!</v>
      </c>
      <c r="DH91" s="93" t="e">
        <v>#REF!</v>
      </c>
      <c r="DI91" s="93" t="e">
        <v>#REF!</v>
      </c>
      <c r="DJ91" s="93" t="e">
        <v>#REF!</v>
      </c>
      <c r="DK91" s="93"/>
      <c r="DL91" s="39" t="e">
        <f t="shared" si="91"/>
        <v>#REF!</v>
      </c>
      <c r="DM91" s="93" t="e">
        <v>#REF!</v>
      </c>
      <c r="DN91" s="93" t="e">
        <v>#REF!</v>
      </c>
      <c r="DO91" s="93" t="e">
        <v>#REF!</v>
      </c>
      <c r="DP91" s="93" t="e">
        <v>#REF!</v>
      </c>
    </row>
    <row r="92" spans="1:120" x14ac:dyDescent="0.2">
      <c r="A92" s="90" t="str">
        <f>name!C9</f>
        <v>Non-marketed services</v>
      </c>
      <c r="B92" s="39" t="e">
        <f t="shared" si="68"/>
        <v>#REF!</v>
      </c>
      <c r="C92" s="93" t="e">
        <v>#REF!</v>
      </c>
      <c r="D92" s="93" t="e">
        <v>#REF!</v>
      </c>
      <c r="E92" s="93" t="e">
        <v>#REF!</v>
      </c>
      <c r="F92" s="93" t="e">
        <v>#REF!</v>
      </c>
      <c r="H92" s="39" t="e">
        <f t="shared" si="69"/>
        <v>#REF!</v>
      </c>
      <c r="I92" s="93" t="e">
        <v>#REF!</v>
      </c>
      <c r="J92" s="93" t="e">
        <v>#REF!</v>
      </c>
      <c r="K92" s="93" t="e">
        <v>#REF!</v>
      </c>
      <c r="L92" s="93" t="e">
        <v>#REF!</v>
      </c>
      <c r="N92" s="39" t="e">
        <f t="shared" si="70"/>
        <v>#REF!</v>
      </c>
      <c r="O92" s="93" t="e">
        <v>#REF!</v>
      </c>
      <c r="P92" s="93" t="e">
        <v>#REF!</v>
      </c>
      <c r="Q92" s="93" t="e">
        <v>#REF!</v>
      </c>
      <c r="R92" s="93" t="e">
        <v>#REF!</v>
      </c>
      <c r="S92" s="93"/>
      <c r="T92" s="39" t="e">
        <f t="shared" si="71"/>
        <v>#REF!</v>
      </c>
      <c r="U92" s="93" t="e">
        <v>#REF!</v>
      </c>
      <c r="V92" s="93" t="e">
        <v>#REF!</v>
      </c>
      <c r="W92" s="93" t="e">
        <v>#REF!</v>
      </c>
      <c r="X92" s="93" t="e">
        <v>#REF!</v>
      </c>
      <c r="Y92" s="90" t="str">
        <f t="shared" si="72"/>
        <v>Non-marketed services</v>
      </c>
      <c r="Z92" s="39" t="e">
        <f t="shared" si="73"/>
        <v>#REF!</v>
      </c>
      <c r="AA92" s="93" t="e">
        <v>#REF!</v>
      </c>
      <c r="AB92" s="93" t="e">
        <v>#REF!</v>
      </c>
      <c r="AC92" s="93" t="e">
        <v>#REF!</v>
      </c>
      <c r="AD92" s="93" t="e">
        <v>#REF!</v>
      </c>
      <c r="AF92" s="39" t="e">
        <f t="shared" si="74"/>
        <v>#REF!</v>
      </c>
      <c r="AG92" s="93" t="e">
        <v>#REF!</v>
      </c>
      <c r="AH92" s="93" t="e">
        <v>#REF!</v>
      </c>
      <c r="AI92" s="93" t="e">
        <v>#REF!</v>
      </c>
      <c r="AJ92" s="93" t="e">
        <v>#REF!</v>
      </c>
      <c r="AL92" s="39" t="e">
        <f t="shared" si="75"/>
        <v>#REF!</v>
      </c>
      <c r="AM92" s="93" t="e">
        <v>#REF!</v>
      </c>
      <c r="AN92" s="93" t="e">
        <v>#REF!</v>
      </c>
      <c r="AO92" s="93" t="e">
        <v>#REF!</v>
      </c>
      <c r="AP92" s="93" t="e">
        <v>#REF!</v>
      </c>
      <c r="AQ92" s="93"/>
      <c r="AR92" s="39" t="e">
        <f t="shared" si="76"/>
        <v>#REF!</v>
      </c>
      <c r="AS92" s="93" t="e">
        <v>#REF!</v>
      </c>
      <c r="AT92" s="93" t="e">
        <v>#REF!</v>
      </c>
      <c r="AU92" s="93" t="e">
        <v>#REF!</v>
      </c>
      <c r="AV92" s="93" t="e">
        <v>#REF!</v>
      </c>
      <c r="AW92" s="90" t="str">
        <f t="shared" si="77"/>
        <v>Non-marketed services</v>
      </c>
      <c r="AX92" s="39" t="e">
        <f t="shared" si="78"/>
        <v>#REF!</v>
      </c>
      <c r="AY92" s="93" t="e">
        <v>#REF!</v>
      </c>
      <c r="AZ92" s="93" t="e">
        <v>#REF!</v>
      </c>
      <c r="BA92" s="93" t="e">
        <v>#REF!</v>
      </c>
      <c r="BB92" s="93" t="e">
        <v>#REF!</v>
      </c>
      <c r="BD92" s="39" t="e">
        <f t="shared" si="79"/>
        <v>#REF!</v>
      </c>
      <c r="BE92" s="93" t="e">
        <v>#REF!</v>
      </c>
      <c r="BF92" s="93" t="e">
        <v>#REF!</v>
      </c>
      <c r="BG92" s="93" t="e">
        <v>#REF!</v>
      </c>
      <c r="BH92" s="93" t="e">
        <v>#REF!</v>
      </c>
      <c r="BJ92" s="39" t="e">
        <f t="shared" si="80"/>
        <v>#REF!</v>
      </c>
      <c r="BK92" s="93" t="e">
        <v>#REF!</v>
      </c>
      <c r="BL92" s="93" t="e">
        <v>#REF!</v>
      </c>
      <c r="BM92" s="93" t="e">
        <v>#REF!</v>
      </c>
      <c r="BN92" s="93" t="e">
        <v>#REF!</v>
      </c>
      <c r="BO92" s="93"/>
      <c r="BP92" s="39" t="e">
        <f t="shared" si="81"/>
        <v>#REF!</v>
      </c>
      <c r="BQ92" s="93" t="e">
        <v>#REF!</v>
      </c>
      <c r="BR92" s="93" t="e">
        <v>#REF!</v>
      </c>
      <c r="BS92" s="93" t="e">
        <v>#REF!</v>
      </c>
      <c r="BT92" s="93" t="e">
        <v>#REF!</v>
      </c>
      <c r="BU92" s="90" t="str">
        <f t="shared" si="82"/>
        <v>Non-marketed services</v>
      </c>
      <c r="BV92" s="39" t="e">
        <f t="shared" si="83"/>
        <v>#REF!</v>
      </c>
      <c r="BW92" s="93" t="e">
        <v>#REF!</v>
      </c>
      <c r="BX92" s="93" t="e">
        <v>#REF!</v>
      </c>
      <c r="BY92" s="93" t="e">
        <v>#REF!</v>
      </c>
      <c r="BZ92" s="93" t="e">
        <v>#REF!</v>
      </c>
      <c r="CB92" s="39" t="e">
        <f t="shared" si="84"/>
        <v>#REF!</v>
      </c>
      <c r="CC92" s="93" t="e">
        <v>#REF!</v>
      </c>
      <c r="CD92" s="93" t="e">
        <v>#REF!</v>
      </c>
      <c r="CE92" s="93" t="e">
        <v>#REF!</v>
      </c>
      <c r="CF92" s="93" t="e">
        <v>#REF!</v>
      </c>
      <c r="CH92" s="39" t="e">
        <f t="shared" si="85"/>
        <v>#REF!</v>
      </c>
      <c r="CI92" s="93" t="e">
        <v>#REF!</v>
      </c>
      <c r="CJ92" s="93" t="e">
        <v>#REF!</v>
      </c>
      <c r="CK92" s="93" t="e">
        <v>#REF!</v>
      </c>
      <c r="CL92" s="93" t="e">
        <v>#REF!</v>
      </c>
      <c r="CM92" s="93"/>
      <c r="CN92" s="39" t="e">
        <f t="shared" si="86"/>
        <v>#REF!</v>
      </c>
      <c r="CO92" s="93" t="e">
        <v>#REF!</v>
      </c>
      <c r="CP92" s="93" t="e">
        <v>#REF!</v>
      </c>
      <c r="CQ92" s="93" t="e">
        <v>#REF!</v>
      </c>
      <c r="CR92" s="93" t="e">
        <v>#REF!</v>
      </c>
      <c r="CS92" s="90" t="str">
        <f t="shared" si="87"/>
        <v>Non-marketed services</v>
      </c>
      <c r="CT92" s="39" t="e">
        <f t="shared" si="88"/>
        <v>#REF!</v>
      </c>
      <c r="CU92" s="93" t="e">
        <v>#REF!</v>
      </c>
      <c r="CV92" s="93" t="e">
        <v>#REF!</v>
      </c>
      <c r="CW92" s="93" t="e">
        <v>#REF!</v>
      </c>
      <c r="CX92" s="93" t="e">
        <v>#REF!</v>
      </c>
      <c r="CZ92" s="39" t="e">
        <f t="shared" si="89"/>
        <v>#REF!</v>
      </c>
      <c r="DA92" s="93" t="e">
        <v>#REF!</v>
      </c>
      <c r="DB92" s="93" t="e">
        <v>#REF!</v>
      </c>
      <c r="DC92" s="93" t="e">
        <v>#REF!</v>
      </c>
      <c r="DD92" s="93" t="e">
        <v>#REF!</v>
      </c>
      <c r="DF92" s="39" t="e">
        <f t="shared" si="90"/>
        <v>#REF!</v>
      </c>
      <c r="DG92" s="93" t="e">
        <v>#REF!</v>
      </c>
      <c r="DH92" s="93" t="e">
        <v>#REF!</v>
      </c>
      <c r="DI92" s="93" t="e">
        <v>#REF!</v>
      </c>
      <c r="DJ92" s="93" t="e">
        <v>#REF!</v>
      </c>
      <c r="DK92" s="93"/>
      <c r="DL92" s="39" t="e">
        <f t="shared" si="91"/>
        <v>#REF!</v>
      </c>
      <c r="DM92" s="93" t="e">
        <v>#REF!</v>
      </c>
      <c r="DN92" s="93" t="e">
        <v>#REF!</v>
      </c>
      <c r="DO92" s="93" t="e">
        <v>#REF!</v>
      </c>
      <c r="DP92" s="93" t="e">
        <v>#REF!</v>
      </c>
    </row>
    <row r="93" spans="1:120" x14ac:dyDescent="0.2">
      <c r="B93" s="39"/>
      <c r="C93" s="93"/>
      <c r="D93" s="93"/>
      <c r="E93" s="93"/>
      <c r="F93" s="93"/>
      <c r="H93" s="39"/>
      <c r="I93" s="93"/>
      <c r="J93" s="93"/>
      <c r="K93" s="93"/>
      <c r="L93" s="93"/>
      <c r="N93" s="39"/>
      <c r="O93" s="93"/>
      <c r="P93" s="93"/>
      <c r="Q93" s="93"/>
      <c r="R93" s="93"/>
      <c r="S93" s="93"/>
      <c r="T93" s="39"/>
      <c r="U93" s="93"/>
      <c r="V93" s="93"/>
      <c r="W93" s="93"/>
      <c r="X93" s="93"/>
      <c r="Z93" s="39"/>
      <c r="AA93" s="93"/>
      <c r="AB93" s="93"/>
      <c r="AC93" s="93"/>
      <c r="AD93" s="93"/>
      <c r="AF93" s="39"/>
      <c r="AG93" s="93"/>
      <c r="AH93" s="93"/>
      <c r="AI93" s="93"/>
      <c r="AJ93" s="93"/>
      <c r="AL93" s="39"/>
      <c r="AM93" s="93"/>
      <c r="AN93" s="93"/>
      <c r="AO93" s="93"/>
      <c r="AP93" s="93"/>
      <c r="AQ93" s="93"/>
      <c r="AR93" s="39"/>
      <c r="AS93" s="93"/>
      <c r="AT93" s="93"/>
      <c r="AU93" s="93"/>
      <c r="AV93" s="93"/>
      <c r="AX93" s="39"/>
      <c r="AY93" s="93"/>
      <c r="AZ93" s="93"/>
      <c r="BA93" s="93"/>
      <c r="BB93" s="93"/>
      <c r="BD93" s="39"/>
      <c r="BE93" s="93"/>
      <c r="BF93" s="93"/>
      <c r="BG93" s="93"/>
      <c r="BH93" s="93"/>
      <c r="BJ93" s="39"/>
      <c r="BK93" s="93"/>
      <c r="BL93" s="93"/>
      <c r="BM93" s="93"/>
      <c r="BN93" s="93"/>
      <c r="BO93" s="93"/>
      <c r="BP93" s="39"/>
      <c r="BQ93" s="93"/>
      <c r="BR93" s="93"/>
      <c r="BS93" s="93"/>
      <c r="BT93" s="93"/>
      <c r="BV93" s="39"/>
      <c r="BW93" s="93"/>
      <c r="BX93" s="93"/>
      <c r="BY93" s="93"/>
      <c r="BZ93" s="93"/>
      <c r="CB93" s="39"/>
      <c r="CC93" s="93"/>
      <c r="CD93" s="93"/>
      <c r="CE93" s="93"/>
      <c r="CF93" s="93"/>
      <c r="CH93" s="39"/>
      <c r="CI93" s="93"/>
      <c r="CJ93" s="93"/>
      <c r="CK93" s="93"/>
      <c r="CL93" s="93"/>
      <c r="CM93" s="93"/>
      <c r="CN93" s="39"/>
      <c r="CO93" s="93"/>
      <c r="CP93" s="93"/>
      <c r="CQ93" s="93"/>
      <c r="CR93" s="93"/>
      <c r="CT93" s="39"/>
      <c r="CU93" s="93"/>
      <c r="CV93" s="93"/>
      <c r="CW93" s="93"/>
      <c r="CX93" s="93"/>
      <c r="CZ93" s="39"/>
      <c r="DA93" s="93"/>
      <c r="DB93" s="93"/>
      <c r="DC93" s="93"/>
      <c r="DD93" s="93"/>
      <c r="DF93" s="39"/>
      <c r="DG93" s="93"/>
      <c r="DH93" s="93"/>
      <c r="DI93" s="93"/>
      <c r="DJ93" s="93"/>
      <c r="DK93" s="93"/>
      <c r="DL93" s="39"/>
      <c r="DM93" s="93"/>
      <c r="DN93" s="93"/>
      <c r="DO93" s="93"/>
      <c r="DP93" s="93"/>
    </row>
    <row r="94" spans="1:120" x14ac:dyDescent="0.2">
      <c r="A94" s="90" t="str">
        <f>name!C3</f>
        <v>All industries</v>
      </c>
      <c r="B94" s="39">
        <f t="shared" si="68"/>
        <v>2.7912372459239387</v>
      </c>
      <c r="C94" s="93">
        <f>C50</f>
        <v>4561.2992279926211</v>
      </c>
      <c r="D94" s="93">
        <f>D50</f>
        <v>431.97496524334053</v>
      </c>
      <c r="E94" s="93">
        <f>E50</f>
        <v>1445.5882710202891</v>
      </c>
      <c r="F94" s="93">
        <f>F50</f>
        <v>1877.5632362636297</v>
      </c>
      <c r="H94" s="39">
        <f t="shared" si="69"/>
        <v>2.6517730789267446</v>
      </c>
      <c r="I94" s="93">
        <f>I50</f>
        <v>774.77767553257945</v>
      </c>
      <c r="J94" s="93">
        <f>J50</f>
        <v>-90.9176985646708</v>
      </c>
      <c r="K94" s="93">
        <f>K50</f>
        <v>231.78692033646578</v>
      </c>
      <c r="L94" s="93">
        <f>L50</f>
        <v>140.86922177179497</v>
      </c>
      <c r="N94" s="39">
        <f t="shared" si="70"/>
        <v>2.6893242464146816</v>
      </c>
      <c r="O94" s="93">
        <f>O50</f>
        <v>1810.6123702397726</v>
      </c>
      <c r="P94" s="93">
        <f>P50</f>
        <v>208.84741372398935</v>
      </c>
      <c r="Q94" s="93">
        <f>Q50</f>
        <v>550.29225403969679</v>
      </c>
      <c r="R94" s="93">
        <f>R50</f>
        <v>759.13966776368613</v>
      </c>
      <c r="S94" s="93"/>
      <c r="T94" s="39">
        <f t="shared" si="71"/>
        <v>2.9376202991175049</v>
      </c>
      <c r="U94" s="93">
        <f>U50</f>
        <v>1975.9091822202711</v>
      </c>
      <c r="V94" s="93">
        <f>V50</f>
        <v>314.04525008402186</v>
      </c>
      <c r="W94" s="93">
        <f>W50</f>
        <v>663.50909664412427</v>
      </c>
      <c r="X94" s="93">
        <f>X50</f>
        <v>977.55434672814613</v>
      </c>
      <c r="Y94" s="91" t="str">
        <f>A94</f>
        <v>All industries</v>
      </c>
      <c r="Z94" s="39">
        <f>IF(AA94&gt;0,((1+(AC94/AA94))^(1/($A$101-$A$100))-1)*100,0)</f>
        <v>2.9771972098236787</v>
      </c>
      <c r="AA94" s="93">
        <f>AA50</f>
        <v>2141.7348734083043</v>
      </c>
      <c r="AB94" s="93">
        <f>AB50</f>
        <v>328.18012130131888</v>
      </c>
      <c r="AC94" s="93">
        <f>AC50</f>
        <v>730.21185757939747</v>
      </c>
      <c r="AD94" s="93">
        <f>AD50</f>
        <v>1058.3919788807164</v>
      </c>
      <c r="AF94" s="39">
        <f>IF(AG94&gt;0,((1+(AI94/AG94))^(1/($A$101-$A$100))-1)*100,0)</f>
        <v>3.0280155732974823</v>
      </c>
      <c r="AG94" s="93">
        <f>AG50</f>
        <v>114.36183531349347</v>
      </c>
      <c r="AH94" s="93">
        <f>AH50</f>
        <v>10.806009020856356</v>
      </c>
      <c r="AI94" s="93">
        <f>AI50</f>
        <v>39.749458273691218</v>
      </c>
      <c r="AJ94" s="93">
        <f>AJ50</f>
        <v>50.555467294547576</v>
      </c>
      <c r="AL94" s="39">
        <f>IF(AM94&gt;0,((1+(AO94/AM94))^(1/($A$101-$A$100))-1)*100,0)</f>
        <v>2.9663353480916088</v>
      </c>
      <c r="AM94" s="93">
        <f>AM50</f>
        <v>484.03376220781502</v>
      </c>
      <c r="AN94" s="93">
        <f>AN50</f>
        <v>80.752171418150368</v>
      </c>
      <c r="AO94" s="93">
        <f>AO50</f>
        <v>164.34415782441963</v>
      </c>
      <c r="AP94" s="93">
        <f>AP50</f>
        <v>245.09632924256999</v>
      </c>
      <c r="AQ94" s="93"/>
      <c r="AR94" s="39">
        <f>IF(AS94&gt;0,((1+(AU94/AS94))^(1/($A$101-$A$100))-1)*100,0)</f>
        <v>2.9768281396108875</v>
      </c>
      <c r="AS94" s="93">
        <f>AS50</f>
        <v>1543.3392758869961</v>
      </c>
      <c r="AT94" s="93">
        <f>AT50</f>
        <v>236.62194086231219</v>
      </c>
      <c r="AU94" s="93">
        <f>AU50</f>
        <v>526.11824148128676</v>
      </c>
      <c r="AV94" s="93">
        <f>AV50</f>
        <v>762.74018234359892</v>
      </c>
      <c r="AW94" s="91" t="str">
        <f>Y94</f>
        <v>All industries</v>
      </c>
      <c r="AX94" s="39">
        <f>IF(AY94&gt;0,((1+(BA94/AY94))^(1/($A$101-$A$100))-1)*100,0)</f>
        <v>2.5960689907792656</v>
      </c>
      <c r="AY94" s="93">
        <f>AY50</f>
        <v>1169.4910110900296</v>
      </c>
      <c r="AZ94" s="93">
        <f>AZ50</f>
        <v>61.012733866251224</v>
      </c>
      <c r="BA94" s="93">
        <f>BA50</f>
        <v>341.64688672572964</v>
      </c>
      <c r="BB94" s="93">
        <f>BB50</f>
        <v>402.65962059198085</v>
      </c>
      <c r="BD94" s="39">
        <f>IF(BE94&gt;0,((1+(BG94/BE94))^(1/($A$101-$A$100))-1)*100,0)</f>
        <v>2.5108134589674425</v>
      </c>
      <c r="BE94" s="93">
        <f>BE50</f>
        <v>196.77997170605971</v>
      </c>
      <c r="BF94" s="93">
        <f>BF50</f>
        <v>-19.19988351079143</v>
      </c>
      <c r="BG94" s="93">
        <f>BG50</f>
        <v>55.380896948664599</v>
      </c>
      <c r="BH94" s="93">
        <f>BH50</f>
        <v>36.181013437873169</v>
      </c>
      <c r="BJ94" s="39">
        <f>IF(BK94&gt;0,((1+(BM94/BK94))^(1/($A$101-$A$100))-1)*100,0)</f>
        <v>2.5531077119064882</v>
      </c>
      <c r="BK94" s="93">
        <f>BK50</f>
        <v>650.12175377402275</v>
      </c>
      <c r="BL94" s="93">
        <f>BL50</f>
        <v>42.192712487148434</v>
      </c>
      <c r="BM94" s="93">
        <f>BM50</f>
        <v>186.41100647521165</v>
      </c>
      <c r="BN94" s="93">
        <f>BN50</f>
        <v>228.60371896236009</v>
      </c>
      <c r="BO94" s="93"/>
      <c r="BP94" s="39">
        <f>IF(BQ94&gt;0,((1+(BS94/BQ94))^(1/($A$101-$A$100))-1)*100,0)</f>
        <v>2.7334678665663192</v>
      </c>
      <c r="BQ94" s="93">
        <f>BQ50</f>
        <v>322.58928560994713</v>
      </c>
      <c r="BR94" s="93">
        <f>BR50</f>
        <v>38.019904889894228</v>
      </c>
      <c r="BS94" s="93">
        <f>BS50</f>
        <v>99.854983301853494</v>
      </c>
      <c r="BT94" s="93">
        <f>BT50</f>
        <v>137.87488819174771</v>
      </c>
      <c r="BU94" s="91" t="str">
        <f>AW94</f>
        <v>All industries</v>
      </c>
      <c r="BV94" s="39">
        <f>IF(BW94&gt;0,((1+(BY94/BW94))^(1/($A$101-$A$100))-1)*100,0)</f>
        <v>2.5889208699682698</v>
      </c>
      <c r="BW94" s="93">
        <f>BW50</f>
        <v>786.26148565798121</v>
      </c>
      <c r="BX94" s="93">
        <f>BX50</f>
        <v>-16.768227409449015</v>
      </c>
      <c r="BY94" s="93">
        <f>BY50</f>
        <v>228.98528730973825</v>
      </c>
      <c r="BZ94" s="93">
        <f>BZ50</f>
        <v>212.21705990028923</v>
      </c>
      <c r="CB94" s="39">
        <f>IF(CC94&gt;0,((1+(CE94/CC94))^(1/($A$101-$A$100))-1)*100,0)</f>
        <v>2.5278948366694864</v>
      </c>
      <c r="CC94" s="93">
        <f>CC50</f>
        <v>257.91842111045776</v>
      </c>
      <c r="CD94" s="93">
        <f>CD50</f>
        <v>-52.179148361626908</v>
      </c>
      <c r="CE94" s="93">
        <f>CE50</f>
        <v>73.138570554183204</v>
      </c>
      <c r="CF94" s="93">
        <f>CF50</f>
        <v>20.959422192556296</v>
      </c>
      <c r="CH94" s="39">
        <f>IF(CI94&gt;0,((1+(CK94/CI94))^(1/($A$101-$A$100))-1)*100,0)</f>
        <v>2.5655949055339189</v>
      </c>
      <c r="CI94" s="93">
        <f>CI50</f>
        <v>462.50112579230256</v>
      </c>
      <c r="CJ94" s="93">
        <f>CJ50</f>
        <v>18.263082416840735</v>
      </c>
      <c r="CK94" s="93">
        <f>CK50</f>
        <v>133.33911166207648</v>
      </c>
      <c r="CL94" s="93">
        <f>CL50</f>
        <v>151.60219407891722</v>
      </c>
      <c r="CM94" s="93"/>
      <c r="CN94" s="39">
        <f>IF(CO94&gt;0,((1+(CQ94/CO94))^(1/($A$101-$A$100))-1)*100,0)</f>
        <v>2.9840981402702971</v>
      </c>
      <c r="CO94" s="93">
        <f>CO50</f>
        <v>65.841938755220539</v>
      </c>
      <c r="CP94" s="93">
        <f>CP50</f>
        <v>17.147838535337179</v>
      </c>
      <c r="CQ94" s="93">
        <f>CQ50</f>
        <v>22.507605093478684</v>
      </c>
      <c r="CR94" s="93">
        <f>CR50</f>
        <v>39.65544362881586</v>
      </c>
      <c r="CS94" s="91" t="str">
        <f>BU94</f>
        <v>All industries</v>
      </c>
      <c r="CT94" s="39">
        <f>IF(CU94&gt;0,((1+(CW94/CU94))^(1/($A$101-$A$100))-1)*100,0)</f>
        <v>2.7533233225370157</v>
      </c>
      <c r="CU94" s="93">
        <f>CU50</f>
        <v>463.81185783630696</v>
      </c>
      <c r="CV94" s="93">
        <f>CV50</f>
        <v>59.550337485219423</v>
      </c>
      <c r="CW94" s="93">
        <f>CW50</f>
        <v>144.74423940542175</v>
      </c>
      <c r="CX94" s="93">
        <f>CX50</f>
        <v>204.29457689064117</v>
      </c>
      <c r="CZ94" s="39">
        <f>IF(DA94&gt;0,((1+(DC94/DA94))^(1/($A$101-$A$100))-1)*100,0)</f>
        <v>2.7273559755584653</v>
      </c>
      <c r="DA94" s="93">
        <f>DA50</f>
        <v>205.71744740256855</v>
      </c>
      <c r="DB94" s="93">
        <f>DB50</f>
        <v>-30.344675713108767</v>
      </c>
      <c r="DC94" s="93">
        <f>DC50</f>
        <v>63.517994559926827</v>
      </c>
      <c r="DD94" s="93">
        <f>DD50</f>
        <v>33.173318846818063</v>
      </c>
      <c r="DF94" s="39">
        <f>IF(DG94&gt;0,((1+(DI94/DG94))^(1/($A$101-$A$100))-1)*100,0)</f>
        <v>2.7323553670193235</v>
      </c>
      <c r="DG94" s="93">
        <f>DG50</f>
        <v>213.95572846563186</v>
      </c>
      <c r="DH94" s="93">
        <f>DH50</f>
        <v>67.639447401849822</v>
      </c>
      <c r="DI94" s="93">
        <f>DI50</f>
        <v>66.197978077989319</v>
      </c>
      <c r="DJ94" s="93">
        <f>DJ50</f>
        <v>133.83742547983914</v>
      </c>
      <c r="DK94" s="93"/>
      <c r="DL94" s="39">
        <f>IF(DM94&gt;0,((1+(DO94/DM94))^(1/($A$101-$A$100))-1)*100,0)</f>
        <v>2.9736201868302725</v>
      </c>
      <c r="DM94" s="93">
        <f>DM50</f>
        <v>44.13868196810671</v>
      </c>
      <c r="DN94" s="93">
        <f>DN50</f>
        <v>22.25556579647839</v>
      </c>
      <c r="DO94" s="93">
        <f>DO50</f>
        <v>15.028266767505601</v>
      </c>
      <c r="DP94" s="93">
        <f>DP50</f>
        <v>37.283832563983992</v>
      </c>
    </row>
    <row r="95" spans="1:120" x14ac:dyDescent="0.2">
      <c r="A95" s="95"/>
      <c r="B95" s="111"/>
      <c r="C95" s="111"/>
      <c r="D95" s="111"/>
      <c r="E95" s="111"/>
      <c r="F95" s="111"/>
      <c r="G95" s="95"/>
      <c r="H95" s="111"/>
      <c r="I95" s="111"/>
      <c r="J95" s="111"/>
      <c r="K95" s="111"/>
      <c r="L95" s="111"/>
      <c r="M95" s="95"/>
      <c r="N95" s="95"/>
      <c r="O95" s="111"/>
      <c r="P95" s="111"/>
      <c r="Q95" s="111"/>
      <c r="R95" s="111"/>
      <c r="S95" s="111"/>
      <c r="T95" s="95"/>
      <c r="U95" s="111"/>
      <c r="V95" s="111"/>
      <c r="W95" s="111"/>
      <c r="X95" s="111"/>
      <c r="Y95" s="95"/>
      <c r="Z95" s="111"/>
      <c r="AA95" s="111"/>
      <c r="AB95" s="111"/>
      <c r="AC95" s="111"/>
      <c r="AD95" s="111"/>
      <c r="AE95" s="95"/>
      <c r="AF95" s="111"/>
      <c r="AG95" s="111"/>
      <c r="AH95" s="111"/>
      <c r="AI95" s="111"/>
      <c r="AJ95" s="111"/>
      <c r="AK95" s="95"/>
      <c r="AL95" s="95"/>
      <c r="AM95" s="111"/>
      <c r="AN95" s="111"/>
      <c r="AO95" s="111"/>
      <c r="AP95" s="111"/>
      <c r="AQ95" s="111"/>
      <c r="AR95" s="95"/>
      <c r="AS95" s="111"/>
      <c r="AT95" s="111"/>
      <c r="AU95" s="111"/>
      <c r="AV95" s="111"/>
      <c r="AW95" s="95"/>
      <c r="AX95" s="111"/>
      <c r="AY95" s="111"/>
      <c r="AZ95" s="111"/>
      <c r="BA95" s="111"/>
      <c r="BB95" s="111"/>
      <c r="BC95" s="95"/>
      <c r="BD95" s="111"/>
      <c r="BE95" s="111"/>
      <c r="BF95" s="111"/>
      <c r="BG95" s="111"/>
      <c r="BH95" s="111"/>
      <c r="BI95" s="95"/>
      <c r="BJ95" s="95"/>
      <c r="BK95" s="111"/>
      <c r="BL95" s="111"/>
      <c r="BM95" s="111"/>
      <c r="BN95" s="111"/>
      <c r="BO95" s="111"/>
      <c r="BP95" s="95"/>
      <c r="BQ95" s="111"/>
      <c r="BR95" s="111"/>
      <c r="BS95" s="111"/>
      <c r="BT95" s="111"/>
      <c r="BU95" s="95"/>
      <c r="BV95" s="111"/>
      <c r="BW95" s="111"/>
      <c r="BX95" s="111"/>
      <c r="BY95" s="111"/>
      <c r="BZ95" s="111"/>
      <c r="CA95" s="95"/>
      <c r="CB95" s="111"/>
      <c r="CC95" s="111"/>
      <c r="CD95" s="111"/>
      <c r="CE95" s="111"/>
      <c r="CF95" s="111"/>
      <c r="CG95" s="95"/>
      <c r="CH95" s="95"/>
      <c r="CI95" s="111"/>
      <c r="CJ95" s="111"/>
      <c r="CK95" s="111"/>
      <c r="CL95" s="111"/>
      <c r="CM95" s="111"/>
      <c r="CN95" s="95"/>
      <c r="CO95" s="111"/>
      <c r="CP95" s="111"/>
      <c r="CQ95" s="111"/>
      <c r="CR95" s="111"/>
      <c r="CS95" s="95"/>
      <c r="CT95" s="111"/>
      <c r="CU95" s="111"/>
      <c r="CV95" s="111"/>
      <c r="CW95" s="111"/>
      <c r="CX95" s="111"/>
      <c r="CY95" s="95"/>
      <c r="CZ95" s="111"/>
      <c r="DA95" s="111"/>
      <c r="DB95" s="111"/>
      <c r="DC95" s="111"/>
      <c r="DD95" s="111"/>
      <c r="DE95" s="95"/>
      <c r="DF95" s="95"/>
      <c r="DG95" s="111"/>
      <c r="DH95" s="111"/>
      <c r="DI95" s="111"/>
      <c r="DJ95" s="111"/>
      <c r="DK95" s="111"/>
      <c r="DL95" s="95"/>
      <c r="DM95" s="111"/>
      <c r="DN95" s="111"/>
      <c r="DO95" s="111"/>
      <c r="DP95" s="111"/>
    </row>
    <row r="96" spans="1:120" x14ac:dyDescent="0.2">
      <c r="A96" s="90" t="str">
        <f ca="1">CELL("filename")</f>
        <v>M:\IE\Projects\Nuffield via NFER AI and automation\Data\Results\Workbooks\EM\[EM_MainTables.Main.xlsm]Manager</v>
      </c>
      <c r="Y96" s="90" t="str">
        <f ca="1">CELL("filename")</f>
        <v>M:\IE\Projects\Nuffield via NFER AI and automation\Data\Results\Workbooks\EM\[EM_MainTables.Main.xlsm]Manager</v>
      </c>
      <c r="AW96" s="90" t="str">
        <f ca="1">CELL("filename")</f>
        <v>M:\IE\Projects\Nuffield via NFER AI and automation\Data\Results\Workbooks\EM\[EM_MainTables.Main.xlsm]Manager</v>
      </c>
      <c r="BU96" s="90" t="str">
        <f ca="1">CELL("filename")</f>
        <v>M:\IE\Projects\Nuffield via NFER AI and automation\Data\Results\Workbooks\EM\[EM_MainTables.Main.xlsm]Manager</v>
      </c>
      <c r="CS96" s="90" t="str">
        <f ca="1">CELL("filename")</f>
        <v>M:\IE\Projects\Nuffield via NFER AI and automation\Data\Results\Workbooks\EM\[EM_MainTables.Main.xlsm]Manager</v>
      </c>
    </row>
    <row r="99" spans="1:1" x14ac:dyDescent="0.2">
      <c r="A99" s="90" t="s">
        <v>45</v>
      </c>
    </row>
    <row r="100" spans="1:1" x14ac:dyDescent="0.2">
      <c r="A100" s="90">
        <v>2015</v>
      </c>
    </row>
    <row r="101" spans="1:1" x14ac:dyDescent="0.2">
      <c r="A101" s="90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29" customWidth="1"/>
    <col min="2" max="2" width="13" style="129" customWidth="1"/>
    <col min="3" max="3" width="9.7109375" style="129" customWidth="1"/>
    <col min="4" max="4" width="10.140625" style="129" customWidth="1"/>
    <col min="5" max="5" width="13" style="129" customWidth="1"/>
    <col min="6" max="6" width="9.7109375" style="129" customWidth="1"/>
    <col min="7" max="7" width="3.7109375" style="129" customWidth="1"/>
    <col min="8" max="9" width="10.140625" style="129" customWidth="1"/>
    <col min="10" max="10" width="3.7109375" style="129" customWidth="1"/>
    <col min="11" max="12" width="10.140625" style="129" customWidth="1"/>
    <col min="13" max="13" width="3.7109375" style="129" customWidth="1"/>
    <col min="14" max="14" width="11.42578125" style="129" customWidth="1"/>
    <col min="15" max="15" width="10.140625" style="129" customWidth="1"/>
    <col min="16" max="16" width="3.7109375" style="129" customWidth="1"/>
    <col min="17" max="18" width="10.140625" style="129" customWidth="1"/>
    <col min="19" max="19" width="2.42578125" style="129" customWidth="1"/>
    <col min="20" max="22" width="13" style="129" customWidth="1"/>
    <col min="23" max="23" width="23.28515625" style="129" customWidth="1"/>
    <col min="24" max="24" width="9.140625" style="129"/>
    <col min="25" max="25" width="12.28515625" style="129" customWidth="1"/>
    <col min="26" max="26" width="10.85546875" style="129" customWidth="1"/>
    <col min="27" max="27" width="8.140625" style="129" customWidth="1"/>
    <col min="28" max="28" width="8" style="129" customWidth="1"/>
    <col min="29" max="16384" width="9.140625" style="129"/>
  </cols>
  <sheetData>
    <row r="1" spans="1:32" ht="12.75" customHeight="1" x14ac:dyDescent="0.2">
      <c r="A1" s="127" t="e">
        <f>CONCATENATE("Table 4.6  Shift-share by industry, ",I3)</f>
        <v>#REF!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</row>
    <row r="2" spans="1:32" ht="12.75" customHeight="1" x14ac:dyDescent="0.2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384" t="s">
        <v>53</v>
      </c>
      <c r="L2" s="384"/>
      <c r="M2" s="384"/>
      <c r="N2" s="384"/>
      <c r="O2" s="384"/>
      <c r="P2" s="384"/>
      <c r="Q2" s="384"/>
      <c r="R2" s="384"/>
      <c r="S2" s="191"/>
      <c r="T2" s="191"/>
      <c r="U2" s="128"/>
    </row>
    <row r="3" spans="1:32" ht="12.75" customHeight="1" x14ac:dyDescent="0.2">
      <c r="A3" s="128"/>
      <c r="B3" s="130" t="s">
        <v>54</v>
      </c>
      <c r="C3" s="131" t="e">
        <f>#REF!</f>
        <v>#REF!</v>
      </c>
      <c r="D3" s="127"/>
      <c r="E3" s="130" t="s">
        <v>55</v>
      </c>
      <c r="F3" s="131" t="e">
        <f>#REF!</f>
        <v>#REF!</v>
      </c>
      <c r="G3" s="127"/>
      <c r="H3" s="130" t="s">
        <v>18</v>
      </c>
      <c r="I3" s="130" t="e">
        <f>CONCATENATE(C3,"-",F3)</f>
        <v>#REF!</v>
      </c>
      <c r="J3" s="127"/>
      <c r="K3" s="385" t="s">
        <v>56</v>
      </c>
      <c r="L3" s="385"/>
      <c r="M3" s="127"/>
      <c r="N3" s="386" t="s">
        <v>69</v>
      </c>
      <c r="O3" s="386"/>
      <c r="P3" s="127"/>
      <c r="Q3" s="386" t="s">
        <v>68</v>
      </c>
      <c r="R3" s="386"/>
      <c r="S3" s="191"/>
      <c r="T3" s="192" t="s">
        <v>72</v>
      </c>
      <c r="U3" s="152" t="s">
        <v>71</v>
      </c>
      <c r="V3" s="159"/>
      <c r="AA3" s="159"/>
      <c r="AD3" s="159"/>
    </row>
    <row r="4" spans="1:32" ht="12.75" customHeight="1" x14ac:dyDescent="0.2">
      <c r="A4" s="132" t="s">
        <v>59</v>
      </c>
      <c r="B4" s="133" t="s">
        <v>60</v>
      </c>
      <c r="C4" s="133" t="s">
        <v>61</v>
      </c>
      <c r="D4" s="127"/>
      <c r="E4" s="133" t="str">
        <f>B4</f>
        <v>000s</v>
      </c>
      <c r="F4" s="133" t="str">
        <f>C4</f>
        <v>% share</v>
      </c>
      <c r="G4" s="127"/>
      <c r="H4" s="133" t="str">
        <f>E4</f>
        <v>000s</v>
      </c>
      <c r="I4" s="133" t="s">
        <v>62</v>
      </c>
      <c r="J4" s="127"/>
      <c r="K4" s="133" t="str">
        <f>H4</f>
        <v>000s</v>
      </c>
      <c r="L4" s="133" t="str">
        <f>I4</f>
        <v xml:space="preserve">%   </v>
      </c>
      <c r="M4" s="127"/>
      <c r="N4" s="133" t="str">
        <f>K4</f>
        <v>000s</v>
      </c>
      <c r="O4" s="133" t="str">
        <f>L4</f>
        <v xml:space="preserve">%   </v>
      </c>
      <c r="P4" s="127"/>
      <c r="Q4" s="133" t="str">
        <f>N4</f>
        <v>000s</v>
      </c>
      <c r="R4" s="133" t="str">
        <f>O4</f>
        <v xml:space="preserve">%   </v>
      </c>
      <c r="S4" s="153"/>
      <c r="T4" s="133"/>
      <c r="U4" s="165"/>
      <c r="V4" s="159"/>
      <c r="W4" s="167"/>
      <c r="Y4" s="160"/>
      <c r="Z4" s="160"/>
      <c r="AA4" s="159"/>
      <c r="AB4" s="160"/>
      <c r="AC4" s="159"/>
    </row>
    <row r="5" spans="1:32" ht="12.75" customHeight="1" x14ac:dyDescent="0.2">
      <c r="A5" s="132"/>
      <c r="B5" s="130"/>
      <c r="C5" s="158"/>
      <c r="D5" s="127" t="s">
        <v>70</v>
      </c>
      <c r="E5" s="130"/>
      <c r="F5" s="158"/>
      <c r="G5" s="127"/>
      <c r="H5" s="130"/>
      <c r="I5" s="130"/>
      <c r="J5" s="127"/>
      <c r="K5" s="130"/>
      <c r="L5" s="130"/>
      <c r="M5" s="127"/>
      <c r="N5" s="130"/>
      <c r="O5" s="130"/>
      <c r="P5" s="127"/>
      <c r="Q5" s="158"/>
      <c r="R5" s="158"/>
      <c r="S5" s="133"/>
      <c r="T5" s="133"/>
      <c r="U5" s="154"/>
      <c r="V5" s="159"/>
      <c r="W5" s="135"/>
    </row>
    <row r="6" spans="1:32" x14ac:dyDescent="0.2">
      <c r="A6" s="35" t="str">
        <f>name!A4</f>
        <v>Agriculture, etc</v>
      </c>
      <c r="B6" s="149">
        <v>290.31999999994002</v>
      </c>
      <c r="C6" s="140">
        <v>0.93859557238401636</v>
      </c>
      <c r="D6" s="163">
        <v>100</v>
      </c>
      <c r="E6" s="149">
        <v>302.0150000000844</v>
      </c>
      <c r="F6" s="140">
        <v>0.90967729595909619</v>
      </c>
      <c r="G6" s="145"/>
      <c r="H6" s="149">
        <v>11.695000000144354</v>
      </c>
      <c r="I6" s="141">
        <v>4.0283135850601992</v>
      </c>
      <c r="J6" s="145"/>
      <c r="K6" s="149">
        <v>21.295935731168065</v>
      </c>
      <c r="L6" s="141">
        <v>7.3353319547990026</v>
      </c>
      <c r="M6" s="145"/>
      <c r="N6" s="149">
        <v>-0.65613111154677028</v>
      </c>
      <c r="O6" s="141">
        <v>-0.22600272511260189</v>
      </c>
      <c r="P6" s="145"/>
      <c r="Q6" s="150">
        <v>-8.9448046194769404</v>
      </c>
      <c r="R6" s="140">
        <v>-3.0810156446262016</v>
      </c>
      <c r="S6" s="140"/>
      <c r="T6" s="161">
        <v>290.31999999994002</v>
      </c>
      <c r="U6" s="162">
        <v>302.0150000000844</v>
      </c>
      <c r="V6" s="168"/>
      <c r="Y6" s="134"/>
      <c r="Z6" s="150"/>
      <c r="AA6" s="150"/>
      <c r="AB6" s="134"/>
      <c r="AC6" s="150"/>
      <c r="AE6" s="134"/>
      <c r="AF6" s="150"/>
    </row>
    <row r="7" spans="1:32" x14ac:dyDescent="0.2">
      <c r="A7" t="str">
        <f>name!A5</f>
        <v>Coal, oil &amp; gas; Mining &amp; related</v>
      </c>
      <c r="B7" s="150">
        <v>12.074999999997509</v>
      </c>
      <c r="C7" s="140">
        <v>3.9038101186749101E-2</v>
      </c>
      <c r="D7" s="164">
        <v>100</v>
      </c>
      <c r="E7" s="150">
        <v>12.334000000003453</v>
      </c>
      <c r="F7" s="140">
        <v>3.715033944790655E-2</v>
      </c>
      <c r="H7" s="150">
        <v>0.25900000000594448</v>
      </c>
      <c r="I7" s="140">
        <v>2.1449275362815561</v>
      </c>
      <c r="K7" s="150">
        <v>0.88574133354179663</v>
      </c>
      <c r="L7" s="140">
        <v>7.3353319547990017</v>
      </c>
      <c r="N7" s="150">
        <v>-4.283170925688029E-2</v>
      </c>
      <c r="O7" s="140">
        <v>-0.35471394829721842</v>
      </c>
      <c r="Q7" s="150">
        <v>-0.58390962427897186</v>
      </c>
      <c r="R7" s="140">
        <v>-4.8356904702202259</v>
      </c>
      <c r="S7" s="140"/>
      <c r="T7" s="161">
        <v>12.074999999997509</v>
      </c>
      <c r="U7" s="162">
        <v>12.334000000003453</v>
      </c>
      <c r="V7" s="168"/>
      <c r="W7" s="135"/>
      <c r="Y7" s="134"/>
      <c r="Z7" s="150"/>
      <c r="AA7" s="150"/>
      <c r="AB7" s="134"/>
      <c r="AC7" s="150"/>
      <c r="AE7" s="134"/>
      <c r="AF7" s="150"/>
    </row>
    <row r="8" spans="1:32" x14ac:dyDescent="0.2">
      <c r="A8" t="str">
        <f>name!A6</f>
        <v>Food products</v>
      </c>
      <c r="B8" s="150">
        <v>10.050999999997924</v>
      </c>
      <c r="C8" s="140">
        <v>3.2494571844970191E-2</v>
      </c>
      <c r="D8" s="164">
        <v>100</v>
      </c>
      <c r="E8" s="150">
        <v>9.1810000000025642</v>
      </c>
      <c r="F8" s="140">
        <v>2.7653418718277107E-2</v>
      </c>
      <c r="H8" s="150">
        <v>-0.86999999999535793</v>
      </c>
      <c r="I8" s="140">
        <v>-8.6558551387477642</v>
      </c>
      <c r="K8" s="150">
        <v>0.7372742147766953</v>
      </c>
      <c r="L8" s="140">
        <v>7.3353319547990017</v>
      </c>
      <c r="N8" s="150">
        <v>-0.1098416494645672</v>
      </c>
      <c r="O8" s="140">
        <v>-1.0928429953695145</v>
      </c>
      <c r="Q8" s="150">
        <v>-1.497432565307486</v>
      </c>
      <c r="R8" s="140">
        <v>-14.898344098177249</v>
      </c>
      <c r="S8" s="140"/>
      <c r="T8" s="161">
        <v>10.050999999997924</v>
      </c>
      <c r="U8" s="162">
        <v>9.1810000000025642</v>
      </c>
      <c r="V8" s="168"/>
      <c r="Y8" s="134"/>
      <c r="Z8" s="150"/>
      <c r="AA8" s="150"/>
      <c r="AB8" s="134"/>
      <c r="AC8" s="150"/>
      <c r="AE8" s="134"/>
      <c r="AF8" s="150"/>
    </row>
    <row r="9" spans="1:32" x14ac:dyDescent="0.2">
      <c r="A9" t="str">
        <f>name!A7</f>
        <v>Beverages and tobacco</v>
      </c>
      <c r="B9" s="150">
        <v>2.1699999999991144</v>
      </c>
      <c r="C9" s="140">
        <v>7.0155428219650902E-3</v>
      </c>
      <c r="D9" s="164">
        <v>100</v>
      </c>
      <c r="E9" s="150">
        <v>1.1269999999995304</v>
      </c>
      <c r="F9" s="140">
        <v>3.3945542855327972E-3</v>
      </c>
      <c r="H9" s="150">
        <v>-1.042999999999584</v>
      </c>
      <c r="I9" s="140">
        <v>-48.064516129032704</v>
      </c>
      <c r="K9" s="150">
        <v>0.15917670341907339</v>
      </c>
      <c r="L9" s="140">
        <v>7.3353319547990026</v>
      </c>
      <c r="N9" s="150">
        <v>-8.2157152051436144E-2</v>
      </c>
      <c r="O9" s="140">
        <v>-3.786043873339616</v>
      </c>
      <c r="Q9" s="150">
        <v>-1.1200195513672213</v>
      </c>
      <c r="R9" s="140">
        <v>-51.613804210492084</v>
      </c>
      <c r="S9" s="140"/>
      <c r="T9" s="161">
        <v>2.1699999999991144</v>
      </c>
      <c r="U9" s="162">
        <v>1.1269999999995304</v>
      </c>
      <c r="V9" s="168"/>
      <c r="W9" s="135"/>
      <c r="Y9" s="134"/>
      <c r="Z9" s="150"/>
      <c r="AA9" s="150"/>
      <c r="AB9" s="134"/>
      <c r="AC9" s="150"/>
      <c r="AE9" s="134"/>
      <c r="AF9" s="150"/>
    </row>
    <row r="10" spans="1:32" x14ac:dyDescent="0.2">
      <c r="A10" t="str">
        <f>name!A8</f>
        <v>Textiles</v>
      </c>
      <c r="B10" s="150">
        <v>11.083999999995481</v>
      </c>
      <c r="C10" s="140">
        <v>3.5834228865742432E-2</v>
      </c>
      <c r="D10" s="164">
        <v>100</v>
      </c>
      <c r="E10" s="150">
        <v>7.2319999999969857</v>
      </c>
      <c r="F10" s="140">
        <v>2.1782978343365737E-2</v>
      </c>
      <c r="H10" s="150">
        <v>-3.851999999998494</v>
      </c>
      <c r="I10" s="140">
        <v>-34.75279682425176</v>
      </c>
      <c r="K10" s="150">
        <v>0.81304819386958971</v>
      </c>
      <c r="L10" s="140">
        <v>7.3353319547989999</v>
      </c>
      <c r="N10" s="150">
        <v>-0.31881093078995182</v>
      </c>
      <c r="O10" s="140">
        <v>-2.8763165895893343</v>
      </c>
      <c r="Q10" s="150">
        <v>-4.3462372630781321</v>
      </c>
      <c r="R10" s="140">
        <v>-39.211812189461426</v>
      </c>
      <c r="S10" s="140"/>
      <c r="T10" s="161">
        <v>11.083999999995481</v>
      </c>
      <c r="U10" s="162">
        <v>7.2319999999969857</v>
      </c>
      <c r="V10" s="168"/>
      <c r="Y10" s="134"/>
      <c r="Z10" s="150"/>
      <c r="AA10" s="150"/>
      <c r="AB10" s="134"/>
      <c r="AC10" s="150"/>
      <c r="AE10" s="134"/>
      <c r="AF10" s="150"/>
    </row>
    <row r="11" spans="1:32" x14ac:dyDescent="0.2">
      <c r="A11" t="str">
        <f>name!A9</f>
        <v>Wearing apparel; Leather, etc</v>
      </c>
      <c r="B11" s="150">
        <v>37.589999999984677</v>
      </c>
      <c r="C11" s="140">
        <v>0.12152730630307274</v>
      </c>
      <c r="D11" s="164">
        <v>100</v>
      </c>
      <c r="E11" s="150">
        <v>29.919999999987525</v>
      </c>
      <c r="F11" s="140">
        <v>9.0119844031181243E-2</v>
      </c>
      <c r="H11" s="150">
        <v>-7.6699999999971515</v>
      </c>
      <c r="I11" s="140">
        <v>-20.404362862464161</v>
      </c>
      <c r="K11" s="150">
        <v>2.7573512818078205</v>
      </c>
      <c r="L11" s="140">
        <v>7.3353319547990017</v>
      </c>
      <c r="N11" s="150">
        <v>-0.7126086226066608</v>
      </c>
      <c r="O11" s="140">
        <v>-1.8957398845622542</v>
      </c>
      <c r="Q11" s="150">
        <v>-9.7147426591983113</v>
      </c>
      <c r="R11" s="140">
        <v>-25.843954932700907</v>
      </c>
      <c r="S11" s="140"/>
      <c r="T11" s="161">
        <v>37.589999999984677</v>
      </c>
      <c r="U11" s="162">
        <v>29.919999999987525</v>
      </c>
      <c r="V11" s="168"/>
      <c r="W11" s="135"/>
      <c r="Y11" s="134"/>
      <c r="Z11" s="150"/>
      <c r="AA11" s="150"/>
      <c r="AB11" s="134"/>
      <c r="AC11" s="150"/>
      <c r="AE11" s="134"/>
      <c r="AF11" s="150"/>
    </row>
    <row r="12" spans="1:32" x14ac:dyDescent="0.2">
      <c r="A12" t="str">
        <f>name!A10</f>
        <v xml:space="preserve">Wood and cork </v>
      </c>
      <c r="B12" s="150">
        <v>395.97300000001809</v>
      </c>
      <c r="C12" s="140">
        <v>1.2801684506190061</v>
      </c>
      <c r="D12" s="164">
        <v>100</v>
      </c>
      <c r="E12" s="150">
        <v>368.47099999980418</v>
      </c>
      <c r="F12" s="140">
        <v>1.1098445538104806</v>
      </c>
      <c r="H12" s="150">
        <v>-27.502000000213915</v>
      </c>
      <c r="I12" s="140">
        <v>-6.945423046574553</v>
      </c>
      <c r="K12" s="150">
        <v>29.045934001377578</v>
      </c>
      <c r="L12" s="140">
        <v>7.3353319547990017</v>
      </c>
      <c r="N12" s="150">
        <v>-3.864504443275159</v>
      </c>
      <c r="O12" s="140">
        <v>-0.97595150257087782</v>
      </c>
      <c r="Q12" s="150">
        <v>-52.683429558316334</v>
      </c>
      <c r="R12" s="140">
        <v>-13.304803498802679</v>
      </c>
      <c r="S12" s="140"/>
      <c r="T12" s="161">
        <v>395.97300000001809</v>
      </c>
      <c r="U12" s="162">
        <v>368.47099999980418</v>
      </c>
      <c r="V12" s="168"/>
      <c r="Y12" s="134"/>
      <c r="Z12" s="150"/>
      <c r="AA12" s="150"/>
      <c r="AB12" s="134"/>
      <c r="AC12" s="150"/>
      <c r="AE12" s="134"/>
      <c r="AF12" s="150"/>
    </row>
    <row r="13" spans="1:32" x14ac:dyDescent="0.2">
      <c r="A13" t="str">
        <f>name!A11</f>
        <v>Paper, etc</v>
      </c>
      <c r="B13" s="150">
        <v>75.845999999976854</v>
      </c>
      <c r="C13" s="140">
        <v>0.24520776998839583</v>
      </c>
      <c r="D13" s="164">
        <v>100</v>
      </c>
      <c r="E13" s="150">
        <v>49.305999999976621</v>
      </c>
      <c r="F13" s="140">
        <v>0.14851099698533315</v>
      </c>
      <c r="H13" s="150">
        <v>-26.540000000000227</v>
      </c>
      <c r="I13" s="140">
        <v>-34.991957387348478</v>
      </c>
      <c r="K13" s="150">
        <v>5.5635558744351528</v>
      </c>
      <c r="L13" s="140">
        <v>7.3353319547990017</v>
      </c>
      <c r="N13" s="150">
        <v>-2.1939675871835931</v>
      </c>
      <c r="O13" s="140">
        <v>-2.8926609012792532</v>
      </c>
      <c r="Q13" s="150">
        <v>-29.909588287251786</v>
      </c>
      <c r="R13" s="140">
        <v>-39.434628440868224</v>
      </c>
      <c r="S13" s="140"/>
      <c r="T13" s="161">
        <v>75.845999999976854</v>
      </c>
      <c r="U13" s="162">
        <v>49.305999999976621</v>
      </c>
      <c r="V13" s="168"/>
      <c r="Y13" s="134"/>
      <c r="Z13" s="150"/>
      <c r="AA13" s="150"/>
      <c r="AB13" s="134"/>
      <c r="AC13" s="150"/>
      <c r="AE13" s="134"/>
      <c r="AF13" s="150"/>
    </row>
    <row r="14" spans="1:32" x14ac:dyDescent="0.2">
      <c r="A14" t="str">
        <f>name!A12</f>
        <v>Printing and recording</v>
      </c>
      <c r="B14" s="150">
        <v>73.1450000000373</v>
      </c>
      <c r="C14" s="140">
        <v>0.2364755206051187</v>
      </c>
      <c r="D14" s="164">
        <v>100</v>
      </c>
      <c r="E14" s="150">
        <v>122.94699999997626</v>
      </c>
      <c r="F14" s="140">
        <v>0.37031966791791843</v>
      </c>
      <c r="H14" s="150">
        <v>49.801999999938957</v>
      </c>
      <c r="I14" s="140">
        <v>68.086677148012257</v>
      </c>
      <c r="K14" s="150">
        <v>5.3654285583404651</v>
      </c>
      <c r="L14" s="140">
        <v>7.3353319547989999</v>
      </c>
      <c r="N14" s="150">
        <v>3.0368099350038165</v>
      </c>
      <c r="O14" s="140">
        <v>4.1517669492135729</v>
      </c>
      <c r="Q14" s="150">
        <v>41.399761506594672</v>
      </c>
      <c r="R14" s="140">
        <v>56.599578243999673</v>
      </c>
      <c r="S14" s="140"/>
      <c r="T14" s="161">
        <v>73.1450000000373</v>
      </c>
      <c r="U14" s="162">
        <v>122.94699999997626</v>
      </c>
      <c r="V14" s="168"/>
      <c r="Y14" s="134"/>
      <c r="Z14" s="150"/>
      <c r="AA14" s="150"/>
      <c r="AB14" s="134"/>
      <c r="AC14" s="150"/>
      <c r="AE14" s="134"/>
      <c r="AF14" s="150"/>
    </row>
    <row r="15" spans="1:32" x14ac:dyDescent="0.2">
      <c r="A15" t="str">
        <f>name!A13</f>
        <v>Coke and petroleum; Chemicals, etc</v>
      </c>
      <c r="B15" s="150">
        <v>80.073000000040807</v>
      </c>
      <c r="C15" s="140">
        <v>0.25887353013074937</v>
      </c>
      <c r="D15" s="164">
        <v>100</v>
      </c>
      <c r="E15" s="150">
        <v>72.98899999998595</v>
      </c>
      <c r="F15" s="140">
        <v>0.2198448294115429</v>
      </c>
      <c r="H15" s="150">
        <v>-7.0840000000548606</v>
      </c>
      <c r="I15" s="140">
        <v>-8.846927179013214</v>
      </c>
      <c r="K15" s="150">
        <v>5.873620356169198</v>
      </c>
      <c r="L15" s="140">
        <v>7.3353319547990017</v>
      </c>
      <c r="N15" s="150">
        <v>-0.88552804492364956</v>
      </c>
      <c r="O15" s="140">
        <v>-1.1059009215630717</v>
      </c>
      <c r="Q15" s="150">
        <v>-12.072092311300409</v>
      </c>
      <c r="R15" s="140">
        <v>-15.076358212249144</v>
      </c>
      <c r="S15" s="140"/>
      <c r="T15" s="161">
        <v>80.073000000040807</v>
      </c>
      <c r="U15" s="162">
        <v>72.98899999998595</v>
      </c>
      <c r="V15" s="168"/>
      <c r="Y15" s="134"/>
      <c r="Z15" s="150"/>
      <c r="AA15" s="150"/>
      <c r="AB15" s="134"/>
      <c r="AC15" s="150"/>
      <c r="AE15" s="134"/>
      <c r="AF15" s="150"/>
    </row>
    <row r="16" spans="1:32" x14ac:dyDescent="0.2">
      <c r="A16" t="str">
        <f>name!A14</f>
        <v>Pharmaceuticals</v>
      </c>
      <c r="B16" s="150">
        <v>104.71500000005337</v>
      </c>
      <c r="C16" s="140">
        <v>0.33854035327315601</v>
      </c>
      <c r="D16" s="164">
        <v>100</v>
      </c>
      <c r="E16" s="150">
        <v>86.702999999983263</v>
      </c>
      <c r="F16" s="140">
        <v>0.26115176594375861</v>
      </c>
      <c r="H16" s="150">
        <v>-18.012000000070095</v>
      </c>
      <c r="I16" s="140">
        <v>-17.200974072540628</v>
      </c>
      <c r="K16" s="150">
        <v>7.6811928564716885</v>
      </c>
      <c r="L16" s="140">
        <v>7.3353319547990017</v>
      </c>
      <c r="N16" s="150">
        <v>-1.7558812662057193</v>
      </c>
      <c r="O16" s="140">
        <v>-1.6768192390821033</v>
      </c>
      <c r="Q16" s="150">
        <v>-23.937311590336066</v>
      </c>
      <c r="R16" s="140">
        <v>-22.859486788257524</v>
      </c>
      <c r="S16" s="140"/>
      <c r="T16" s="161">
        <v>104.71500000005337</v>
      </c>
      <c r="U16" s="162">
        <v>86.702999999983263</v>
      </c>
      <c r="V16" s="168"/>
      <c r="Y16" s="134"/>
      <c r="Z16" s="150"/>
      <c r="AA16" s="150"/>
      <c r="AB16" s="134"/>
      <c r="AC16" s="150"/>
      <c r="AE16" s="134"/>
      <c r="AF16" s="150"/>
    </row>
    <row r="17" spans="1:32" x14ac:dyDescent="0.2">
      <c r="A17" t="str">
        <f>name!A15</f>
        <v>Rubber and plastic</v>
      </c>
      <c r="B17" s="150">
        <v>11.055999999985691</v>
      </c>
      <c r="C17" s="140">
        <v>3.5743705732524098E-2</v>
      </c>
      <c r="D17" s="164">
        <v>100</v>
      </c>
      <c r="E17" s="150">
        <v>18.25699999999954</v>
      </c>
      <c r="F17" s="140">
        <v>5.4990574614903753E-2</v>
      </c>
      <c r="H17" s="150">
        <v>7.2010000000138481</v>
      </c>
      <c r="I17" s="140">
        <v>65.132054992973664</v>
      </c>
      <c r="K17" s="150">
        <v>0.81099430092152791</v>
      </c>
      <c r="L17" s="140">
        <v>7.3353319547990017</v>
      </c>
      <c r="N17" s="150">
        <v>0.43669509510288052</v>
      </c>
      <c r="O17" s="140">
        <v>3.9498470975347839</v>
      </c>
      <c r="Q17" s="150">
        <v>5.9533106039894399</v>
      </c>
      <c r="R17" s="140">
        <v>53.846875940639883</v>
      </c>
      <c r="S17" s="140"/>
      <c r="T17" s="161">
        <v>11.055999999985691</v>
      </c>
      <c r="U17" s="162">
        <v>18.25699999999954</v>
      </c>
      <c r="V17" s="168"/>
      <c r="Y17" s="134"/>
      <c r="Z17" s="150"/>
      <c r="AA17" s="150"/>
      <c r="AB17" s="134"/>
      <c r="AC17" s="150"/>
      <c r="AE17" s="134"/>
      <c r="AF17" s="150"/>
    </row>
    <row r="18" spans="1:32" x14ac:dyDescent="0.2">
      <c r="A18" t="str">
        <f>name!A16</f>
        <v>Other non-metallic</v>
      </c>
      <c r="B18" s="150">
        <v>93.389000000008025</v>
      </c>
      <c r="C18" s="140">
        <v>0.30192374589899607</v>
      </c>
      <c r="D18" s="164">
        <v>100</v>
      </c>
      <c r="E18" s="150">
        <v>88.958999999932729</v>
      </c>
      <c r="F18" s="140">
        <v>0.26794689856842019</v>
      </c>
      <c r="H18" s="150">
        <v>-4.4300000000752915</v>
      </c>
      <c r="I18" s="140">
        <v>-4.7435993533231011</v>
      </c>
      <c r="K18" s="150">
        <v>6.8503931592678278</v>
      </c>
      <c r="L18" s="140">
        <v>7.3353319547990017</v>
      </c>
      <c r="N18" s="150">
        <v>-0.77090578561093448</v>
      </c>
      <c r="O18" s="140">
        <v>-0.82547814583180912</v>
      </c>
      <c r="Q18" s="150">
        <v>-10.509487373732185</v>
      </c>
      <c r="R18" s="140">
        <v>-11.253453162290294</v>
      </c>
      <c r="S18" s="140"/>
      <c r="T18" s="161">
        <v>93.389000000008025</v>
      </c>
      <c r="U18" s="162">
        <v>88.958999999932729</v>
      </c>
      <c r="V18" s="168"/>
      <c r="Y18" s="134"/>
      <c r="Z18" s="150"/>
      <c r="AA18" s="150"/>
      <c r="AB18" s="134"/>
      <c r="AC18" s="150"/>
      <c r="AE18" s="134"/>
      <c r="AF18" s="150"/>
    </row>
    <row r="19" spans="1:32" x14ac:dyDescent="0.2">
      <c r="A19" t="str">
        <f>name!A17</f>
        <v>Basic metals</v>
      </c>
      <c r="B19" s="150">
        <v>27.854999999989587</v>
      </c>
      <c r="C19" s="140">
        <v>9.0054352675504282E-2</v>
      </c>
      <c r="D19" s="164">
        <v>100</v>
      </c>
      <c r="E19" s="150">
        <v>33.922000000006818</v>
      </c>
      <c r="F19" s="140">
        <v>0.1021739755757894</v>
      </c>
      <c r="H19" s="150">
        <v>6.0670000000172291</v>
      </c>
      <c r="I19" s="140">
        <v>21.78064979364386</v>
      </c>
      <c r="K19" s="150">
        <v>2.0432567160084982</v>
      </c>
      <c r="L19" s="140">
        <v>7.3353319547990017</v>
      </c>
      <c r="N19" s="150">
        <v>0.27498394192814857</v>
      </c>
      <c r="O19" s="140">
        <v>0.98719778111021839</v>
      </c>
      <c r="Q19" s="150">
        <v>3.7487593420805823</v>
      </c>
      <c r="R19" s="140">
        <v>13.458120057734638</v>
      </c>
      <c r="S19" s="140"/>
      <c r="T19" s="161">
        <v>27.854999999989587</v>
      </c>
      <c r="U19" s="162">
        <v>33.922000000006818</v>
      </c>
      <c r="V19" s="168"/>
      <c r="Y19" s="134"/>
      <c r="Z19" s="150"/>
      <c r="AA19" s="150"/>
      <c r="AB19" s="134"/>
      <c r="AC19" s="150"/>
      <c r="AE19" s="134"/>
      <c r="AF19" s="150"/>
    </row>
    <row r="20" spans="1:32" x14ac:dyDescent="0.2">
      <c r="A20" t="str">
        <f>name!A18</f>
        <v>Metal products</v>
      </c>
      <c r="B20" s="150">
        <v>171.25499999999897</v>
      </c>
      <c r="C20" s="140">
        <v>0.55366211335304816</v>
      </c>
      <c r="D20" s="164">
        <v>100</v>
      </c>
      <c r="E20" s="150">
        <v>174.72100000005108</v>
      </c>
      <c r="F20" s="140">
        <v>0.52626434722537385</v>
      </c>
      <c r="H20" s="150">
        <v>3.4660000000520959</v>
      </c>
      <c r="I20" s="140">
        <v>2.0238825144095745</v>
      </c>
      <c r="K20" s="150">
        <v>12.562122739190956</v>
      </c>
      <c r="L20" s="140">
        <v>7.3353319547990026</v>
      </c>
      <c r="N20" s="150">
        <v>-0.62163202533603767</v>
      </c>
      <c r="O20" s="140">
        <v>-0.36298620497856493</v>
      </c>
      <c r="Q20" s="150">
        <v>-8.4744907138028225</v>
      </c>
      <c r="R20" s="140">
        <v>-4.9484632354108635</v>
      </c>
      <c r="S20" s="140"/>
      <c r="T20" s="161">
        <v>171.25499999999897</v>
      </c>
      <c r="U20" s="162">
        <v>174.72100000005108</v>
      </c>
      <c r="V20" s="168"/>
      <c r="Y20" s="134"/>
      <c r="Z20" s="150"/>
      <c r="AA20" s="150"/>
      <c r="AB20" s="134"/>
      <c r="AC20" s="150"/>
      <c r="AE20" s="134"/>
      <c r="AF20" s="150"/>
    </row>
    <row r="21" spans="1:32" x14ac:dyDescent="0.2">
      <c r="A21" t="str">
        <f>name!A19</f>
        <v>Computer, etc</v>
      </c>
      <c r="B21" s="150">
        <v>80.063999999999524</v>
      </c>
      <c r="C21" s="140">
        <v>0.25884443340923446</v>
      </c>
      <c r="D21" s="164">
        <v>100</v>
      </c>
      <c r="E21" s="150">
        <v>93.491000000027313</v>
      </c>
      <c r="F21" s="140">
        <v>0.28159740435578678</v>
      </c>
      <c r="H21" s="150">
        <v>13.427000000027794</v>
      </c>
      <c r="I21" s="140">
        <v>16.770333733048403</v>
      </c>
      <c r="K21" s="150">
        <v>5.8729601762902375</v>
      </c>
      <c r="L21" s="140">
        <v>7.3353319547990017</v>
      </c>
      <c r="N21" s="150">
        <v>0.51624557075223443</v>
      </c>
      <c r="O21" s="140">
        <v>0.64479113053586812</v>
      </c>
      <c r="Q21" s="150">
        <v>7.0377942529853215</v>
      </c>
      <c r="R21" s="140">
        <v>8.7902106477135344</v>
      </c>
      <c r="S21" s="140"/>
      <c r="T21" s="161">
        <v>80.063999999999524</v>
      </c>
      <c r="U21" s="162">
        <v>93.491000000027313</v>
      </c>
      <c r="V21" s="168"/>
      <c r="Y21" s="134"/>
      <c r="Z21" s="150"/>
      <c r="AA21" s="150"/>
      <c r="AB21" s="134"/>
      <c r="AC21" s="150"/>
      <c r="AE21" s="134"/>
      <c r="AF21" s="150"/>
    </row>
    <row r="22" spans="1:32" x14ac:dyDescent="0.2">
      <c r="A22" t="str">
        <f>name!A20</f>
        <v>Electrical equipment</v>
      </c>
      <c r="B22" s="150">
        <v>66.058000000045865</v>
      </c>
      <c r="C22" s="140">
        <v>0.21356346900178841</v>
      </c>
      <c r="D22" s="164">
        <v>100</v>
      </c>
      <c r="E22" s="150">
        <v>69.29699999994429</v>
      </c>
      <c r="F22" s="140">
        <v>0.20872442619740475</v>
      </c>
      <c r="H22" s="150">
        <v>3.2389999998984278</v>
      </c>
      <c r="I22" s="140">
        <v>4.9032668259653311</v>
      </c>
      <c r="K22" s="150">
        <v>4.845573582704489</v>
      </c>
      <c r="L22" s="140">
        <v>7.3353319547990017</v>
      </c>
      <c r="N22" s="150">
        <v>-0.10979376804513397</v>
      </c>
      <c r="O22" s="140">
        <v>-0.16620813231562828</v>
      </c>
      <c r="Q22" s="150">
        <v>-1.4967798147609273</v>
      </c>
      <c r="R22" s="140">
        <v>-2.2658569965180417</v>
      </c>
      <c r="S22" s="140"/>
      <c r="T22" s="161">
        <v>66.058000000045865</v>
      </c>
      <c r="U22" s="162">
        <v>69.29699999994429</v>
      </c>
      <c r="V22" s="168"/>
      <c r="Y22" s="134"/>
      <c r="Z22" s="150"/>
      <c r="AA22" s="150"/>
      <c r="AB22" s="134"/>
      <c r="AC22" s="150"/>
      <c r="AE22" s="134"/>
      <c r="AF22" s="150"/>
    </row>
    <row r="23" spans="1:32" x14ac:dyDescent="0.2">
      <c r="A23" t="str">
        <f>name!A21</f>
        <v>Machinery n.e.c.</v>
      </c>
      <c r="B23" s="150">
        <v>320.67900000022286</v>
      </c>
      <c r="C23" s="140">
        <v>1.036745279542592</v>
      </c>
      <c r="D23" s="164">
        <v>100</v>
      </c>
      <c r="E23" s="150">
        <v>294.9469999997628</v>
      </c>
      <c r="F23" s="140">
        <v>0.88838829002187569</v>
      </c>
      <c r="H23" s="150">
        <v>-25.732000000460072</v>
      </c>
      <c r="I23" s="140">
        <v>-8.0242236006854792</v>
      </c>
      <c r="K23" s="150">
        <v>23.522869159346239</v>
      </c>
      <c r="L23" s="140">
        <v>7.3353319547990017</v>
      </c>
      <c r="N23" s="150">
        <v>-3.366093988785714</v>
      </c>
      <c r="O23" s="140">
        <v>-1.0496770879238662</v>
      </c>
      <c r="Q23" s="150">
        <v>-45.888775171020598</v>
      </c>
      <c r="R23" s="140">
        <v>-14.309878467560615</v>
      </c>
      <c r="S23" s="140"/>
      <c r="T23" s="161">
        <v>320.67900000022286</v>
      </c>
      <c r="U23" s="162">
        <v>294.9469999997628</v>
      </c>
      <c r="V23" s="168"/>
      <c r="Y23" s="134"/>
      <c r="Z23" s="150"/>
      <c r="AA23" s="150"/>
      <c r="AB23" s="134"/>
      <c r="AC23" s="150"/>
      <c r="AE23" s="134"/>
      <c r="AF23" s="150"/>
    </row>
    <row r="24" spans="1:32" x14ac:dyDescent="0.2">
      <c r="A24" t="str">
        <f>name!A22</f>
        <v>Motor vehicles, etc</v>
      </c>
      <c r="B24" s="150">
        <v>140.47299999999331</v>
      </c>
      <c r="C24" s="140">
        <v>0.45414486029044115</v>
      </c>
      <c r="D24" s="164">
        <v>100</v>
      </c>
      <c r="E24" s="150">
        <v>162.91900000005276</v>
      </c>
      <c r="F24" s="140">
        <v>0.49071640607375983</v>
      </c>
      <c r="H24" s="150">
        <v>22.44600000005946</v>
      </c>
      <c r="I24" s="140">
        <v>15.97887138457962</v>
      </c>
      <c r="K24" s="150">
        <v>10.304160856864311</v>
      </c>
      <c r="L24" s="140">
        <v>7.3353319547990017</v>
      </c>
      <c r="N24" s="150">
        <v>0.82977728801001405</v>
      </c>
      <c r="O24" s="140">
        <v>0.59070233283980089</v>
      </c>
      <c r="Q24" s="150">
        <v>11.312061855185135</v>
      </c>
      <c r="R24" s="140">
        <v>8.0528370969408165</v>
      </c>
      <c r="S24" s="140"/>
      <c r="T24" s="161">
        <v>140.47299999999331</v>
      </c>
      <c r="U24" s="162">
        <v>162.91900000005276</v>
      </c>
      <c r="V24" s="168"/>
      <c r="Y24" s="134"/>
      <c r="Z24" s="150"/>
      <c r="AA24" s="150"/>
      <c r="AB24" s="134"/>
      <c r="AC24" s="150"/>
      <c r="AE24" s="134"/>
      <c r="AF24" s="150"/>
    </row>
    <row r="25" spans="1:32" x14ac:dyDescent="0.2">
      <c r="A25" t="str">
        <f>name!A23</f>
        <v>Other transport equipment</v>
      </c>
      <c r="B25" s="150">
        <v>67.744000000034035</v>
      </c>
      <c r="C25" s="140">
        <v>0.21901425480720543</v>
      </c>
      <c r="D25" s="164">
        <v>100</v>
      </c>
      <c r="E25" s="150">
        <v>77.434000000005142</v>
      </c>
      <c r="F25" s="140">
        <v>0.23323328886075737</v>
      </c>
      <c r="H25" s="150">
        <v>9.6899999999711</v>
      </c>
      <c r="I25" s="140">
        <v>14.303849787385202</v>
      </c>
      <c r="K25" s="150">
        <v>4.9692472794615323</v>
      </c>
      <c r="L25" s="140">
        <v>7.3353319547990017</v>
      </c>
      <c r="N25" s="150">
        <v>0.32261779649633304</v>
      </c>
      <c r="O25" s="140">
        <v>0.4762308049364829</v>
      </c>
      <c r="Q25" s="150">
        <v>4.3981349240132346</v>
      </c>
      <c r="R25" s="140">
        <v>6.4922870276497182</v>
      </c>
      <c r="S25" s="140"/>
      <c r="T25" s="161">
        <v>67.744000000034035</v>
      </c>
      <c r="U25" s="162">
        <v>77.434000000005142</v>
      </c>
      <c r="V25" s="168"/>
      <c r="Y25" s="134"/>
      <c r="Z25" s="150"/>
      <c r="AA25" s="150"/>
      <c r="AB25" s="134"/>
      <c r="AC25" s="150"/>
      <c r="AE25" s="134"/>
      <c r="AF25" s="150"/>
    </row>
    <row r="26" spans="1:32" x14ac:dyDescent="0.2">
      <c r="A26" t="str">
        <f>name!A24</f>
        <v>Furniture</v>
      </c>
      <c r="B26" s="150">
        <v>182.40299999999939</v>
      </c>
      <c r="C26" s="140">
        <v>0.58970325223751896</v>
      </c>
      <c r="D26" s="164">
        <v>100</v>
      </c>
      <c r="E26" s="150">
        <v>185.13999999993501</v>
      </c>
      <c r="F26" s="140">
        <v>0.55764665521169765</v>
      </c>
      <c r="H26" s="150">
        <v>2.7369999999356223</v>
      </c>
      <c r="I26" s="140">
        <v>1.5005235659148322</v>
      </c>
      <c r="K26" s="150">
        <v>13.379865545511977</v>
      </c>
      <c r="L26" s="140">
        <v>7.3353319547990017</v>
      </c>
      <c r="N26" s="150">
        <v>-0.727336938408782</v>
      </c>
      <c r="O26" s="140">
        <v>-0.39875272797529882</v>
      </c>
      <c r="Q26" s="150">
        <v>-9.9155286071675732</v>
      </c>
      <c r="R26" s="140">
        <v>-5.4360556609088704</v>
      </c>
      <c r="S26" s="140"/>
      <c r="T26" s="161">
        <v>182.40299999999939</v>
      </c>
      <c r="U26" s="162">
        <v>185.13999999993501</v>
      </c>
      <c r="V26" s="168"/>
      <c r="Y26" s="134"/>
      <c r="Z26" s="150"/>
      <c r="AA26" s="150"/>
      <c r="AB26" s="134"/>
      <c r="AC26" s="150"/>
      <c r="AE26" s="134"/>
      <c r="AF26" s="150"/>
    </row>
    <row r="27" spans="1:32" x14ac:dyDescent="0.2">
      <c r="A27" t="str">
        <f>name!A25</f>
        <v>Other manufacturing</v>
      </c>
      <c r="B27" s="150">
        <v>90.135000000064551</v>
      </c>
      <c r="C27" s="140">
        <v>0.29140366463526929</v>
      </c>
      <c r="D27" s="164">
        <v>100</v>
      </c>
      <c r="E27" s="150">
        <v>65.68600000003066</v>
      </c>
      <c r="F27" s="140">
        <v>0.19784799716034099</v>
      </c>
      <c r="H27" s="150">
        <v>-24.449000000033891</v>
      </c>
      <c r="I27" s="140">
        <v>-27.124868253193966</v>
      </c>
      <c r="K27" s="150">
        <v>6.6117014574628152</v>
      </c>
      <c r="L27" s="140">
        <v>7.3353319547990017</v>
      </c>
      <c r="N27" s="150">
        <v>-2.1226985726898846</v>
      </c>
      <c r="O27" s="140">
        <v>-2.3550214374974918</v>
      </c>
      <c r="Q27" s="150">
        <v>-28.938002884806821</v>
      </c>
      <c r="R27" s="140">
        <v>-32.105178770495471</v>
      </c>
      <c r="S27" s="140"/>
      <c r="T27" s="161">
        <v>90.135000000064551</v>
      </c>
      <c r="U27" s="162">
        <v>65.68600000003066</v>
      </c>
      <c r="V27" s="168"/>
      <c r="Y27" s="134"/>
      <c r="Z27" s="150"/>
      <c r="AA27" s="150"/>
      <c r="AB27" s="134"/>
      <c r="AC27" s="150"/>
      <c r="AE27" s="134"/>
      <c r="AF27" s="150"/>
    </row>
    <row r="28" spans="1:32" x14ac:dyDescent="0.2">
      <c r="A28" t="str">
        <f>name!A26</f>
        <v>Repair and installation</v>
      </c>
      <c r="B28" s="150">
        <v>65.316000000028879</v>
      </c>
      <c r="C28" s="140">
        <v>0.2111646059722864</v>
      </c>
      <c r="D28" s="164">
        <v>100</v>
      </c>
      <c r="E28" s="150">
        <v>58.65599999997378</v>
      </c>
      <c r="F28" s="140">
        <v>0.17667344824508047</v>
      </c>
      <c r="H28" s="150">
        <v>-6.6600000000551081</v>
      </c>
      <c r="I28" s="140">
        <v>-10.196582766936375</v>
      </c>
      <c r="K28" s="150">
        <v>4.7911454195986343</v>
      </c>
      <c r="L28" s="140">
        <v>7.3353319547990017</v>
      </c>
      <c r="N28" s="150">
        <v>-0.78257505134664118</v>
      </c>
      <c r="O28" s="140">
        <v>-1.1981368291786012</v>
      </c>
      <c r="Q28" s="150">
        <v>-10.668570368307101</v>
      </c>
      <c r="R28" s="140">
        <v>-16.333777892556778</v>
      </c>
      <c r="S28" s="140"/>
      <c r="T28" s="161">
        <v>65.316000000028879</v>
      </c>
      <c r="U28" s="162">
        <v>58.65599999997378</v>
      </c>
      <c r="V28" s="168"/>
      <c r="Y28" s="134"/>
      <c r="Z28" s="150"/>
      <c r="AA28" s="150"/>
      <c r="AB28" s="134"/>
      <c r="AC28" s="150"/>
      <c r="AE28" s="134"/>
      <c r="AF28" s="150"/>
    </row>
    <row r="29" spans="1:32" x14ac:dyDescent="0.2">
      <c r="A29" t="str">
        <f>name!A27</f>
        <v>Electricity, gas, etc</v>
      </c>
      <c r="B29" s="150">
        <v>217.60999999992853</v>
      </c>
      <c r="C29" s="140">
        <v>0.70352639331241695</v>
      </c>
      <c r="D29" s="164">
        <v>100</v>
      </c>
      <c r="E29" s="150">
        <v>203.759000000095</v>
      </c>
      <c r="F29" s="140">
        <v>0.61372758355500256</v>
      </c>
      <c r="H29" s="150">
        <v>-13.850999999833526</v>
      </c>
      <c r="I29" s="140">
        <v>-6.3650567528321655</v>
      </c>
      <c r="K29" s="150">
        <v>15.962415866832863</v>
      </c>
      <c r="L29" s="140">
        <v>7.3353319547990017</v>
      </c>
      <c r="N29" s="150">
        <v>-2.03745866440849</v>
      </c>
      <c r="O29" s="140">
        <v>-0.93628907881492551</v>
      </c>
      <c r="Q29" s="150">
        <v>-27.775957202257899</v>
      </c>
      <c r="R29" s="140">
        <v>-12.764099628816242</v>
      </c>
      <c r="S29" s="140"/>
      <c r="T29" s="161">
        <v>217.60999999992853</v>
      </c>
      <c r="U29" s="162">
        <v>203.759000000095</v>
      </c>
      <c r="V29" s="168"/>
      <c r="W29" s="139"/>
      <c r="Y29" s="134"/>
      <c r="Z29" s="150"/>
      <c r="AA29" s="150"/>
      <c r="AB29" s="134"/>
      <c r="AC29" s="150"/>
      <c r="AE29" s="134"/>
      <c r="AF29" s="150"/>
    </row>
    <row r="30" spans="1:32" x14ac:dyDescent="0.2">
      <c r="A30" t="str">
        <f>name!A28</f>
        <v>Water</v>
      </c>
      <c r="B30" s="150">
        <v>76.56499999997483</v>
      </c>
      <c r="C30" s="140">
        <v>0.24753227472986161</v>
      </c>
      <c r="D30" s="164">
        <v>100</v>
      </c>
      <c r="E30" s="150">
        <v>91.782000000042814</v>
      </c>
      <c r="F30" s="140">
        <v>0.27644985043038717</v>
      </c>
      <c r="H30" s="150">
        <v>15.217000000067987</v>
      </c>
      <c r="I30" s="140">
        <v>19.874616339153647</v>
      </c>
      <c r="K30" s="150">
        <v>5.616296911190009</v>
      </c>
      <c r="L30" s="140">
        <v>7.3353319547990017</v>
      </c>
      <c r="N30" s="150">
        <v>0.65611521270592732</v>
      </c>
      <c r="O30" s="140">
        <v>0.85693882675653765</v>
      </c>
      <c r="Q30" s="150">
        <v>8.9445878761720508</v>
      </c>
      <c r="R30" s="140">
        <v>11.682345557598108</v>
      </c>
      <c r="S30" s="140"/>
      <c r="T30" s="161">
        <v>76.56499999997483</v>
      </c>
      <c r="U30" s="162">
        <v>91.782000000042814</v>
      </c>
      <c r="V30" s="168"/>
      <c r="Y30" s="134"/>
      <c r="Z30" s="150"/>
      <c r="AA30" s="150"/>
      <c r="AB30" s="134"/>
      <c r="AC30" s="150"/>
      <c r="AE30" s="134"/>
      <c r="AF30" s="150"/>
    </row>
    <row r="31" spans="1:32" x14ac:dyDescent="0.2">
      <c r="A31" t="str">
        <f>name!A29</f>
        <v>Sewerage</v>
      </c>
      <c r="B31" s="150">
        <v>82.465999999925302</v>
      </c>
      <c r="C31" s="140">
        <v>0.266610025048795</v>
      </c>
      <c r="D31" s="164">
        <v>100</v>
      </c>
      <c r="E31" s="150">
        <v>87.377999999966974</v>
      </c>
      <c r="F31" s="140">
        <v>0.26318488408278279</v>
      </c>
      <c r="H31" s="150">
        <v>4.9120000000416617</v>
      </c>
      <c r="I31" s="140">
        <v>5.9563941503724092</v>
      </c>
      <c r="K31" s="150">
        <v>6.0491548498390655</v>
      </c>
      <c r="L31" s="140">
        <v>7.3353319547990017</v>
      </c>
      <c r="N31" s="150">
        <v>-7.7713537149029399E-2</v>
      </c>
      <c r="O31" s="140">
        <v>-9.4237063940411564E-2</v>
      </c>
      <c r="Q31" s="150">
        <v>-1.0594413126483744</v>
      </c>
      <c r="R31" s="140">
        <v>-1.284700740486181</v>
      </c>
      <c r="S31" s="140"/>
      <c r="T31" s="161">
        <v>82.465999999925302</v>
      </c>
      <c r="U31" s="162">
        <v>87.377999999966974</v>
      </c>
      <c r="V31" s="168"/>
      <c r="Y31" s="134"/>
      <c r="Z31" s="150"/>
      <c r="AA31" s="150"/>
      <c r="AB31" s="134"/>
      <c r="AC31" s="150"/>
      <c r="AE31" s="134"/>
      <c r="AF31" s="150"/>
    </row>
    <row r="32" spans="1:32" x14ac:dyDescent="0.2">
      <c r="A32" t="str">
        <f>name!A30</f>
        <v>Waste management</v>
      </c>
      <c r="B32" s="150">
        <v>32.932999999964288</v>
      </c>
      <c r="C32" s="140">
        <v>0.10647136947263597</v>
      </c>
      <c r="D32" s="164">
        <v>100</v>
      </c>
      <c r="E32" s="150">
        <v>34.895000000015962</v>
      </c>
      <c r="F32" s="140">
        <v>0.10510467772295519</v>
      </c>
      <c r="H32" s="150">
        <v>1.9620000000516737</v>
      </c>
      <c r="I32" s="140">
        <v>5.957550177796743</v>
      </c>
      <c r="K32" s="150">
        <v>2.4157448726713358</v>
      </c>
      <c r="L32" s="140">
        <v>7.3353319547990017</v>
      </c>
      <c r="N32" s="150">
        <v>-3.1009074112286816E-2</v>
      </c>
      <c r="O32" s="140">
        <v>-9.4158060645311514E-2</v>
      </c>
      <c r="Q32" s="150">
        <v>-0.42273579850737519</v>
      </c>
      <c r="R32" s="140">
        <v>-1.2836237163569477</v>
      </c>
      <c r="S32" s="140"/>
      <c r="T32" s="161">
        <v>32.932999999964288</v>
      </c>
      <c r="U32" s="162">
        <v>34.895000000015962</v>
      </c>
      <c r="V32" s="168"/>
      <c r="Y32" s="134"/>
      <c r="Z32" s="150"/>
      <c r="AA32" s="150"/>
      <c r="AB32" s="134"/>
      <c r="AC32" s="150"/>
      <c r="AE32" s="134"/>
      <c r="AF32" s="150"/>
    </row>
    <row r="33" spans="1:32" x14ac:dyDescent="0.2">
      <c r="A33" t="str">
        <f>name!A31</f>
        <v>Construction</v>
      </c>
      <c r="B33" s="150">
        <v>35.430000000000284</v>
      </c>
      <c r="C33" s="140">
        <v>0.11454409317157906</v>
      </c>
      <c r="D33" s="164">
        <v>100</v>
      </c>
      <c r="E33" s="150">
        <v>35.217999999995349</v>
      </c>
      <c r="F33" s="140">
        <v>0.10607756240277558</v>
      </c>
      <c r="H33" s="150">
        <v>-0.2120000000049331</v>
      </c>
      <c r="I33" s="140">
        <v>-0.59836296924903021</v>
      </c>
      <c r="K33" s="150">
        <v>2.598908111585307</v>
      </c>
      <c r="L33" s="140">
        <v>7.3353319547990017</v>
      </c>
      <c r="N33" s="150">
        <v>-0.19209838659309805</v>
      </c>
      <c r="O33" s="140">
        <v>-0.54219132541094139</v>
      </c>
      <c r="Q33" s="150">
        <v>-2.618809724997142</v>
      </c>
      <c r="R33" s="140">
        <v>-7.3915035986370903</v>
      </c>
      <c r="S33" s="140"/>
      <c r="T33" s="161">
        <v>35.430000000000284</v>
      </c>
      <c r="U33" s="162">
        <v>35.217999999995349</v>
      </c>
      <c r="V33" s="168"/>
      <c r="Y33" s="134"/>
      <c r="Z33" s="150"/>
      <c r="AA33" s="150"/>
      <c r="AB33" s="134"/>
      <c r="AC33" s="150"/>
      <c r="AE33" s="134"/>
      <c r="AF33" s="150"/>
    </row>
    <row r="34" spans="1:32" x14ac:dyDescent="0.2">
      <c r="A34" t="str">
        <f>name!A32</f>
        <v>Civil engineering</v>
      </c>
      <c r="B34" s="150">
        <v>145.50300000000124</v>
      </c>
      <c r="C34" s="140">
        <v>0.47040669457364592</v>
      </c>
      <c r="D34" s="164">
        <v>100</v>
      </c>
      <c r="E34" s="150">
        <v>144.62799999998086</v>
      </c>
      <c r="F34" s="140">
        <v>0.43562342254496622</v>
      </c>
      <c r="H34" s="150">
        <v>-0.8750000000203727</v>
      </c>
      <c r="I34" s="140">
        <v>-0.60136217124070657</v>
      </c>
      <c r="K34" s="150">
        <v>10.673128054191281</v>
      </c>
      <c r="L34" s="140">
        <v>7.3353319547990017</v>
      </c>
      <c r="N34" s="150">
        <v>-0.78920287654993049</v>
      </c>
      <c r="O34" s="140">
        <v>-0.54239629186334559</v>
      </c>
      <c r="Q34" s="150">
        <v>-10.758925177661723</v>
      </c>
      <c r="R34" s="140">
        <v>-7.3942978341763625</v>
      </c>
      <c r="S34" s="140"/>
      <c r="T34" s="161">
        <v>145.50300000000124</v>
      </c>
      <c r="U34" s="162">
        <v>144.62799999998086</v>
      </c>
      <c r="V34" s="168"/>
      <c r="Y34" s="134"/>
      <c r="Z34" s="150"/>
      <c r="AA34" s="150"/>
      <c r="AB34" s="134"/>
      <c r="AC34" s="150"/>
      <c r="AE34" s="134"/>
      <c r="AF34" s="150"/>
    </row>
    <row r="35" spans="1:32" x14ac:dyDescent="0.2">
      <c r="A35" t="str">
        <f>name!A33</f>
        <v>Specialised construction</v>
      </c>
      <c r="B35" s="150">
        <v>1697.6410000011963</v>
      </c>
      <c r="C35" s="140">
        <v>5.4884207980815161</v>
      </c>
      <c r="D35" s="164">
        <v>100</v>
      </c>
      <c r="E35" s="150">
        <v>1865.8430000002486</v>
      </c>
      <c r="F35" s="140">
        <v>5.619969256242106</v>
      </c>
      <c r="H35" s="150">
        <v>168.20199999905239</v>
      </c>
      <c r="I35" s="140">
        <v>9.9079840790210572</v>
      </c>
      <c r="K35" s="150">
        <v>124.52760275085707</v>
      </c>
      <c r="L35" s="140">
        <v>7.3353319547990017</v>
      </c>
      <c r="N35" s="150">
        <v>2.9847226994760661</v>
      </c>
      <c r="O35" s="140">
        <v>0.17581589390654223</v>
      </c>
      <c r="Q35" s="150">
        <v>40.689674548719267</v>
      </c>
      <c r="R35" s="140">
        <v>2.3968362303155142</v>
      </c>
      <c r="S35" s="140"/>
      <c r="T35" s="161">
        <v>1697.6410000011963</v>
      </c>
      <c r="U35" s="162">
        <v>1865.8430000002486</v>
      </c>
      <c r="V35" s="168"/>
      <c r="Y35" s="134"/>
      <c r="Z35" s="150"/>
      <c r="AA35" s="150"/>
      <c r="AB35" s="134"/>
      <c r="AC35" s="150"/>
      <c r="AE35" s="134"/>
      <c r="AF35" s="150"/>
    </row>
    <row r="36" spans="1:32" x14ac:dyDescent="0.2">
      <c r="A36" t="str">
        <f>name!A34</f>
        <v>Motor vehicle trade</v>
      </c>
      <c r="B36" s="150">
        <v>569.9599999994731</v>
      </c>
      <c r="C36" s="140">
        <v>1.842663035394082</v>
      </c>
      <c r="D36" s="164">
        <v>100</v>
      </c>
      <c r="E36" s="150">
        <v>641.79699999991612</v>
      </c>
      <c r="F36" s="140">
        <v>1.9331098108187363</v>
      </c>
      <c r="H36" s="150">
        <v>71.837000000443084</v>
      </c>
      <c r="I36" s="140">
        <v>12.603866938120129</v>
      </c>
      <c r="K36" s="150">
        <v>41.808458009533737</v>
      </c>
      <c r="L36" s="140">
        <v>7.3353319547990017</v>
      </c>
      <c r="N36" s="150">
        <v>2.0521604546274403</v>
      </c>
      <c r="O36" s="140">
        <v>0.36005341684141651</v>
      </c>
      <c r="Q36" s="150">
        <v>27.976381536281906</v>
      </c>
      <c r="R36" s="140">
        <v>4.9084815664797121</v>
      </c>
      <c r="S36" s="140"/>
      <c r="T36" s="161">
        <v>569.9599999994731</v>
      </c>
      <c r="U36" s="162">
        <v>641.79699999991612</v>
      </c>
      <c r="V36" s="168"/>
      <c r="Y36" s="134"/>
      <c r="Z36" s="150"/>
      <c r="AA36" s="150"/>
      <c r="AB36" s="134"/>
      <c r="AC36" s="150"/>
      <c r="AE36" s="134"/>
      <c r="AF36" s="150"/>
    </row>
    <row r="37" spans="1:32" x14ac:dyDescent="0.2">
      <c r="A37" t="str">
        <f>name!A35</f>
        <v>Wholesale trade</v>
      </c>
      <c r="B37" s="150">
        <v>1164.0059999989242</v>
      </c>
      <c r="C37" s="140">
        <v>3.7631953631428945</v>
      </c>
      <c r="D37" s="164">
        <v>100</v>
      </c>
      <c r="E37" s="150">
        <v>1232.8599999998389</v>
      </c>
      <c r="F37" s="140">
        <v>3.7134074502778711</v>
      </c>
      <c r="H37" s="150">
        <v>68.854000000914795</v>
      </c>
      <c r="I37" s="140">
        <v>5.9152616052647868</v>
      </c>
      <c r="K37" s="150">
        <v>85.383704073698738</v>
      </c>
      <c r="L37" s="140">
        <v>7.3353319547989999</v>
      </c>
      <c r="N37" s="150">
        <v>-1.1296454231819553</v>
      </c>
      <c r="O37" s="140">
        <v>-9.7048075627015618E-2</v>
      </c>
      <c r="Q37" s="150">
        <v>-15.400058649601988</v>
      </c>
      <c r="R37" s="140">
        <v>-1.3230222739071982</v>
      </c>
      <c r="S37" s="140"/>
      <c r="T37" s="161">
        <v>1164.0059999989242</v>
      </c>
      <c r="U37" s="162">
        <v>1232.8599999998389</v>
      </c>
      <c r="V37" s="168"/>
      <c r="Y37" s="134"/>
      <c r="Z37" s="150"/>
      <c r="AA37" s="150"/>
      <c r="AB37" s="134"/>
      <c r="AC37" s="150"/>
      <c r="AE37" s="134"/>
      <c r="AF37" s="150"/>
    </row>
    <row r="38" spans="1:32" x14ac:dyDescent="0.2">
      <c r="A38" t="str">
        <f>name!A36</f>
        <v>Retail trade</v>
      </c>
      <c r="B38" s="150">
        <v>3028.8189999972019</v>
      </c>
      <c r="C38" s="140">
        <v>9.7920780619679828</v>
      </c>
      <c r="D38" s="164">
        <v>100</v>
      </c>
      <c r="E38" s="150">
        <v>3261.3079999995739</v>
      </c>
      <c r="F38" s="140">
        <v>9.8231473361540029</v>
      </c>
      <c r="H38" s="150">
        <v>232.48900000237208</v>
      </c>
      <c r="I38" s="140">
        <v>7.675896116690593</v>
      </c>
      <c r="K38" s="150">
        <v>222.17392795981831</v>
      </c>
      <c r="L38" s="140">
        <v>7.3353319547990017</v>
      </c>
      <c r="N38" s="150">
        <v>0.70493542239819362</v>
      </c>
      <c r="O38" s="140">
        <v>2.3274267045962298E-2</v>
      </c>
      <c r="Q38" s="150">
        <v>9.610136620155572</v>
      </c>
      <c r="R38" s="140">
        <v>0.31728989484562958</v>
      </c>
      <c r="S38" s="140"/>
      <c r="T38" s="161">
        <v>3028.8189999972019</v>
      </c>
      <c r="U38" s="162">
        <v>3261.3079999995739</v>
      </c>
      <c r="V38" s="168"/>
      <c r="Y38" s="134"/>
      <c r="Z38" s="150"/>
      <c r="AA38" s="150"/>
      <c r="AB38" s="134"/>
      <c r="AC38" s="150"/>
      <c r="AE38" s="134"/>
      <c r="AF38" s="150"/>
    </row>
    <row r="39" spans="1:32" x14ac:dyDescent="0.2">
      <c r="A39" t="str">
        <f>name!A37</f>
        <v>Land transport, etc</v>
      </c>
      <c r="B39" s="150">
        <v>716.96500000073365</v>
      </c>
      <c r="C39" s="140">
        <v>2.3179256494734561</v>
      </c>
      <c r="D39" s="164">
        <v>100</v>
      </c>
      <c r="E39" s="150">
        <v>704.04699999997217</v>
      </c>
      <c r="F39" s="140">
        <v>2.1206084836445522</v>
      </c>
      <c r="H39" s="150">
        <v>-12.918000000761472</v>
      </c>
      <c r="I39" s="140">
        <v>-1.8017615923717691</v>
      </c>
      <c r="K39" s="150">
        <v>52.591762749778475</v>
      </c>
      <c r="L39" s="140">
        <v>7.3353319547990017</v>
      </c>
      <c r="N39" s="150">
        <v>-4.476958773069212</v>
      </c>
      <c r="O39" s="140">
        <v>-0.62443198385759846</v>
      </c>
      <c r="Q39" s="150">
        <v>-61.032803977470735</v>
      </c>
      <c r="R39" s="140">
        <v>-8.5126615633131717</v>
      </c>
      <c r="S39" s="140"/>
      <c r="T39" s="161">
        <v>716.96500000073365</v>
      </c>
      <c r="U39" s="162">
        <v>704.04699999997217</v>
      </c>
      <c r="V39" s="168"/>
      <c r="Y39" s="134"/>
      <c r="Z39" s="150"/>
      <c r="AA39" s="150"/>
      <c r="AB39" s="134"/>
      <c r="AC39" s="150"/>
      <c r="AE39" s="134"/>
      <c r="AF39" s="150"/>
    </row>
    <row r="40" spans="1:32" x14ac:dyDescent="0.2">
      <c r="A40" t="str">
        <f>name!A38</f>
        <v>Water transport</v>
      </c>
      <c r="B40" s="150">
        <v>18.247000000011084</v>
      </c>
      <c r="C40" s="140">
        <v>5.8991986116371888E-2</v>
      </c>
      <c r="D40" s="164">
        <v>100</v>
      </c>
      <c r="E40" s="150">
        <v>17.84799999999214</v>
      </c>
      <c r="F40" s="140">
        <v>5.3758655623946702E-2</v>
      </c>
      <c r="H40" s="150">
        <v>-0.39900000001894298</v>
      </c>
      <c r="I40" s="140">
        <v>-2.1866608210593554</v>
      </c>
      <c r="K40" s="150">
        <v>1.338478021792987</v>
      </c>
      <c r="L40" s="140">
        <v>7.3353319547990026</v>
      </c>
      <c r="N40" s="150">
        <v>-0.11873982054226906</v>
      </c>
      <c r="O40" s="140">
        <v>-0.65073612397762337</v>
      </c>
      <c r="Q40" s="150">
        <v>-1.6187382012696609</v>
      </c>
      <c r="R40" s="140">
        <v>-8.871256651880735</v>
      </c>
      <c r="S40" s="140"/>
      <c r="T40" s="161">
        <v>18.247000000011084</v>
      </c>
      <c r="U40" s="162">
        <v>17.84799999999214</v>
      </c>
      <c r="V40" s="168"/>
      <c r="Y40" s="134"/>
      <c r="Z40" s="150"/>
      <c r="AA40" s="150"/>
      <c r="AB40" s="134"/>
      <c r="AC40" s="150"/>
      <c r="AE40" s="134"/>
      <c r="AF40" s="150"/>
    </row>
    <row r="41" spans="1:32" x14ac:dyDescent="0.2">
      <c r="A41" t="str">
        <f>name!A39</f>
        <v>Air transport</v>
      </c>
      <c r="B41" s="150">
        <v>83.957000000060233</v>
      </c>
      <c r="C41" s="140">
        <v>0.2714303818914221</v>
      </c>
      <c r="D41" s="164">
        <v>100</v>
      </c>
      <c r="E41" s="150">
        <v>115.2650000001187</v>
      </c>
      <c r="F41" s="140">
        <v>0.34718127748225713</v>
      </c>
      <c r="H41" s="150">
        <v>31.30800000005847</v>
      </c>
      <c r="I41" s="140">
        <v>37.290517765089284</v>
      </c>
      <c r="K41" s="150">
        <v>6.1585246492950159</v>
      </c>
      <c r="L41" s="140">
        <v>7.3353319547990017</v>
      </c>
      <c r="N41" s="150">
        <v>1.7187234326956968</v>
      </c>
      <c r="O41" s="140">
        <v>2.0471472690716244</v>
      </c>
      <c r="Q41" s="150">
        <v>23.430751918067756</v>
      </c>
      <c r="R41" s="140">
        <v>27.908038541218655</v>
      </c>
      <c r="S41" s="140"/>
      <c r="T41" s="161">
        <v>83.957000000060233</v>
      </c>
      <c r="U41" s="162">
        <v>115.2650000001187</v>
      </c>
      <c r="V41" s="168"/>
      <c r="Y41" s="134"/>
      <c r="Z41" s="150"/>
      <c r="AA41" s="150"/>
      <c r="AB41" s="134"/>
      <c r="AC41" s="150"/>
      <c r="AE41" s="134"/>
      <c r="AF41" s="150"/>
    </row>
    <row r="42" spans="1:32" x14ac:dyDescent="0.2">
      <c r="A42" t="str">
        <f>name!A40</f>
        <v>Warehousing, etc</v>
      </c>
      <c r="B42" s="150">
        <v>340.75900000006266</v>
      </c>
      <c r="C42" s="140">
        <v>1.1016632979130954</v>
      </c>
      <c r="D42" s="164">
        <v>100</v>
      </c>
      <c r="E42" s="150">
        <v>336.28300000019055</v>
      </c>
      <c r="F42" s="140">
        <v>1.0128934328331394</v>
      </c>
      <c r="H42" s="150">
        <v>-4.4759999998720597</v>
      </c>
      <c r="I42" s="140">
        <v>-1.3135383070942328</v>
      </c>
      <c r="K42" s="150">
        <v>24.995803815858125</v>
      </c>
      <c r="L42" s="140">
        <v>7.3353319547990017</v>
      </c>
      <c r="N42" s="150">
        <v>-2.01411278427996</v>
      </c>
      <c r="O42" s="140">
        <v>-0.59106664366299633</v>
      </c>
      <c r="Q42" s="150">
        <v>-27.457691031450224</v>
      </c>
      <c r="R42" s="140">
        <v>-8.0578036182302366</v>
      </c>
      <c r="S42" s="140"/>
      <c r="T42" s="161">
        <v>340.75900000006266</v>
      </c>
      <c r="U42" s="162">
        <v>336.28300000019055</v>
      </c>
      <c r="V42" s="168"/>
      <c r="Y42" s="134"/>
      <c r="Z42" s="150"/>
      <c r="AA42" s="150"/>
      <c r="AB42" s="134"/>
      <c r="AC42" s="150"/>
      <c r="AE42" s="134"/>
      <c r="AF42" s="150"/>
    </row>
    <row r="43" spans="1:32" x14ac:dyDescent="0.2">
      <c r="A43" t="str">
        <f>name!A41</f>
        <v>Postal and courier</v>
      </c>
      <c r="B43" s="150">
        <v>325.27900000005985</v>
      </c>
      <c r="C43" s="140">
        <v>1.0516169371370201</v>
      </c>
      <c r="D43" s="164">
        <v>100</v>
      </c>
      <c r="E43" s="150">
        <v>535.52800000030322</v>
      </c>
      <c r="F43" s="140">
        <v>1.6130247270848221</v>
      </c>
      <c r="H43" s="150">
        <v>210.24900000024343</v>
      </c>
      <c r="I43" s="140">
        <v>64.63651204049593</v>
      </c>
      <c r="K43" s="150">
        <v>23.860294429255035</v>
      </c>
      <c r="L43" s="140">
        <v>7.3353319547990017</v>
      </c>
      <c r="N43" s="150">
        <v>12.737865557301006</v>
      </c>
      <c r="O43" s="140">
        <v>3.9159815288717268</v>
      </c>
      <c r="Q43" s="150">
        <v>173.6508400136874</v>
      </c>
      <c r="R43" s="140">
        <v>53.385198556825195</v>
      </c>
      <c r="S43" s="140"/>
      <c r="T43" s="161">
        <v>325.27900000005985</v>
      </c>
      <c r="U43" s="162">
        <v>535.52800000030322</v>
      </c>
      <c r="V43" s="168"/>
      <c r="Y43" s="134"/>
      <c r="Z43" s="150"/>
      <c r="AA43" s="150"/>
      <c r="AB43" s="134"/>
      <c r="AC43" s="150"/>
      <c r="AE43" s="134"/>
      <c r="AF43" s="150"/>
    </row>
    <row r="44" spans="1:32" x14ac:dyDescent="0.2">
      <c r="A44" t="str">
        <f>name!A42</f>
        <v>Accommodation</v>
      </c>
      <c r="B44" s="150">
        <v>2144.1589999988464</v>
      </c>
      <c r="C44" s="140">
        <v>6.9319996689400423</v>
      </c>
      <c r="D44" s="164">
        <v>100</v>
      </c>
      <c r="E44" s="150">
        <v>2258.3650000006869</v>
      </c>
      <c r="F44" s="140">
        <v>6.8022560683698323</v>
      </c>
      <c r="H44" s="150">
        <v>114.20600000184029</v>
      </c>
      <c r="I44" s="140">
        <v>5.3263773816168358</v>
      </c>
      <c r="K44" s="150">
        <v>157.28118028861411</v>
      </c>
      <c r="L44" s="140">
        <v>7.3353319547990017</v>
      </c>
      <c r="N44" s="150">
        <v>-2.9437720148788173</v>
      </c>
      <c r="O44" s="140">
        <v>-0.13729261751952168</v>
      </c>
      <c r="Q44" s="150">
        <v>-40.131408271894998</v>
      </c>
      <c r="R44" s="140">
        <v>-1.8716619556626439</v>
      </c>
      <c r="S44" s="140"/>
      <c r="T44" s="161">
        <v>2144.1589999988464</v>
      </c>
      <c r="U44" s="162">
        <v>2258.3650000006869</v>
      </c>
      <c r="V44" s="168"/>
      <c r="Y44" s="134"/>
      <c r="Z44" s="150"/>
      <c r="AA44" s="150"/>
      <c r="AB44" s="134"/>
      <c r="AC44" s="150"/>
      <c r="AE44" s="134"/>
      <c r="AF44" s="150"/>
    </row>
    <row r="45" spans="1:32" x14ac:dyDescent="0.2">
      <c r="A45" t="str">
        <f>name!A43</f>
        <v>Food and beverage services</v>
      </c>
      <c r="B45" s="150">
        <v>197.47100000001379</v>
      </c>
      <c r="C45" s="140">
        <v>0.63841762976817074</v>
      </c>
      <c r="D45" s="164">
        <v>100</v>
      </c>
      <c r="E45" s="150">
        <v>286.78200000015835</v>
      </c>
      <c r="F45" s="140">
        <v>0.86379509060746196</v>
      </c>
      <c r="H45" s="150">
        <v>89.311000000144531</v>
      </c>
      <c r="I45" s="140">
        <v>45.227400479127716</v>
      </c>
      <c r="K45" s="150">
        <v>14.485153364462148</v>
      </c>
      <c r="L45" s="140">
        <v>7.3353319547990017</v>
      </c>
      <c r="N45" s="150">
        <v>5.1136230156045031</v>
      </c>
      <c r="O45" s="140">
        <v>2.5895564491009546</v>
      </c>
      <c r="Q45" s="150">
        <v>69.712223620077879</v>
      </c>
      <c r="R45" s="140">
        <v>35.30251207522776</v>
      </c>
      <c r="S45" s="140"/>
      <c r="T45" s="161">
        <v>197.47100000001379</v>
      </c>
      <c r="U45" s="162">
        <v>286.78200000015835</v>
      </c>
      <c r="V45" s="168"/>
      <c r="Y45" s="134"/>
      <c r="Z45" s="150"/>
      <c r="AA45" s="150"/>
      <c r="AB45" s="134"/>
      <c r="AC45" s="150"/>
      <c r="AE45" s="134"/>
      <c r="AF45" s="150"/>
    </row>
    <row r="46" spans="1:32" x14ac:dyDescent="0.2">
      <c r="A46" t="str">
        <f>name!A44</f>
        <v>Publishing activities</v>
      </c>
      <c r="B46" s="150">
        <v>187.13600000001301</v>
      </c>
      <c r="C46" s="140">
        <v>0.60500489471515484</v>
      </c>
      <c r="D46" s="164">
        <v>100</v>
      </c>
      <c r="E46" s="150">
        <v>179.50800000009909</v>
      </c>
      <c r="F46" s="140">
        <v>0.54068291986513894</v>
      </c>
      <c r="H46" s="150">
        <v>-7.6279999999139108</v>
      </c>
      <c r="I46" s="140">
        <v>-4.076179890514589</v>
      </c>
      <c r="K46" s="150">
        <v>13.727046806933613</v>
      </c>
      <c r="L46" s="140">
        <v>7.3353319547990017</v>
      </c>
      <c r="N46" s="150">
        <v>-1.4594109356690108</v>
      </c>
      <c r="O46" s="140">
        <v>-0.77986647981623491</v>
      </c>
      <c r="Q46" s="150">
        <v>-19.895635871178513</v>
      </c>
      <c r="R46" s="140">
        <v>-10.631645365497354</v>
      </c>
      <c r="S46" s="140"/>
      <c r="T46" s="161">
        <v>187.13600000001301</v>
      </c>
      <c r="U46" s="161">
        <v>179.50800000009909</v>
      </c>
      <c r="V46" s="168"/>
      <c r="Y46" s="134"/>
      <c r="Z46" s="150"/>
      <c r="AA46" s="150"/>
      <c r="AB46" s="134"/>
      <c r="AC46" s="150"/>
      <c r="AE46" s="134"/>
      <c r="AF46" s="150"/>
    </row>
    <row r="47" spans="1:32" x14ac:dyDescent="0.2">
      <c r="A47" t="str">
        <f>name!A45</f>
        <v>Film and music</v>
      </c>
      <c r="B47" s="150">
        <v>199.87700000026544</v>
      </c>
      <c r="C47" s="140">
        <v>0.64619615328495417</v>
      </c>
      <c r="D47" s="164">
        <v>100</v>
      </c>
      <c r="E47" s="150">
        <v>198.79299999997147</v>
      </c>
      <c r="F47" s="140">
        <v>0.59876985810479655</v>
      </c>
      <c r="H47" s="150">
        <v>-1.0840000002939487</v>
      </c>
      <c r="I47" s="140">
        <v>-0.54233353527044592</v>
      </c>
      <c r="K47" s="150">
        <v>14.66164145131307</v>
      </c>
      <c r="L47" s="140">
        <v>7.3353319547990017</v>
      </c>
      <c r="N47" s="150">
        <v>-1.0760623252874428</v>
      </c>
      <c r="O47" s="140">
        <v>-0.53836225543009641</v>
      </c>
      <c r="Q47" s="150">
        <v>-14.669579126319576</v>
      </c>
      <c r="R47" s="140">
        <v>-7.3393032346393507</v>
      </c>
      <c r="S47" s="140"/>
      <c r="T47" s="161">
        <v>199.87700000026544</v>
      </c>
      <c r="U47" s="161">
        <v>198.79299999997147</v>
      </c>
      <c r="V47" s="168"/>
      <c r="Y47" s="134"/>
      <c r="Z47" s="134"/>
      <c r="AA47" s="134"/>
      <c r="AB47" s="134"/>
      <c r="AC47" s="134"/>
      <c r="AE47" s="134"/>
      <c r="AF47" s="150"/>
    </row>
    <row r="48" spans="1:32" x14ac:dyDescent="0.2">
      <c r="A48" t="str">
        <f>name!A46</f>
        <v>Broadcasting</v>
      </c>
      <c r="B48" s="150">
        <v>438.62000000015314</v>
      </c>
      <c r="C48" s="140">
        <v>1.4180448813698885</v>
      </c>
      <c r="D48" s="164">
        <v>100</v>
      </c>
      <c r="E48" s="150">
        <v>414.383999999926</v>
      </c>
      <c r="F48" s="140">
        <v>1.2481357436171761</v>
      </c>
      <c r="H48" s="150">
        <v>-24.236000000227126</v>
      </c>
      <c r="I48" s="140">
        <v>-5.525511832615627</v>
      </c>
      <c r="K48" s="150">
        <v>32.174233020150616</v>
      </c>
      <c r="L48" s="140">
        <v>7.3353319547990017</v>
      </c>
      <c r="N48" s="150">
        <v>-3.8550939128439801</v>
      </c>
      <c r="O48" s="140">
        <v>-0.87891430232151613</v>
      </c>
      <c r="Q48" s="150">
        <v>-52.555139107533762</v>
      </c>
      <c r="R48" s="140">
        <v>-11.981929485093113</v>
      </c>
      <c r="S48" s="140"/>
      <c r="T48" s="161">
        <v>438.62000000015314</v>
      </c>
      <c r="U48" s="161">
        <v>414.383999999926</v>
      </c>
      <c r="Y48" s="134"/>
      <c r="Z48" s="134"/>
      <c r="AA48" s="134"/>
      <c r="AB48" s="134"/>
      <c r="AC48" s="134"/>
      <c r="AE48" s="134"/>
    </row>
    <row r="49" spans="1:21" x14ac:dyDescent="0.2">
      <c r="A49" t="str">
        <f>name!A47</f>
        <v>Telecommunications</v>
      </c>
      <c r="B49" s="150">
        <v>613.98799999968332</v>
      </c>
      <c r="C49" s="140">
        <v>1.9850041963927363</v>
      </c>
      <c r="D49" s="164">
        <v>100</v>
      </c>
      <c r="E49" s="150">
        <v>538.85800000020777</v>
      </c>
      <c r="F49" s="140">
        <v>1.6230547765706296</v>
      </c>
      <c r="H49" s="150">
        <v>-75.129999999475544</v>
      </c>
      <c r="I49" s="140">
        <v>-12.236395499507205</v>
      </c>
      <c r="K49" s="150">
        <v>45.038057962608065</v>
      </c>
      <c r="L49" s="140">
        <v>7.3353319547990017</v>
      </c>
      <c r="N49" s="150">
        <v>-8.2123246787610498</v>
      </c>
      <c r="O49" s="140">
        <v>-1.3375383034791049</v>
      </c>
      <c r="Q49" s="150">
        <v>-111.95573328332256</v>
      </c>
      <c r="R49" s="140">
        <v>-18.234189150827103</v>
      </c>
      <c r="S49" s="140"/>
      <c r="T49" s="161">
        <v>613.98799999968332</v>
      </c>
      <c r="U49" s="161">
        <v>538.85800000020777</v>
      </c>
    </row>
    <row r="50" spans="1:21" x14ac:dyDescent="0.2">
      <c r="A50" t="str">
        <f>name!A48</f>
        <v>Computing services</v>
      </c>
      <c r="B50" s="150">
        <v>132.72299999993143</v>
      </c>
      <c r="C50" s="140">
        <v>0.42908935021178413</v>
      </c>
      <c r="D50" s="164">
        <v>100</v>
      </c>
      <c r="E50" s="150">
        <v>135.03200000005205</v>
      </c>
      <c r="F50" s="140">
        <v>0.40672001267474028</v>
      </c>
      <c r="H50" s="150">
        <v>2.3090000001206064</v>
      </c>
      <c r="I50" s="140">
        <v>1.7397135388152762</v>
      </c>
      <c r="K50" s="150">
        <v>9.7356726303628491</v>
      </c>
      <c r="L50" s="140">
        <v>7.3353319547990017</v>
      </c>
      <c r="N50" s="150">
        <v>-0.50754125477889156</v>
      </c>
      <c r="O50" s="140">
        <v>-0.38240640640970575</v>
      </c>
      <c r="Q50" s="150">
        <v>-6.9191313754633512</v>
      </c>
      <c r="R50" s="140">
        <v>-5.2132120095740202</v>
      </c>
      <c r="S50" s="140"/>
      <c r="T50" s="161">
        <v>132.72299999993143</v>
      </c>
      <c r="U50" s="161">
        <v>135.03200000005205</v>
      </c>
    </row>
    <row r="51" spans="1:21" x14ac:dyDescent="0.2">
      <c r="A51" t="str">
        <f>name!A49</f>
        <v>Information services</v>
      </c>
      <c r="B51" s="150">
        <v>312.76299999983866</v>
      </c>
      <c r="C51" s="140">
        <v>1.0111530966018576</v>
      </c>
      <c r="D51" s="164">
        <v>100</v>
      </c>
      <c r="E51" s="150">
        <v>502.44200000019339</v>
      </c>
      <c r="F51" s="140">
        <v>1.5133688059743005</v>
      </c>
      <c r="H51" s="150">
        <v>189.6790000003547</v>
      </c>
      <c r="I51" s="140">
        <v>60.646240124456078</v>
      </c>
      <c r="K51" s="150">
        <v>22.942204281776167</v>
      </c>
      <c r="L51" s="140">
        <v>7.3353319547990017</v>
      </c>
      <c r="N51" s="150">
        <v>11.394847562313828</v>
      </c>
      <c r="O51" s="140">
        <v>3.6432850312599978</v>
      </c>
      <c r="Q51" s="150">
        <v>155.34194815626472</v>
      </c>
      <c r="R51" s="140">
        <v>49.667623138397076</v>
      </c>
      <c r="S51" s="140"/>
      <c r="T51" s="161">
        <v>312.76299999983866</v>
      </c>
      <c r="U51" s="161">
        <v>502.44200000019339</v>
      </c>
    </row>
    <row r="52" spans="1:21" x14ac:dyDescent="0.2">
      <c r="A52" t="str">
        <f>name!A50</f>
        <v>Financial services</v>
      </c>
      <c r="B52" s="150">
        <v>548.61799999979723</v>
      </c>
      <c r="C52" s="140">
        <v>1.7736650100926228</v>
      </c>
      <c r="D52" s="164">
        <v>100</v>
      </c>
      <c r="E52" s="150">
        <v>580.38300000007268</v>
      </c>
      <c r="F52" s="140">
        <v>1.7481291924591382</v>
      </c>
      <c r="H52" s="150">
        <v>31.765000000275439</v>
      </c>
      <c r="I52" s="140">
        <v>5.7900032445685667</v>
      </c>
      <c r="K52" s="150">
        <v>40.242951463764314</v>
      </c>
      <c r="L52" s="140">
        <v>7.3353319547990017</v>
      </c>
      <c r="N52" s="150">
        <v>-0.57938599665903823</v>
      </c>
      <c r="O52" s="140">
        <v>-0.10560827327197655</v>
      </c>
      <c r="Q52" s="150">
        <v>-7.8985654668298366</v>
      </c>
      <c r="R52" s="140">
        <v>-1.4397204369584586</v>
      </c>
      <c r="S52" s="140"/>
      <c r="T52" s="161">
        <v>548.61799999979723</v>
      </c>
      <c r="U52" s="161">
        <v>580.38300000007268</v>
      </c>
    </row>
    <row r="53" spans="1:21" x14ac:dyDescent="0.2">
      <c r="A53" t="str">
        <f>name!A51</f>
        <v>Insurance and pensions</v>
      </c>
      <c r="B53" s="150">
        <v>1501.1650000006377</v>
      </c>
      <c r="C53" s="140">
        <v>4.8532199725087537</v>
      </c>
      <c r="D53" s="164">
        <v>100</v>
      </c>
      <c r="E53" s="150">
        <v>1898.5639999980804</v>
      </c>
      <c r="F53" s="140">
        <v>5.7185257875372297</v>
      </c>
      <c r="H53" s="150">
        <v>397.39899999744262</v>
      </c>
      <c r="I53" s="140">
        <v>26.472706198004467</v>
      </c>
      <c r="K53" s="150">
        <v>110.11543593930521</v>
      </c>
      <c r="L53" s="140">
        <v>7.3353319547990017</v>
      </c>
      <c r="N53" s="150">
        <v>19.633053433064049</v>
      </c>
      <c r="O53" s="140">
        <v>1.3078544619049677</v>
      </c>
      <c r="Q53" s="150">
        <v>267.65051062507337</v>
      </c>
      <c r="R53" s="140">
        <v>17.829519781300501</v>
      </c>
      <c r="S53" s="140"/>
      <c r="T53" s="161">
        <v>1501.1650000006377</v>
      </c>
      <c r="U53" s="161">
        <v>1898.5639999980804</v>
      </c>
    </row>
    <row r="54" spans="1:21" x14ac:dyDescent="0.2">
      <c r="A54" t="str">
        <f>name!A52</f>
        <v>Auxiliary financial services</v>
      </c>
      <c r="B54" s="150">
        <v>471.13500000027409</v>
      </c>
      <c r="C54" s="140">
        <v>1.5231648697833153</v>
      </c>
      <c r="D54" s="164">
        <v>100</v>
      </c>
      <c r="E54" s="150">
        <v>502.06400000003481</v>
      </c>
      <c r="F54" s="140">
        <v>1.5122302598159418</v>
      </c>
      <c r="H54" s="150">
        <v>30.928999999760709</v>
      </c>
      <c r="I54" s="140">
        <v>6.5647850403265977</v>
      </c>
      <c r="K54" s="150">
        <v>34.559316205262384</v>
      </c>
      <c r="L54" s="140">
        <v>7.3353319547990017</v>
      </c>
      <c r="N54" s="150">
        <v>-0.24809700574137494</v>
      </c>
      <c r="O54" s="140">
        <v>-5.2659430044728284E-2</v>
      </c>
      <c r="Q54" s="150">
        <v>-3.3822191997602999</v>
      </c>
      <c r="R54" s="140">
        <v>-0.71788748442767625</v>
      </c>
      <c r="S54" s="140"/>
      <c r="T54" s="161">
        <v>471.13500000027409</v>
      </c>
      <c r="U54" s="161">
        <v>502.06400000003481</v>
      </c>
    </row>
    <row r="55" spans="1:21" x14ac:dyDescent="0.2">
      <c r="A55" t="str">
        <f>name!A53</f>
        <v>Real estate</v>
      </c>
      <c r="B55" s="150">
        <v>106.49900000005229</v>
      </c>
      <c r="C55" s="140">
        <v>0.34430797004476121</v>
      </c>
      <c r="D55" s="164">
        <v>100</v>
      </c>
      <c r="E55" s="150">
        <v>125.1209999999075</v>
      </c>
      <c r="F55" s="140">
        <v>0.37686781433896366</v>
      </c>
      <c r="H55" s="150">
        <v>18.621999999855209</v>
      </c>
      <c r="I55" s="140">
        <v>17.485610193378402</v>
      </c>
      <c r="K55" s="150">
        <v>7.8120551785452239</v>
      </c>
      <c r="L55" s="140">
        <v>7.3353319547990017</v>
      </c>
      <c r="N55" s="150">
        <v>0.73875519116819888</v>
      </c>
      <c r="O55" s="140">
        <v>0.6936733595318606</v>
      </c>
      <c r="Q55" s="150">
        <v>10.071189630141788</v>
      </c>
      <c r="R55" s="140">
        <v>9.4566048790475428</v>
      </c>
      <c r="S55" s="140"/>
      <c r="T55" s="161">
        <v>106.49900000005229</v>
      </c>
      <c r="U55" s="161">
        <v>125.1209999999075</v>
      </c>
    </row>
    <row r="56" spans="1:21" x14ac:dyDescent="0.2">
      <c r="A56" t="str">
        <f>name!A54</f>
        <v>Legal and accounting</v>
      </c>
      <c r="B56" s="150">
        <v>216.71200000001988</v>
      </c>
      <c r="C56" s="140">
        <v>0.7006231871126537</v>
      </c>
      <c r="D56" s="164">
        <v>100</v>
      </c>
      <c r="E56" s="150">
        <v>307.62700000008448</v>
      </c>
      <c r="F56" s="140">
        <v>0.92658079076869526</v>
      </c>
      <c r="H56" s="150">
        <v>90.91500000006458</v>
      </c>
      <c r="I56" s="140">
        <v>41.951991583325444</v>
      </c>
      <c r="K56" s="150">
        <v>15.89654458588547</v>
      </c>
      <c r="L56" s="140">
        <v>7.3353319547990017</v>
      </c>
      <c r="N56" s="150">
        <v>5.1267859629951857</v>
      </c>
      <c r="O56" s="140">
        <v>2.3657139258530746</v>
      </c>
      <c r="Q56" s="150">
        <v>69.89166945118393</v>
      </c>
      <c r="R56" s="140">
        <v>32.25094570267337</v>
      </c>
      <c r="S56" s="140"/>
      <c r="T56" s="161">
        <v>216.71200000001988</v>
      </c>
      <c r="U56" s="161">
        <v>307.62700000008448</v>
      </c>
    </row>
    <row r="57" spans="1:21" ht="12.75" customHeight="1" x14ac:dyDescent="0.2">
      <c r="A57" t="str">
        <f>name!A55</f>
        <v>Head offices, etc</v>
      </c>
      <c r="B57" s="150">
        <v>488.51200000004457</v>
      </c>
      <c r="C57" s="140">
        <v>1.5793441728320374</v>
      </c>
      <c r="D57" s="164">
        <v>100</v>
      </c>
      <c r="E57" s="150">
        <v>554.93600000015249</v>
      </c>
      <c r="F57" s="140">
        <v>1.6714821446297523</v>
      </c>
      <c r="H57" s="150">
        <v>66.424000000107924</v>
      </c>
      <c r="I57" s="140">
        <v>13.597209485151206</v>
      </c>
      <c r="K57" s="150">
        <v>35.833976839030967</v>
      </c>
      <c r="L57" s="140">
        <v>7.3353319547990017</v>
      </c>
      <c r="N57" s="150">
        <v>2.0905322628152163</v>
      </c>
      <c r="O57" s="140">
        <v>0.42793877383053552</v>
      </c>
      <c r="Q57" s="150">
        <v>28.49949089826174</v>
      </c>
      <c r="R57" s="140">
        <v>5.83393875652167</v>
      </c>
      <c r="S57" s="140"/>
      <c r="T57" s="161">
        <v>488.51200000004457</v>
      </c>
      <c r="U57" s="161">
        <v>554.93600000015249</v>
      </c>
    </row>
    <row r="58" spans="1:21" x14ac:dyDescent="0.2">
      <c r="A58" t="str">
        <f>name!A56</f>
        <v>Architectural and related</v>
      </c>
      <c r="B58" s="150">
        <v>154.33900000012474</v>
      </c>
      <c r="C58" s="140">
        <v>0.49897320903252856</v>
      </c>
      <c r="D58" s="164">
        <v>100</v>
      </c>
      <c r="E58" s="150">
        <v>141.48199999997618</v>
      </c>
      <c r="F58" s="140">
        <v>0.42614758600343433</v>
      </c>
      <c r="H58" s="150">
        <v>-12.857000000148545</v>
      </c>
      <c r="I58" s="140">
        <v>-8.3303636800407901</v>
      </c>
      <c r="K58" s="150">
        <v>11.321277985726381</v>
      </c>
      <c r="L58" s="140">
        <v>7.3353319547990017</v>
      </c>
      <c r="N58" s="150">
        <v>-1.6523514847514473</v>
      </c>
      <c r="O58" s="140">
        <v>-1.0705988018259234</v>
      </c>
      <c r="Q58" s="150">
        <v>-22.525926501123479</v>
      </c>
      <c r="R58" s="140">
        <v>-14.595096833013868</v>
      </c>
      <c r="S58" s="140"/>
      <c r="T58" s="161">
        <v>154.33900000012474</v>
      </c>
      <c r="U58" s="161">
        <v>141.48199999997618</v>
      </c>
    </row>
    <row r="59" spans="1:21" x14ac:dyDescent="0.2">
      <c r="A59" t="str">
        <f>name!A57</f>
        <v>Scientific research and development</v>
      </c>
      <c r="B59" s="150">
        <v>945.30400000076372</v>
      </c>
      <c r="C59" s="140">
        <v>3.0561385676419133</v>
      </c>
      <c r="D59" s="164">
        <v>100</v>
      </c>
      <c r="E59" s="150">
        <v>1147.9249999998067</v>
      </c>
      <c r="F59" s="140">
        <v>3.4575809478449013</v>
      </c>
      <c r="H59" s="150">
        <v>202.62099999904308</v>
      </c>
      <c r="I59" s="140">
        <v>21.434480336365802</v>
      </c>
      <c r="K59" s="150">
        <v>69.341186382049173</v>
      </c>
      <c r="L59" s="140">
        <v>7.3353319547990017</v>
      </c>
      <c r="N59" s="150">
        <v>9.1083863807875787</v>
      </c>
      <c r="O59" s="140">
        <v>0.96354044633051583</v>
      </c>
      <c r="Q59" s="150">
        <v>124.17142723620634</v>
      </c>
      <c r="R59" s="140">
        <v>13.135607935236285</v>
      </c>
      <c r="S59" s="140"/>
      <c r="T59" s="161">
        <v>945.30400000076372</v>
      </c>
      <c r="U59" s="161">
        <v>1147.9249999998067</v>
      </c>
    </row>
    <row r="60" spans="1:21" x14ac:dyDescent="0.2">
      <c r="A60" t="str">
        <f>name!A58</f>
        <v>Advertising, etc</v>
      </c>
      <c r="B60" s="150">
        <v>116.95000000009452</v>
      </c>
      <c r="C60" s="140">
        <v>0.37809572950682724</v>
      </c>
      <c r="D60" s="164">
        <v>100</v>
      </c>
      <c r="E60" s="150">
        <v>118.9089999999799</v>
      </c>
      <c r="F60" s="140">
        <v>0.35815710340596213</v>
      </c>
      <c r="H60" s="150">
        <v>1.9589999998853891</v>
      </c>
      <c r="I60" s="140">
        <v>1.6750748181990645</v>
      </c>
      <c r="K60" s="150">
        <v>8.5786707211443645</v>
      </c>
      <c r="L60" s="140">
        <v>7.3353319547989999</v>
      </c>
      <c r="N60" s="150">
        <v>-0.45239047839668522</v>
      </c>
      <c r="O60" s="140">
        <v>-0.38682383787628871</v>
      </c>
      <c r="Q60" s="150">
        <v>-6.1672802428622902</v>
      </c>
      <c r="R60" s="140">
        <v>-5.2734332987236474</v>
      </c>
      <c r="S60" s="140"/>
      <c r="T60" s="161">
        <v>116.95000000009452</v>
      </c>
      <c r="U60" s="161">
        <v>118.9089999999799</v>
      </c>
    </row>
    <row r="61" spans="1:21" ht="12.75" customHeight="1" x14ac:dyDescent="0.2">
      <c r="A61" t="str">
        <f>name!A59</f>
        <v>Other professional</v>
      </c>
      <c r="B61" s="150">
        <v>1329.574000001074</v>
      </c>
      <c r="C61" s="140">
        <v>4.2984715815588732</v>
      </c>
      <c r="D61" s="164">
        <v>100</v>
      </c>
      <c r="E61" s="150">
        <v>1355.4139999997719</v>
      </c>
      <c r="F61" s="140">
        <v>4.0825433916346876</v>
      </c>
      <c r="H61" s="150">
        <v>25.839999998697778</v>
      </c>
      <c r="I61" s="140">
        <v>1.9434796407478565</v>
      </c>
      <c r="K61" s="150">
        <v>97.528666484778057</v>
      </c>
      <c r="L61" s="140">
        <v>7.3353319547990017</v>
      </c>
      <c r="N61" s="150">
        <v>-4.899227090420851</v>
      </c>
      <c r="O61" s="140">
        <v>-0.36848096385886708</v>
      </c>
      <c r="Q61" s="150">
        <v>-66.789439395659429</v>
      </c>
      <c r="R61" s="140">
        <v>-5.0233713501922779</v>
      </c>
      <c r="S61" s="140"/>
      <c r="T61" s="161">
        <v>1329.574000001074</v>
      </c>
      <c r="U61" s="161">
        <v>1355.4139999997719</v>
      </c>
    </row>
    <row r="62" spans="1:21" ht="12.75" customHeight="1" x14ac:dyDescent="0.2">
      <c r="A62" t="str">
        <f>name!A60</f>
        <v>Veterinary</v>
      </c>
      <c r="B62" s="150">
        <v>1373.6089999998901</v>
      </c>
      <c r="C62" s="140">
        <v>4.4408353733363164</v>
      </c>
      <c r="D62" s="164">
        <v>100</v>
      </c>
      <c r="E62" s="150">
        <v>1410.480000000412</v>
      </c>
      <c r="F62" s="140">
        <v>4.2484036634087783</v>
      </c>
      <c r="H62" s="150">
        <v>36.87100000052201</v>
      </c>
      <c r="I62" s="140">
        <v>2.6842427503405233</v>
      </c>
      <c r="K62" s="150">
        <v>100.75877991098696</v>
      </c>
      <c r="L62" s="140">
        <v>7.3353319547990017</v>
      </c>
      <c r="N62" s="150">
        <v>-4.366111931304566</v>
      </c>
      <c r="O62" s="140">
        <v>-0.31785696885393994</v>
      </c>
      <c r="Q62" s="150">
        <v>-59.521667979160384</v>
      </c>
      <c r="R62" s="140">
        <v>-4.3332322356045383</v>
      </c>
      <c r="S62" s="140"/>
      <c r="T62" s="161">
        <v>1373.6089999998901</v>
      </c>
      <c r="U62" s="161">
        <v>1410.480000000412</v>
      </c>
    </row>
    <row r="63" spans="1:21" x14ac:dyDescent="0.2">
      <c r="A63" t="str">
        <f>name!A61</f>
        <v>Rental and leasing</v>
      </c>
      <c r="B63" s="150">
        <v>2644.983000000736</v>
      </c>
      <c r="C63" s="140">
        <v>8.5511481566278444</v>
      </c>
      <c r="D63" s="164">
        <v>100</v>
      </c>
      <c r="E63" s="150">
        <v>2641.450000001309</v>
      </c>
      <c r="F63" s="140">
        <v>7.9561183829004314</v>
      </c>
      <c r="H63" s="150">
        <v>-3.5329999994267709</v>
      </c>
      <c r="I63" s="140">
        <v>-0.13357363731357774</v>
      </c>
      <c r="K63" s="150">
        <v>194.01828319805523</v>
      </c>
      <c r="L63" s="140">
        <v>7.3353319547989999</v>
      </c>
      <c r="N63" s="150">
        <v>-13.500719790574287</v>
      </c>
      <c r="O63" s="140">
        <v>-0.51042746930965266</v>
      </c>
      <c r="Q63" s="150">
        <v>-184.05056340690771</v>
      </c>
      <c r="R63" s="140">
        <v>-6.9584781228029264</v>
      </c>
      <c r="S63" s="140"/>
      <c r="T63" s="161">
        <v>2644.983000000736</v>
      </c>
      <c r="U63" s="161">
        <v>2641.450000001309</v>
      </c>
    </row>
    <row r="64" spans="1:21" x14ac:dyDescent="0.2">
      <c r="A64" t="str">
        <f>name!A62</f>
        <v>Employment activities</v>
      </c>
      <c r="B64" s="150">
        <v>2374.4340000002467</v>
      </c>
      <c r="C64" s="140">
        <v>7.6764716151789791</v>
      </c>
      <c r="D64" s="164">
        <v>100</v>
      </c>
      <c r="E64" s="150">
        <v>2612.1830000006412</v>
      </c>
      <c r="F64" s="140">
        <v>7.8679653924150754</v>
      </c>
      <c r="H64" s="150">
        <v>237.7490000003944</v>
      </c>
      <c r="I64" s="140">
        <v>10.012870435664656</v>
      </c>
      <c r="K64" s="150">
        <v>174.17261594763022</v>
      </c>
      <c r="L64" s="140">
        <v>7.3353319547990017</v>
      </c>
      <c r="N64" s="150">
        <v>4.3448310357788387</v>
      </c>
      <c r="O64" s="140">
        <v>0.18298386208159026</v>
      </c>
      <c r="Q64" s="150">
        <v>59.231553016985345</v>
      </c>
      <c r="R64" s="140">
        <v>2.4945546187840635</v>
      </c>
      <c r="S64" s="140"/>
      <c r="T64" s="161">
        <v>2374.4340000002467</v>
      </c>
      <c r="U64" s="161">
        <v>2612.1830000006412</v>
      </c>
    </row>
    <row r="65" spans="1:21" x14ac:dyDescent="0.2">
      <c r="A65" t="str">
        <f>name!A63</f>
        <v>Travel, etc</v>
      </c>
      <c r="B65" s="150">
        <v>1674.2150000001743</v>
      </c>
      <c r="C65" s="140">
        <v>5.4126852652913824</v>
      </c>
      <c r="D65" s="164">
        <v>100</v>
      </c>
      <c r="E65" s="150">
        <v>1674.3130000004107</v>
      </c>
      <c r="F65" s="140">
        <v>5.0430757493141405</v>
      </c>
      <c r="H65" s="150">
        <v>9.8000000236323159E-2</v>
      </c>
      <c r="I65" s="140">
        <v>5.8534895599617097E-3</v>
      </c>
      <c r="K65" s="150">
        <v>122.80922788705089</v>
      </c>
      <c r="L65" s="140">
        <v>7.3353319547990017</v>
      </c>
      <c r="N65" s="150">
        <v>-8.3861257494394739</v>
      </c>
      <c r="O65" s="140">
        <v>-0.50089897351526547</v>
      </c>
      <c r="Q65" s="150">
        <v>-114.3251021373751</v>
      </c>
      <c r="R65" s="140">
        <v>-6.8285794917237741</v>
      </c>
      <c r="S65" s="140"/>
      <c r="T65" s="161">
        <v>1674.2150000001743</v>
      </c>
      <c r="U65" s="161">
        <v>1674.3130000004107</v>
      </c>
    </row>
    <row r="66" spans="1:21" x14ac:dyDescent="0.2">
      <c r="A66" t="str">
        <f>name!A64</f>
        <v>Security, etc</v>
      </c>
      <c r="B66" s="150">
        <v>413.60599999980559</v>
      </c>
      <c r="C66" s="140">
        <v>1.3371753937426327</v>
      </c>
      <c r="D66" s="164">
        <v>100</v>
      </c>
      <c r="E66" s="150">
        <v>428.36800000013642</v>
      </c>
      <c r="F66" s="140">
        <v>1.2902559274056631</v>
      </c>
      <c r="H66" s="150">
        <v>14.762000000330852</v>
      </c>
      <c r="I66" s="140">
        <v>3.5690971601808945</v>
      </c>
      <c r="K66" s="150">
        <v>30.339373084951696</v>
      </c>
      <c r="L66" s="140">
        <v>7.3353319547990017</v>
      </c>
      <c r="N66" s="150">
        <v>-1.064562809640007</v>
      </c>
      <c r="O66" s="140">
        <v>-0.25738572690930678</v>
      </c>
      <c r="Q66" s="150">
        <v>-14.512810274980836</v>
      </c>
      <c r="R66" s="140">
        <v>-3.5088490677087996</v>
      </c>
      <c r="S66" s="140"/>
      <c r="T66" s="161">
        <v>413.60599999980559</v>
      </c>
      <c r="U66" s="161">
        <v>428.36800000013642</v>
      </c>
    </row>
    <row r="67" spans="1:21" x14ac:dyDescent="0.2">
      <c r="A67" t="str">
        <f>name!A65</f>
        <v>Services to buildings</v>
      </c>
      <c r="B67" s="150">
        <v>435.47399999979547</v>
      </c>
      <c r="C67" s="140">
        <v>1.4078739607613997</v>
      </c>
      <c r="D67" s="164">
        <v>100</v>
      </c>
      <c r="E67" s="150">
        <v>454.83400000014473</v>
      </c>
      <c r="F67" s="140">
        <v>1.3699722306185969</v>
      </c>
      <c r="H67" s="150">
        <v>19.360000000349245</v>
      </c>
      <c r="I67" s="140">
        <v>4.4457303996009729</v>
      </c>
      <c r="K67" s="150">
        <v>31.943463476826398</v>
      </c>
      <c r="L67" s="140">
        <v>7.3353319547990017</v>
      </c>
      <c r="N67" s="150">
        <v>-0.85995804046995161</v>
      </c>
      <c r="O67" s="140">
        <v>-0.19747632246020552</v>
      </c>
      <c r="Q67" s="150">
        <v>-11.723505436007201</v>
      </c>
      <c r="R67" s="140">
        <v>-2.6921252327378231</v>
      </c>
      <c r="S67" s="140"/>
      <c r="T67" s="161">
        <v>435.47399999979547</v>
      </c>
      <c r="U67" s="161">
        <v>454.83400000014473</v>
      </c>
    </row>
    <row r="68" spans="1:21" x14ac:dyDescent="0.2">
      <c r="A68" t="str">
        <f>name!A66</f>
        <v>Office administrative</v>
      </c>
      <c r="B68" s="150">
        <v>242.30100000016066</v>
      </c>
      <c r="C68" s="140">
        <v>0.78335163193861013</v>
      </c>
      <c r="D68" s="164">
        <v>100</v>
      </c>
      <c r="E68" s="150">
        <v>263.26700000002035</v>
      </c>
      <c r="F68" s="140">
        <v>0.79296727869547856</v>
      </c>
      <c r="H68" s="150">
        <v>20.965999999859719</v>
      </c>
      <c r="I68" s="140">
        <v>8.6528739047077057</v>
      </c>
      <c r="K68" s="150">
        <v>17.773582679809312</v>
      </c>
      <c r="L68" s="140">
        <v>7.3353319547990017</v>
      </c>
      <c r="N68" s="150">
        <v>0.2181708516137455</v>
      </c>
      <c r="O68" s="140">
        <v>9.0041251011593354E-2</v>
      </c>
      <c r="Q68" s="150">
        <v>2.974246468436661</v>
      </c>
      <c r="R68" s="140">
        <v>1.2275006988971109</v>
      </c>
      <c r="S68" s="140"/>
      <c r="T68" s="161">
        <v>242.30100000016066</v>
      </c>
      <c r="U68" s="161">
        <v>263.26700000002035</v>
      </c>
    </row>
    <row r="69" spans="1:21" x14ac:dyDescent="0.2">
      <c r="A69" t="str">
        <f>name!A67</f>
        <v>Public administration and defence</v>
      </c>
      <c r="B69" s="150">
        <v>90.647000000060117</v>
      </c>
      <c r="C69" s="140">
        <v>0.29305894478495426</v>
      </c>
      <c r="D69" s="164">
        <v>100</v>
      </c>
      <c r="E69" s="150">
        <v>97.768000000007532</v>
      </c>
      <c r="F69" s="140">
        <v>0.29447984329027005</v>
      </c>
      <c r="H69" s="150">
        <v>7.1209999999474238</v>
      </c>
      <c r="I69" s="140">
        <v>7.8557481217720406</v>
      </c>
      <c r="K69" s="150">
        <v>6.6492583570710604</v>
      </c>
      <c r="L69" s="140">
        <v>7.3353319547990017</v>
      </c>
      <c r="N69" s="150">
        <v>3.2238979321913774E-2</v>
      </c>
      <c r="O69" s="140">
        <v>3.5565412337851661E-2</v>
      </c>
      <c r="Q69" s="150">
        <v>0.43950266355444967</v>
      </c>
      <c r="R69" s="140">
        <v>0.48485075463518729</v>
      </c>
      <c r="S69" s="140"/>
      <c r="T69" s="161">
        <v>90.647000000060117</v>
      </c>
      <c r="U69" s="161">
        <v>97.768000000007532</v>
      </c>
    </row>
    <row r="70" spans="1:21" x14ac:dyDescent="0.2">
      <c r="A70" t="str">
        <f>name!A68</f>
        <v xml:space="preserve">Education </v>
      </c>
      <c r="B70" s="150">
        <v>541.20600000035859</v>
      </c>
      <c r="C70" s="140">
        <v>1.7497022435523057</v>
      </c>
      <c r="D70" s="164">
        <v>100</v>
      </c>
      <c r="E70" s="150">
        <v>583.72000000004539</v>
      </c>
      <c r="F70" s="140">
        <v>1.75818032613326</v>
      </c>
      <c r="H70" s="150">
        <v>42.513999999686845</v>
      </c>
      <c r="I70" s="140">
        <v>7.8554191933678998</v>
      </c>
      <c r="K70" s="150">
        <v>39.699256659315786</v>
      </c>
      <c r="L70" s="140">
        <v>7.3353319547990017</v>
      </c>
      <c r="N70" s="150">
        <v>0.19236048739177392</v>
      </c>
      <c r="O70" s="140">
        <v>3.5542933262315363E-2</v>
      </c>
      <c r="Q70" s="150">
        <v>2.6223828529792854</v>
      </c>
      <c r="R70" s="140">
        <v>0.48454430530658343</v>
      </c>
      <c r="S70" s="140"/>
      <c r="T70" s="161">
        <v>541.20600000035859</v>
      </c>
      <c r="U70" s="161">
        <v>583.72000000004539</v>
      </c>
    </row>
    <row r="71" spans="1:21" x14ac:dyDescent="0.2">
      <c r="A71" t="str">
        <f>name!A69</f>
        <v>Health</v>
      </c>
      <c r="B71" s="150">
        <v>89.69100000005939</v>
      </c>
      <c r="C71" s="140">
        <v>0.28996822638043518</v>
      </c>
      <c r="D71" s="164">
        <v>100</v>
      </c>
      <c r="E71" s="150">
        <v>93.170000000007207</v>
      </c>
      <c r="F71" s="140">
        <v>0.28063054372958912</v>
      </c>
      <c r="H71" s="150">
        <v>3.4789999999478169</v>
      </c>
      <c r="I71" s="140">
        <v>3.8788730195287302</v>
      </c>
      <c r="K71" s="150">
        <v>6.5791325835831289</v>
      </c>
      <c r="L71" s="140">
        <v>7.3353319547990017</v>
      </c>
      <c r="N71" s="150">
        <v>-0.21186408231755838</v>
      </c>
      <c r="O71" s="140">
        <v>-0.23621554260451783</v>
      </c>
      <c r="Q71" s="150">
        <v>-2.8882685013177536</v>
      </c>
      <c r="R71" s="140">
        <v>-3.2202433926657537</v>
      </c>
      <c r="S71" s="140"/>
      <c r="T71" s="161">
        <v>89.69100000005939</v>
      </c>
      <c r="U71" s="161">
        <v>93.170000000007207</v>
      </c>
    </row>
    <row r="72" spans="1:21" x14ac:dyDescent="0.2">
      <c r="A72" s="23" t="str">
        <f>name!A3</f>
        <v>All industries</v>
      </c>
      <c r="B72" s="151">
        <v>30931.320000000887</v>
      </c>
      <c r="C72" s="146">
        <v>100</v>
      </c>
      <c r="D72" s="197">
        <v>100</v>
      </c>
      <c r="E72" s="151">
        <v>33200.235000002089</v>
      </c>
      <c r="F72" s="146">
        <v>100</v>
      </c>
      <c r="G72" s="144"/>
      <c r="H72" s="151">
        <v>2268.9150000011996</v>
      </c>
      <c r="I72" s="146">
        <v>7.3353319547990017</v>
      </c>
      <c r="J72" s="144"/>
      <c r="K72" s="151">
        <v>2268.9150000011996</v>
      </c>
      <c r="L72" s="146">
        <v>7.3353319547990017</v>
      </c>
      <c r="M72" s="144"/>
      <c r="N72" s="151">
        <v>-2.5920599000528455E-11</v>
      </c>
      <c r="O72" s="146">
        <v>-8.3800494128694509E-14</v>
      </c>
      <c r="P72" s="144"/>
      <c r="Q72" s="151">
        <v>2.5963231564674061E-11</v>
      </c>
      <c r="R72" s="146">
        <v>2.7161651386449669E-13</v>
      </c>
      <c r="S72" s="146"/>
      <c r="T72" s="166">
        <v>30931.320000000887</v>
      </c>
      <c r="U72" s="166">
        <v>33200.235000002089</v>
      </c>
    </row>
    <row r="75" spans="1:21" x14ac:dyDescent="0.2">
      <c r="A75" s="169" t="s">
        <v>73</v>
      </c>
      <c r="B75" s="170"/>
      <c r="C75" s="170"/>
      <c r="D75" s="170"/>
      <c r="E75" s="170"/>
    </row>
    <row r="76" spans="1:21" x14ac:dyDescent="0.2">
      <c r="A76" s="383" t="s">
        <v>74</v>
      </c>
      <c r="B76" s="383"/>
      <c r="C76" s="383"/>
      <c r="D76" s="383"/>
      <c r="E76" s="383"/>
      <c r="F76" s="383"/>
      <c r="G76" s="383"/>
      <c r="H76" s="383"/>
      <c r="I76" s="383"/>
      <c r="J76" s="383"/>
      <c r="K76" s="383"/>
      <c r="L76" s="383"/>
      <c r="M76" s="383"/>
      <c r="N76" s="383"/>
      <c r="O76" s="383"/>
      <c r="P76" s="383"/>
      <c r="Q76" s="383"/>
      <c r="R76" s="383"/>
    </row>
    <row r="77" spans="1:21" x14ac:dyDescent="0.2">
      <c r="A77" s="383" t="s">
        <v>75</v>
      </c>
      <c r="B77" s="383"/>
      <c r="C77" s="383"/>
      <c r="D77" s="383"/>
      <c r="E77" s="383"/>
      <c r="F77" s="383"/>
      <c r="G77" s="383"/>
      <c r="H77" s="383"/>
      <c r="I77" s="383"/>
      <c r="J77" s="383"/>
      <c r="K77" s="383"/>
      <c r="L77" s="383"/>
      <c r="M77" s="383"/>
      <c r="N77" s="383"/>
      <c r="O77" s="383"/>
      <c r="P77" s="383"/>
      <c r="Q77" s="383"/>
      <c r="R77" s="383"/>
    </row>
    <row r="78" spans="1:21" x14ac:dyDescent="0.2">
      <c r="A78" s="383" t="s">
        <v>76</v>
      </c>
      <c r="B78" s="383"/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</row>
    <row r="79" spans="1:21" x14ac:dyDescent="0.2">
      <c r="A79" s="383" t="s">
        <v>77</v>
      </c>
      <c r="B79" s="383"/>
      <c r="C79" s="383"/>
      <c r="D79" s="383"/>
      <c r="E79" s="383"/>
      <c r="F79" s="383"/>
      <c r="G79" s="383"/>
      <c r="H79" s="383"/>
      <c r="I79" s="383"/>
      <c r="J79" s="383"/>
      <c r="K79" s="383"/>
      <c r="L79" s="383"/>
      <c r="M79" s="383"/>
      <c r="N79" s="383"/>
      <c r="O79" s="383"/>
      <c r="P79" s="383"/>
      <c r="Q79" s="383"/>
      <c r="R79" s="383"/>
    </row>
    <row r="80" spans="1:21" x14ac:dyDescent="0.2">
      <c r="A80" s="383" t="s">
        <v>78</v>
      </c>
      <c r="B80" s="383"/>
      <c r="C80" s="383"/>
      <c r="D80" s="383"/>
      <c r="E80" s="383"/>
      <c r="F80" s="383"/>
      <c r="G80" s="383"/>
      <c r="H80" s="383"/>
      <c r="I80" s="383"/>
      <c r="J80" s="383"/>
      <c r="K80" s="383"/>
      <c r="L80" s="383"/>
      <c r="M80" s="383"/>
      <c r="N80" s="383"/>
      <c r="O80" s="383"/>
      <c r="P80" s="383"/>
      <c r="Q80" s="383"/>
      <c r="R80" s="383"/>
    </row>
    <row r="81" spans="1:18" x14ac:dyDescent="0.2">
      <c r="A81" s="383" t="s">
        <v>79</v>
      </c>
      <c r="B81" s="383"/>
      <c r="C81" s="383"/>
      <c r="D81" s="383"/>
      <c r="E81" s="383"/>
      <c r="F81" s="383"/>
      <c r="G81" s="383"/>
      <c r="H81" s="383"/>
      <c r="I81" s="383"/>
      <c r="J81" s="383"/>
      <c r="K81" s="383"/>
      <c r="L81" s="383"/>
      <c r="M81" s="383"/>
      <c r="N81" s="383"/>
      <c r="O81" s="383"/>
      <c r="P81" s="383"/>
      <c r="Q81" s="383"/>
      <c r="R81" s="383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0" customWidth="1"/>
    <col min="2" max="6" width="7.7109375" style="90" customWidth="1"/>
    <col min="7" max="7" width="3.5703125" style="90" customWidth="1"/>
    <col min="8" max="12" width="7.7109375" style="90" customWidth="1"/>
    <col min="13" max="13" width="3.5703125" style="90" customWidth="1"/>
    <col min="14" max="18" width="7.7109375" style="90" customWidth="1"/>
    <col min="19" max="19" width="3.5703125" style="90" customWidth="1"/>
    <col min="20" max="24" width="7.7109375" style="90" customWidth="1"/>
    <col min="25" max="16384" width="9.140625" style="90"/>
  </cols>
  <sheetData>
    <row r="1" spans="1:60" ht="15.75" x14ac:dyDescent="0.25">
      <c r="A1" s="18" t="str">
        <f>CONCATENATE("Basic Table 2a  Population by Gender, Age Group and ISCED Qualification, ",Info!B8,", ",$B$5,"-",$F$5)</f>
        <v>Basic Table 2a  Population by Gender, Age Group and ISCED Qualification, , 2008-2025</v>
      </c>
      <c r="P1" s="180" t="s">
        <v>105</v>
      </c>
      <c r="Y1" s="18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8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1" t="s">
        <v>13</v>
      </c>
      <c r="X2" s="381"/>
      <c r="AP2" s="120" t="s">
        <v>13</v>
      </c>
      <c r="BH2" s="120" t="s">
        <v>13</v>
      </c>
    </row>
    <row r="3" spans="1:60" x14ac:dyDescent="0.2">
      <c r="A3" s="117" t="s">
        <v>101</v>
      </c>
      <c r="B3" s="183" t="s">
        <v>118</v>
      </c>
      <c r="C3" s="183"/>
      <c r="D3" s="184"/>
      <c r="E3" s="183"/>
      <c r="F3" s="183"/>
      <c r="G3" s="117"/>
      <c r="H3" s="183" t="s">
        <v>46</v>
      </c>
      <c r="I3" s="183"/>
      <c r="J3" s="183"/>
      <c r="K3" s="183"/>
      <c r="L3" s="183"/>
      <c r="M3" s="117"/>
      <c r="N3" s="183" t="s">
        <v>47</v>
      </c>
      <c r="O3" s="183"/>
      <c r="P3" s="183"/>
      <c r="Q3" s="183"/>
      <c r="R3" s="183"/>
      <c r="S3" s="117"/>
      <c r="T3" s="387" t="s">
        <v>48</v>
      </c>
      <c r="U3" s="387"/>
      <c r="V3" s="387"/>
      <c r="W3" s="387"/>
      <c r="X3" s="387"/>
      <c r="Y3" s="117" t="s">
        <v>101</v>
      </c>
      <c r="Z3" s="387" t="s">
        <v>119</v>
      </c>
      <c r="AA3" s="387"/>
      <c r="AB3" s="387"/>
      <c r="AC3" s="387"/>
      <c r="AD3" s="387"/>
      <c r="AE3" s="117"/>
      <c r="AF3" s="183" t="s">
        <v>49</v>
      </c>
      <c r="AG3" s="183"/>
      <c r="AH3" s="183"/>
      <c r="AI3" s="183"/>
      <c r="AJ3" s="183"/>
      <c r="AK3" s="117"/>
      <c r="AL3" s="387" t="s">
        <v>50</v>
      </c>
      <c r="AM3" s="387"/>
      <c r="AN3" s="387"/>
      <c r="AO3" s="387"/>
      <c r="AP3" s="387"/>
      <c r="AQ3" s="117" t="s">
        <v>101</v>
      </c>
      <c r="AR3" s="387" t="s">
        <v>120</v>
      </c>
      <c r="AS3" s="387"/>
      <c r="AT3" s="387"/>
      <c r="AU3" s="387"/>
      <c r="AV3" s="387"/>
      <c r="AW3" s="117"/>
      <c r="AX3" s="183" t="s">
        <v>51</v>
      </c>
      <c r="AY3" s="183"/>
      <c r="AZ3" s="183"/>
      <c r="BA3" s="183"/>
      <c r="BB3" s="183"/>
      <c r="BC3" s="117"/>
      <c r="BD3" s="387" t="s">
        <v>52</v>
      </c>
      <c r="BE3" s="387"/>
      <c r="BF3" s="387"/>
      <c r="BG3" s="387"/>
      <c r="BH3" s="387"/>
    </row>
    <row r="4" spans="1:60" x14ac:dyDescent="0.2">
      <c r="A4" s="179" t="s">
        <v>104</v>
      </c>
      <c r="B4" s="185"/>
      <c r="C4" s="185"/>
      <c r="D4" s="185"/>
      <c r="E4" s="185"/>
      <c r="F4" s="185"/>
      <c r="G4" s="91"/>
      <c r="H4" s="185"/>
      <c r="I4" s="185"/>
      <c r="J4" s="185"/>
      <c r="K4" s="185"/>
      <c r="L4" s="185"/>
      <c r="M4" s="91"/>
      <c r="N4" s="185"/>
      <c r="O4" s="185"/>
      <c r="P4" s="185"/>
      <c r="Q4" s="185"/>
      <c r="R4" s="185"/>
      <c r="S4" s="91"/>
      <c r="T4" s="185"/>
      <c r="U4" s="185"/>
      <c r="V4" s="185"/>
      <c r="W4" s="185"/>
      <c r="X4" s="185"/>
      <c r="Y4" s="179" t="s">
        <v>104</v>
      </c>
      <c r="Z4" s="185"/>
      <c r="AA4" s="185"/>
      <c r="AB4" s="185"/>
      <c r="AC4" s="185"/>
      <c r="AD4" s="185"/>
      <c r="AE4" s="91"/>
      <c r="AF4" s="185"/>
      <c r="AG4" s="185"/>
      <c r="AH4" s="185"/>
      <c r="AI4" s="185"/>
      <c r="AJ4" s="185"/>
      <c r="AK4" s="91"/>
      <c r="AL4" s="185"/>
      <c r="AM4" s="185"/>
      <c r="AN4" s="185"/>
      <c r="AO4" s="185"/>
      <c r="AP4" s="185"/>
      <c r="AQ4" s="179" t="s">
        <v>104</v>
      </c>
      <c r="AR4" s="185"/>
      <c r="AS4" s="185"/>
      <c r="AT4" s="185"/>
      <c r="AU4" s="185"/>
      <c r="AV4" s="185"/>
      <c r="AW4" s="91"/>
      <c r="AX4" s="185"/>
      <c r="AY4" s="185"/>
      <c r="AZ4" s="185"/>
      <c r="BA4" s="185"/>
      <c r="BB4" s="185"/>
      <c r="BC4" s="91"/>
      <c r="BD4" s="185"/>
      <c r="BE4" s="185"/>
      <c r="BF4" s="185"/>
      <c r="BG4" s="185"/>
      <c r="BH4" s="185"/>
    </row>
    <row r="5" spans="1:60" x14ac:dyDescent="0.2">
      <c r="A5" s="178"/>
      <c r="B5" s="186">
        <v>2008</v>
      </c>
      <c r="C5" s="186">
        <v>2010</v>
      </c>
      <c r="D5" s="186">
        <v>2015</v>
      </c>
      <c r="E5" s="186">
        <v>2020</v>
      </c>
      <c r="F5" s="119">
        <v>2025</v>
      </c>
      <c r="G5" s="119"/>
      <c r="H5" s="119">
        <f>B5</f>
        <v>2008</v>
      </c>
      <c r="I5" s="119">
        <f>C5</f>
        <v>2010</v>
      </c>
      <c r="J5" s="119">
        <f>D5</f>
        <v>2015</v>
      </c>
      <c r="K5" s="119">
        <f>E5</f>
        <v>2020</v>
      </c>
      <c r="L5" s="119">
        <f>F5</f>
        <v>2025</v>
      </c>
      <c r="M5" s="119"/>
      <c r="N5" s="119">
        <f>B5</f>
        <v>2008</v>
      </c>
      <c r="O5" s="119">
        <f>C5</f>
        <v>2010</v>
      </c>
      <c r="P5" s="119">
        <f>D5</f>
        <v>2015</v>
      </c>
      <c r="Q5" s="119">
        <f>E5</f>
        <v>2020</v>
      </c>
      <c r="R5" s="119">
        <f>F5</f>
        <v>2025</v>
      </c>
      <c r="S5" s="119"/>
      <c r="T5" s="119">
        <f>B5</f>
        <v>2008</v>
      </c>
      <c r="U5" s="119">
        <f>C5</f>
        <v>2010</v>
      </c>
      <c r="V5" s="119">
        <f>D5</f>
        <v>2015</v>
      </c>
      <c r="W5" s="119">
        <f>E5</f>
        <v>2020</v>
      </c>
      <c r="X5" s="119">
        <f>F5</f>
        <v>2025</v>
      </c>
      <c r="Y5" s="178"/>
      <c r="Z5" s="186">
        <v>2008</v>
      </c>
      <c r="AA5" s="186">
        <v>2010</v>
      </c>
      <c r="AB5" s="186">
        <v>2012</v>
      </c>
      <c r="AC5" s="186">
        <v>2015</v>
      </c>
      <c r="AD5" s="179">
        <v>2020</v>
      </c>
      <c r="AE5" s="119"/>
      <c r="AF5" s="119">
        <f>Z5</f>
        <v>2008</v>
      </c>
      <c r="AG5" s="119">
        <f>AA5</f>
        <v>2010</v>
      </c>
      <c r="AH5" s="119">
        <f>AB5</f>
        <v>2012</v>
      </c>
      <c r="AI5" s="119">
        <f>AC5</f>
        <v>2015</v>
      </c>
      <c r="AJ5" s="119">
        <f>AD5</f>
        <v>2020</v>
      </c>
      <c r="AK5" s="119"/>
      <c r="AL5" s="119">
        <f>Z5</f>
        <v>2008</v>
      </c>
      <c r="AM5" s="119">
        <f>AA5</f>
        <v>2010</v>
      </c>
      <c r="AN5" s="119">
        <f>AB5</f>
        <v>2012</v>
      </c>
      <c r="AO5" s="119">
        <f>AC5</f>
        <v>2015</v>
      </c>
      <c r="AP5" s="119">
        <f>AD5</f>
        <v>2020</v>
      </c>
      <c r="AQ5" s="178"/>
      <c r="AR5" s="186">
        <v>2008</v>
      </c>
      <c r="AS5" s="186">
        <v>2010</v>
      </c>
      <c r="AT5" s="186">
        <v>2012</v>
      </c>
      <c r="AU5" s="186">
        <v>2015</v>
      </c>
      <c r="AV5" s="179">
        <v>2020</v>
      </c>
      <c r="AW5" s="119"/>
      <c r="AX5" s="119">
        <f>AR5</f>
        <v>2008</v>
      </c>
      <c r="AY5" s="119">
        <f>AS5</f>
        <v>2010</v>
      </c>
      <c r="AZ5" s="119">
        <f>AT5</f>
        <v>2012</v>
      </c>
      <c r="BA5" s="119">
        <f>AU5</f>
        <v>2015</v>
      </c>
      <c r="BB5" s="119">
        <f>AV5</f>
        <v>2020</v>
      </c>
      <c r="BC5" s="119"/>
      <c r="BD5" s="119">
        <f>AR5</f>
        <v>2008</v>
      </c>
      <c r="BE5" s="119">
        <f>AS5</f>
        <v>2010</v>
      </c>
      <c r="BF5" s="119">
        <f>AT5</f>
        <v>2012</v>
      </c>
      <c r="BG5" s="119">
        <f>AU5</f>
        <v>2015</v>
      </c>
      <c r="BH5" s="119">
        <f>AV5</f>
        <v>2020</v>
      </c>
    </row>
    <row r="6" spans="1:60" x14ac:dyDescent="0.2">
      <c r="A6" s="113" t="s">
        <v>100</v>
      </c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Y6" s="113" t="str">
        <f>A6</f>
        <v>Males and females</v>
      </c>
      <c r="AD6" s="187"/>
      <c r="AE6" s="187"/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13" t="str">
        <f>A6</f>
        <v>Males and females</v>
      </c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</row>
    <row r="7" spans="1:60" x14ac:dyDescent="0.2">
      <c r="A7" s="90" t="s">
        <v>117</v>
      </c>
      <c r="B7" s="188">
        <f>SUM(B21,B35)</f>
        <v>3459.4640427147242</v>
      </c>
      <c r="C7" s="188">
        <f t="shared" ref="C7:F7" si="0">SUM(C21,C35)</f>
        <v>3400.2899538632541</v>
      </c>
      <c r="D7" s="188">
        <f t="shared" si="0"/>
        <v>3045.4402650537522</v>
      </c>
      <c r="E7" s="188">
        <f t="shared" si="0"/>
        <v>2678.9714989136332</v>
      </c>
      <c r="F7" s="188">
        <f t="shared" si="0"/>
        <v>2317.0105072138758</v>
      </c>
      <c r="G7" s="187"/>
      <c r="H7" s="188">
        <f>SUM(H21,H35)</f>
        <v>1679.4259754428681</v>
      </c>
      <c r="I7" s="188">
        <f t="shared" ref="I7:L7" si="1">SUM(I21,I35)</f>
        <v>1648.317888485841</v>
      </c>
      <c r="J7" s="188">
        <f t="shared" si="1"/>
        <v>1477.7490935463652</v>
      </c>
      <c r="K7" s="188">
        <f t="shared" si="1"/>
        <v>1288.2296891194944</v>
      </c>
      <c r="L7" s="188">
        <f t="shared" si="1"/>
        <v>1088.2685344941576</v>
      </c>
      <c r="M7" s="187"/>
      <c r="N7" s="188">
        <f>SUM(N21,N35)</f>
        <v>1780.0380672718561</v>
      </c>
      <c r="O7" s="188">
        <f t="shared" ref="O7:R7" si="2">SUM(O21,O35)</f>
        <v>1751.9720653774136</v>
      </c>
      <c r="P7" s="188">
        <f t="shared" si="2"/>
        <v>1567.6911715073866</v>
      </c>
      <c r="Q7" s="188">
        <f t="shared" si="2"/>
        <v>1390.7418097941386</v>
      </c>
      <c r="R7" s="188">
        <f t="shared" si="2"/>
        <v>1228.7419727197182</v>
      </c>
      <c r="S7" s="187"/>
      <c r="T7" s="188">
        <f>SUM(T21,T35)</f>
        <v>0</v>
      </c>
      <c r="U7" s="188">
        <f t="shared" ref="U7:X7" si="3">SUM(U21,U35)</f>
        <v>0</v>
      </c>
      <c r="V7" s="188">
        <f t="shared" si="3"/>
        <v>0</v>
      </c>
      <c r="W7" s="188">
        <f t="shared" si="3"/>
        <v>0</v>
      </c>
      <c r="X7" s="188">
        <f t="shared" si="3"/>
        <v>0</v>
      </c>
      <c r="Y7" s="90" t="str">
        <f>A7</f>
        <v>15+</v>
      </c>
      <c r="Z7" s="188">
        <f>SUM(Z21,Z35)</f>
        <v>3091.791884793171</v>
      </c>
      <c r="AA7" s="188">
        <f t="shared" ref="AA7:AD7" si="4">SUM(AA21,AA35)</f>
        <v>3065.8806069644388</v>
      </c>
      <c r="AB7" s="188">
        <f t="shared" si="4"/>
        <v>3409.3013579609269</v>
      </c>
      <c r="AC7" s="188">
        <f t="shared" si="4"/>
        <v>3706.9349474249966</v>
      </c>
      <c r="AD7" s="188">
        <f t="shared" si="4"/>
        <v>4020.4986268054308</v>
      </c>
      <c r="AE7" s="187"/>
      <c r="AF7" s="188">
        <f>SUM(AF21,AF35)</f>
        <v>2927.4264642789112</v>
      </c>
      <c r="AG7" s="188">
        <f t="shared" ref="AG7:AJ7" si="5">SUM(AG21,AG35)</f>
        <v>2904.0501410418874</v>
      </c>
      <c r="AH7" s="188">
        <f t="shared" si="5"/>
        <v>3230.1495942820802</v>
      </c>
      <c r="AI7" s="188">
        <f t="shared" si="5"/>
        <v>3512.6427518955061</v>
      </c>
      <c r="AJ7" s="188">
        <f t="shared" si="5"/>
        <v>3811.1764268486331</v>
      </c>
      <c r="AK7" s="187"/>
      <c r="AL7" s="188">
        <f>SUM(AL21,AL35)</f>
        <v>164.36542051425988</v>
      </c>
      <c r="AM7" s="188">
        <f t="shared" ref="AM7:AP7" si="6">SUM(AM21,AM35)</f>
        <v>161.83046592255167</v>
      </c>
      <c r="AN7" s="188">
        <f t="shared" si="6"/>
        <v>179.15176367884681</v>
      </c>
      <c r="AO7" s="188">
        <f t="shared" si="6"/>
        <v>194.29219552948987</v>
      </c>
      <c r="AP7" s="188">
        <f t="shared" si="6"/>
        <v>209.3221999567977</v>
      </c>
      <c r="AQ7" s="90" t="str">
        <f>A7</f>
        <v>15+</v>
      </c>
      <c r="AR7" s="188">
        <f>SUM(AR21,AR35)</f>
        <v>2315.1550724921058</v>
      </c>
      <c r="AS7" s="188">
        <f t="shared" ref="AS7:AV7" si="7">SUM(AS21,AS35)</f>
        <v>2541.5004391723069</v>
      </c>
      <c r="AT7" s="188">
        <f t="shared" si="7"/>
        <v>2941.8093769853213</v>
      </c>
      <c r="AU7" s="188">
        <f t="shared" si="7"/>
        <v>3371.4645536613707</v>
      </c>
      <c r="AV7" s="188">
        <f t="shared" si="7"/>
        <v>3852.3018659806939</v>
      </c>
      <c r="AW7" s="187"/>
      <c r="AX7" s="188">
        <f>SUM(AX21,AX35)</f>
        <v>2273.2830854649774</v>
      </c>
      <c r="AY7" s="188">
        <f t="shared" ref="AY7:BB7" si="8">SUM(AY21,AY35)</f>
        <v>2495.5789443393905</v>
      </c>
      <c r="AZ7" s="188">
        <f t="shared" si="8"/>
        <v>2888.5095204216923</v>
      </c>
      <c r="BA7" s="188">
        <f t="shared" si="8"/>
        <v>3309.625834412429</v>
      </c>
      <c r="BB7" s="188">
        <f t="shared" si="8"/>
        <v>3780.5650780045271</v>
      </c>
      <c r="BC7" s="187"/>
      <c r="BD7" s="188">
        <f>SUM(BD21,BD35)</f>
        <v>41.87198702712827</v>
      </c>
      <c r="BE7" s="188">
        <f t="shared" ref="BE7:BH7" si="9">SUM(BE21,BE35)</f>
        <v>45.921494832916046</v>
      </c>
      <c r="BF7" s="188">
        <f t="shared" si="9"/>
        <v>53.299856563628751</v>
      </c>
      <c r="BG7" s="188">
        <f t="shared" si="9"/>
        <v>61.838719248942184</v>
      </c>
      <c r="BH7" s="188">
        <f t="shared" si="9"/>
        <v>71.736787976166625</v>
      </c>
    </row>
    <row r="8" spans="1:60" x14ac:dyDescent="0.2">
      <c r="A8" s="90" t="s">
        <v>107</v>
      </c>
      <c r="B8" s="188">
        <f t="shared" ref="B8:F18" si="10">SUM(B22,B36)</f>
        <v>501.63108046561928</v>
      </c>
      <c r="C8" s="188">
        <f t="shared" si="10"/>
        <v>493.36896304450306</v>
      </c>
      <c r="D8" s="188">
        <f t="shared" si="10"/>
        <v>467.66784217805935</v>
      </c>
      <c r="E8" s="188">
        <f t="shared" si="10"/>
        <v>467.57168305686275</v>
      </c>
      <c r="F8" s="188">
        <f t="shared" si="10"/>
        <v>503.21354379106839</v>
      </c>
      <c r="G8" s="187"/>
      <c r="H8" s="188">
        <f t="shared" ref="H8:L18" si="11">SUM(H22,H36)</f>
        <v>114.48583632559203</v>
      </c>
      <c r="I8" s="188">
        <f t="shared" si="11"/>
        <v>112.4668251880446</v>
      </c>
      <c r="J8" s="188">
        <f t="shared" si="11"/>
        <v>106.55167737427834</v>
      </c>
      <c r="K8" s="188">
        <f t="shared" si="11"/>
        <v>106.48887604298042</v>
      </c>
      <c r="L8" s="188">
        <f t="shared" si="11"/>
        <v>114.56799971676224</v>
      </c>
      <c r="M8" s="187"/>
      <c r="N8" s="188">
        <f t="shared" ref="N8:R18" si="12">SUM(N22,N36)</f>
        <v>387.14524414002727</v>
      </c>
      <c r="O8" s="188">
        <f t="shared" si="12"/>
        <v>380.90213785645847</v>
      </c>
      <c r="P8" s="188">
        <f t="shared" si="12"/>
        <v>361.11616480378109</v>
      </c>
      <c r="Q8" s="188">
        <f t="shared" si="12"/>
        <v>361.08280701388242</v>
      </c>
      <c r="R8" s="188">
        <f t="shared" si="12"/>
        <v>388.64554407430614</v>
      </c>
      <c r="S8" s="187"/>
      <c r="T8" s="188">
        <f t="shared" ref="T8:X18" si="13">SUM(T22,T36)</f>
        <v>0</v>
      </c>
      <c r="U8" s="188">
        <f t="shared" si="13"/>
        <v>0</v>
      </c>
      <c r="V8" s="188">
        <f t="shared" si="13"/>
        <v>0</v>
      </c>
      <c r="W8" s="188">
        <f t="shared" si="13"/>
        <v>0</v>
      </c>
      <c r="X8" s="188">
        <f t="shared" si="13"/>
        <v>0</v>
      </c>
      <c r="Y8" s="90" t="str">
        <f t="shared" ref="Y8:Y20" si="14">A8</f>
        <v>15-19</v>
      </c>
      <c r="Z8" s="188">
        <f t="shared" ref="Z8:AD18" si="15">SUM(Z22,Z36)</f>
        <v>150.08101199827104</v>
      </c>
      <c r="AA8" s="188">
        <f t="shared" si="15"/>
        <v>155.93795619324226</v>
      </c>
      <c r="AB8" s="188">
        <f t="shared" si="15"/>
        <v>164.99720704459003</v>
      </c>
      <c r="AC8" s="188">
        <f t="shared" si="15"/>
        <v>178.36278144057661</v>
      </c>
      <c r="AD8" s="188">
        <f t="shared" si="15"/>
        <v>207.50995998860915</v>
      </c>
      <c r="AE8" s="187"/>
      <c r="AF8" s="188">
        <f t="shared" ref="AF8:AJ18" si="16">SUM(AF22,AF36)</f>
        <v>147.86996763731275</v>
      </c>
      <c r="AG8" s="188">
        <f t="shared" si="16"/>
        <v>153.62639813852158</v>
      </c>
      <c r="AH8" s="188">
        <f t="shared" si="16"/>
        <v>162.54197557268748</v>
      </c>
      <c r="AI8" s="188">
        <f t="shared" si="16"/>
        <v>175.70743183187028</v>
      </c>
      <c r="AJ8" s="188">
        <f t="shared" si="16"/>
        <v>204.41892397369543</v>
      </c>
      <c r="AK8" s="187"/>
      <c r="AL8" s="188">
        <f t="shared" ref="AL8:AP18" si="17">SUM(AL22,AL36)</f>
        <v>2.2110443609582711</v>
      </c>
      <c r="AM8" s="188">
        <f t="shared" si="17"/>
        <v>2.3115580547206553</v>
      </c>
      <c r="AN8" s="188">
        <f t="shared" si="17"/>
        <v>2.4552314719025436</v>
      </c>
      <c r="AO8" s="188">
        <f t="shared" si="17"/>
        <v>2.6553496087063317</v>
      </c>
      <c r="AP8" s="188">
        <f t="shared" si="17"/>
        <v>3.0910360149137395</v>
      </c>
      <c r="AQ8" s="90" t="str">
        <f t="shared" ref="AQ8:AQ18" si="18">A8</f>
        <v>15-19</v>
      </c>
      <c r="AR8" s="188">
        <f t="shared" ref="AR8:AV18" si="19">SUM(AR22,AR36)</f>
        <v>0.60290753610971359</v>
      </c>
      <c r="AS8" s="188">
        <f t="shared" si="19"/>
        <v>1.3250807622546965</v>
      </c>
      <c r="AT8" s="188">
        <f t="shared" si="19"/>
        <v>1.9219507773505975</v>
      </c>
      <c r="AU8" s="188">
        <f t="shared" si="19"/>
        <v>1.9655355025605465</v>
      </c>
      <c r="AV8" s="188">
        <f t="shared" si="19"/>
        <v>2.1654962203224546</v>
      </c>
      <c r="AW8" s="187"/>
      <c r="AX8" s="188">
        <f t="shared" ref="AX8:BB18" si="20">SUM(AX22,AX36)</f>
        <v>0.54737466781637356</v>
      </c>
      <c r="AY8" s="188">
        <f t="shared" si="20"/>
        <v>1.2407671949430608</v>
      </c>
      <c r="AZ8" s="188">
        <f t="shared" si="20"/>
        <v>1.8657913659809988</v>
      </c>
      <c r="BA8" s="188">
        <f t="shared" si="20"/>
        <v>1.9082644770900146</v>
      </c>
      <c r="BB8" s="188">
        <f t="shared" si="20"/>
        <v>2.1026008851094398</v>
      </c>
      <c r="BC8" s="187"/>
      <c r="BD8" s="188">
        <f t="shared" ref="BD8:BH18" si="21">SUM(BD22,BD36)</f>
        <v>5.5532868293339949E-2</v>
      </c>
      <c r="BE8" s="188">
        <f t="shared" si="21"/>
        <v>8.4313567311635793E-2</v>
      </c>
      <c r="BF8" s="188">
        <f t="shared" si="21"/>
        <v>5.6159411369598657E-2</v>
      </c>
      <c r="BG8" s="188">
        <f t="shared" si="21"/>
        <v>5.7271025470531763E-2</v>
      </c>
      <c r="BH8" s="188">
        <f t="shared" si="21"/>
        <v>6.2895335213014894E-2</v>
      </c>
    </row>
    <row r="9" spans="1:60" x14ac:dyDescent="0.2">
      <c r="A9" s="90" t="s">
        <v>108</v>
      </c>
      <c r="B9" s="188">
        <f t="shared" si="10"/>
        <v>113.85056817629103</v>
      </c>
      <c r="C9" s="188">
        <f t="shared" si="10"/>
        <v>115.65112792404403</v>
      </c>
      <c r="D9" s="188">
        <f t="shared" si="10"/>
        <v>108.64656736044506</v>
      </c>
      <c r="E9" s="188">
        <f t="shared" si="10"/>
        <v>95.846387380896019</v>
      </c>
      <c r="F9" s="188">
        <f t="shared" si="10"/>
        <v>87.521667739268693</v>
      </c>
      <c r="G9" s="187"/>
      <c r="H9" s="188">
        <f t="shared" si="11"/>
        <v>36.71242366227203</v>
      </c>
      <c r="I9" s="188">
        <f t="shared" si="11"/>
        <v>37.140869961294854</v>
      </c>
      <c r="J9" s="188">
        <f t="shared" si="11"/>
        <v>34.405280511674597</v>
      </c>
      <c r="K9" s="188">
        <f t="shared" si="11"/>
        <v>30.323294922669287</v>
      </c>
      <c r="L9" s="188">
        <f t="shared" si="11"/>
        <v>27.681805786841899</v>
      </c>
      <c r="M9" s="187"/>
      <c r="N9" s="188">
        <f t="shared" si="12"/>
        <v>77.13814451401899</v>
      </c>
      <c r="O9" s="188">
        <f t="shared" si="12"/>
        <v>78.510257962749179</v>
      </c>
      <c r="P9" s="188">
        <f t="shared" si="12"/>
        <v>74.241286848770471</v>
      </c>
      <c r="Q9" s="188">
        <f t="shared" si="12"/>
        <v>65.523092458226728</v>
      </c>
      <c r="R9" s="188">
        <f t="shared" si="12"/>
        <v>59.839861952426787</v>
      </c>
      <c r="S9" s="187"/>
      <c r="T9" s="188">
        <f t="shared" si="13"/>
        <v>0</v>
      </c>
      <c r="U9" s="188">
        <f t="shared" si="13"/>
        <v>0</v>
      </c>
      <c r="V9" s="188">
        <f t="shared" si="13"/>
        <v>0</v>
      </c>
      <c r="W9" s="188">
        <f t="shared" si="13"/>
        <v>0</v>
      </c>
      <c r="X9" s="188">
        <f t="shared" si="13"/>
        <v>0</v>
      </c>
      <c r="Y9" s="90" t="str">
        <f t="shared" si="14"/>
        <v>20-24</v>
      </c>
      <c r="Z9" s="188">
        <f t="shared" si="15"/>
        <v>382.98069564153434</v>
      </c>
      <c r="AA9" s="188">
        <f t="shared" si="15"/>
        <v>394.35590193118628</v>
      </c>
      <c r="AB9" s="188">
        <f t="shared" si="15"/>
        <v>412.87076891444883</v>
      </c>
      <c r="AC9" s="188">
        <f t="shared" si="15"/>
        <v>399.37934349064994</v>
      </c>
      <c r="AD9" s="188">
        <f t="shared" si="15"/>
        <v>400.88677473503026</v>
      </c>
      <c r="AE9" s="187"/>
      <c r="AF9" s="188">
        <f t="shared" si="16"/>
        <v>363.98477719851724</v>
      </c>
      <c r="AG9" s="188">
        <f t="shared" si="16"/>
        <v>374.77312480698299</v>
      </c>
      <c r="AH9" s="188">
        <f t="shared" si="16"/>
        <v>392.37404871527087</v>
      </c>
      <c r="AI9" s="188">
        <f t="shared" si="16"/>
        <v>379.57670333802525</v>
      </c>
      <c r="AJ9" s="188">
        <f t="shared" si="16"/>
        <v>381.02605803364366</v>
      </c>
      <c r="AK9" s="187"/>
      <c r="AL9" s="188">
        <f t="shared" si="17"/>
        <v>18.995918443017182</v>
      </c>
      <c r="AM9" s="188">
        <f t="shared" si="17"/>
        <v>19.582777124203318</v>
      </c>
      <c r="AN9" s="188">
        <f t="shared" si="17"/>
        <v>20.49672019917795</v>
      </c>
      <c r="AO9" s="188">
        <f t="shared" si="17"/>
        <v>19.802640152624711</v>
      </c>
      <c r="AP9" s="188">
        <f t="shared" si="17"/>
        <v>19.860716701386607</v>
      </c>
      <c r="AQ9" s="90" t="str">
        <f t="shared" si="18"/>
        <v>20-24</v>
      </c>
      <c r="AR9" s="188">
        <f t="shared" si="19"/>
        <v>143.68473618217462</v>
      </c>
      <c r="AS9" s="188">
        <f t="shared" si="19"/>
        <v>150.71097014476959</v>
      </c>
      <c r="AT9" s="188">
        <f t="shared" si="19"/>
        <v>186.98366372510611</v>
      </c>
      <c r="AU9" s="188">
        <f t="shared" si="19"/>
        <v>201.56226912845403</v>
      </c>
      <c r="AV9" s="188">
        <f t="shared" si="19"/>
        <v>224.84155752570109</v>
      </c>
      <c r="AW9" s="187"/>
      <c r="AX9" s="188">
        <f t="shared" si="20"/>
        <v>143.33653114819879</v>
      </c>
      <c r="AY9" s="188">
        <f t="shared" si="20"/>
        <v>150.34362309651959</v>
      </c>
      <c r="AZ9" s="188">
        <f t="shared" si="20"/>
        <v>186.52415613000247</v>
      </c>
      <c r="BA9" s="188">
        <f t="shared" si="20"/>
        <v>201.06633972833936</v>
      </c>
      <c r="BB9" s="188">
        <f t="shared" si="20"/>
        <v>224.28837377749321</v>
      </c>
      <c r="BC9" s="187"/>
      <c r="BD9" s="188">
        <f t="shared" si="21"/>
        <v>0.34820503397584823</v>
      </c>
      <c r="BE9" s="188">
        <f t="shared" si="21"/>
        <v>0.36734704825001729</v>
      </c>
      <c r="BF9" s="188">
        <f t="shared" si="21"/>
        <v>0.4595075951036377</v>
      </c>
      <c r="BG9" s="188">
        <f t="shared" si="21"/>
        <v>0.49592940011468256</v>
      </c>
      <c r="BH9" s="188">
        <f t="shared" si="21"/>
        <v>0.55318374820788452</v>
      </c>
    </row>
    <row r="10" spans="1:60" x14ac:dyDescent="0.2">
      <c r="A10" s="90" t="s">
        <v>109</v>
      </c>
      <c r="B10" s="188">
        <f t="shared" si="10"/>
        <v>115.37907358541085</v>
      </c>
      <c r="C10" s="188">
        <f t="shared" si="10"/>
        <v>127.07460532220105</v>
      </c>
      <c r="D10" s="188">
        <f t="shared" si="10"/>
        <v>118.40314244947737</v>
      </c>
      <c r="E10" s="188">
        <f t="shared" si="10"/>
        <v>117.74066640587412</v>
      </c>
      <c r="F10" s="188">
        <f t="shared" si="10"/>
        <v>104.64926095222505</v>
      </c>
      <c r="G10" s="187"/>
      <c r="H10" s="188">
        <f t="shared" si="11"/>
        <v>40.798223765839786</v>
      </c>
      <c r="I10" s="188">
        <f t="shared" si="11"/>
        <v>45.065990030629422</v>
      </c>
      <c r="J10" s="188">
        <f t="shared" si="11"/>
        <v>41.916443930124132</v>
      </c>
      <c r="K10" s="188">
        <f t="shared" si="11"/>
        <v>41.603247748686108</v>
      </c>
      <c r="L10" s="188">
        <f t="shared" si="11"/>
        <v>36.975172705743539</v>
      </c>
      <c r="M10" s="187"/>
      <c r="N10" s="188">
        <f t="shared" si="12"/>
        <v>74.580849819571057</v>
      </c>
      <c r="O10" s="188">
        <f t="shared" si="12"/>
        <v>82.008615291571644</v>
      </c>
      <c r="P10" s="188">
        <f t="shared" si="12"/>
        <v>76.48669851935324</v>
      </c>
      <c r="Q10" s="188">
        <f t="shared" si="12"/>
        <v>76.137418657188022</v>
      </c>
      <c r="R10" s="188">
        <f t="shared" si="12"/>
        <v>67.674088246481503</v>
      </c>
      <c r="S10" s="187"/>
      <c r="T10" s="188">
        <f t="shared" si="13"/>
        <v>0</v>
      </c>
      <c r="U10" s="188">
        <f t="shared" si="13"/>
        <v>0</v>
      </c>
      <c r="V10" s="188">
        <f t="shared" si="13"/>
        <v>0</v>
      </c>
      <c r="W10" s="188">
        <f t="shared" si="13"/>
        <v>0</v>
      </c>
      <c r="X10" s="188">
        <f t="shared" si="13"/>
        <v>0</v>
      </c>
      <c r="Y10" s="90" t="str">
        <f t="shared" si="14"/>
        <v>25-29</v>
      </c>
      <c r="Z10" s="188">
        <f t="shared" si="15"/>
        <v>285.32401508902581</v>
      </c>
      <c r="AA10" s="188">
        <f t="shared" si="15"/>
        <v>266.19879984541552</v>
      </c>
      <c r="AB10" s="188">
        <f t="shared" si="15"/>
        <v>280.11568976670378</v>
      </c>
      <c r="AC10" s="188">
        <f t="shared" si="15"/>
        <v>295.3482302777582</v>
      </c>
      <c r="AD10" s="188">
        <f t="shared" si="15"/>
        <v>289.74487116781143</v>
      </c>
      <c r="AE10" s="187"/>
      <c r="AF10" s="188">
        <f t="shared" si="16"/>
        <v>264.71283723333693</v>
      </c>
      <c r="AG10" s="188">
        <f t="shared" si="16"/>
        <v>246.96600220301298</v>
      </c>
      <c r="AH10" s="188">
        <f t="shared" si="16"/>
        <v>260.0379790136522</v>
      </c>
      <c r="AI10" s="188">
        <f t="shared" si="16"/>
        <v>274.30243506375962</v>
      </c>
      <c r="AJ10" s="188">
        <f t="shared" si="16"/>
        <v>269.19630907068336</v>
      </c>
      <c r="AK10" s="187"/>
      <c r="AL10" s="188">
        <f t="shared" si="17"/>
        <v>20.611177855688922</v>
      </c>
      <c r="AM10" s="188">
        <f t="shared" si="17"/>
        <v>19.232797642402538</v>
      </c>
      <c r="AN10" s="188">
        <f t="shared" si="17"/>
        <v>20.077710753051615</v>
      </c>
      <c r="AO10" s="188">
        <f t="shared" si="17"/>
        <v>21.04579521399852</v>
      </c>
      <c r="AP10" s="188">
        <f t="shared" si="17"/>
        <v>20.548562097128041</v>
      </c>
      <c r="AQ10" s="90" t="str">
        <f t="shared" si="18"/>
        <v>25-29</v>
      </c>
      <c r="AR10" s="188">
        <f t="shared" si="19"/>
        <v>285.48891132556332</v>
      </c>
      <c r="AS10" s="188">
        <f t="shared" si="19"/>
        <v>298.43559483238334</v>
      </c>
      <c r="AT10" s="188">
        <f t="shared" si="19"/>
        <v>329.80716778381884</v>
      </c>
      <c r="AU10" s="188">
        <f t="shared" si="19"/>
        <v>365.58310331636773</v>
      </c>
      <c r="AV10" s="188">
        <f t="shared" si="19"/>
        <v>376.96286787996354</v>
      </c>
      <c r="AW10" s="187"/>
      <c r="AX10" s="188">
        <f t="shared" si="20"/>
        <v>282.70510559860855</v>
      </c>
      <c r="AY10" s="188">
        <f t="shared" si="20"/>
        <v>295.51880182634955</v>
      </c>
      <c r="AZ10" s="188">
        <f t="shared" si="20"/>
        <v>326.59395287550331</v>
      </c>
      <c r="BA10" s="188">
        <f t="shared" si="20"/>
        <v>362.02223728946319</v>
      </c>
      <c r="BB10" s="188">
        <f t="shared" si="20"/>
        <v>373.29368404794025</v>
      </c>
      <c r="BC10" s="187"/>
      <c r="BD10" s="188">
        <f t="shared" si="21"/>
        <v>2.7838057269548049</v>
      </c>
      <c r="BE10" s="188">
        <f t="shared" si="21"/>
        <v>2.916793006033831</v>
      </c>
      <c r="BF10" s="188">
        <f t="shared" si="21"/>
        <v>3.2132149083155843</v>
      </c>
      <c r="BG10" s="188">
        <f t="shared" si="21"/>
        <v>3.5608660269045256</v>
      </c>
      <c r="BH10" s="188">
        <f t="shared" si="21"/>
        <v>3.669183832023271</v>
      </c>
    </row>
    <row r="11" spans="1:60" x14ac:dyDescent="0.2">
      <c r="A11" s="90" t="s">
        <v>110</v>
      </c>
      <c r="B11" s="188">
        <f t="shared" si="10"/>
        <v>116.6348130799831</v>
      </c>
      <c r="C11" s="188">
        <f t="shared" si="10"/>
        <v>121.76030756867036</v>
      </c>
      <c r="D11" s="188">
        <f t="shared" si="10"/>
        <v>118.18823108583572</v>
      </c>
      <c r="E11" s="188">
        <f t="shared" si="10"/>
        <v>109.913241263863</v>
      </c>
      <c r="F11" s="188">
        <f t="shared" si="10"/>
        <v>93.676057480419587</v>
      </c>
      <c r="G11" s="187"/>
      <c r="H11" s="188">
        <f t="shared" si="11"/>
        <v>44.791528463722429</v>
      </c>
      <c r="I11" s="188">
        <f t="shared" si="11"/>
        <v>47.017124581566897</v>
      </c>
      <c r="J11" s="188">
        <f t="shared" si="11"/>
        <v>45.575297988406476</v>
      </c>
      <c r="K11" s="188">
        <f t="shared" si="11"/>
        <v>42.364426936905772</v>
      </c>
      <c r="L11" s="188">
        <f t="shared" si="11"/>
        <v>36.057194740501721</v>
      </c>
      <c r="M11" s="187"/>
      <c r="N11" s="188">
        <f t="shared" si="12"/>
        <v>71.843284616260675</v>
      </c>
      <c r="O11" s="188">
        <f t="shared" si="12"/>
        <v>74.743182987103467</v>
      </c>
      <c r="P11" s="188">
        <f t="shared" si="12"/>
        <v>72.612933097429249</v>
      </c>
      <c r="Q11" s="188">
        <f t="shared" si="12"/>
        <v>67.548814326957228</v>
      </c>
      <c r="R11" s="188">
        <f t="shared" si="12"/>
        <v>57.618862739917844</v>
      </c>
      <c r="S11" s="187"/>
      <c r="T11" s="188">
        <f t="shared" si="13"/>
        <v>0</v>
      </c>
      <c r="U11" s="188">
        <f t="shared" si="13"/>
        <v>0</v>
      </c>
      <c r="V11" s="188">
        <f t="shared" si="13"/>
        <v>0</v>
      </c>
      <c r="W11" s="188">
        <f t="shared" si="13"/>
        <v>0</v>
      </c>
      <c r="X11" s="188">
        <f t="shared" si="13"/>
        <v>0</v>
      </c>
      <c r="Y11" s="90" t="str">
        <f t="shared" si="14"/>
        <v>30-34</v>
      </c>
      <c r="Z11" s="188">
        <f t="shared" si="15"/>
        <v>275.1983307590632</v>
      </c>
      <c r="AA11" s="188">
        <f t="shared" si="15"/>
        <v>266.0829768237935</v>
      </c>
      <c r="AB11" s="188">
        <f t="shared" si="15"/>
        <v>285.51361958464611</v>
      </c>
      <c r="AC11" s="188">
        <f t="shared" si="15"/>
        <v>296.32015564557162</v>
      </c>
      <c r="AD11" s="188">
        <f t="shared" si="15"/>
        <v>317.88848271212305</v>
      </c>
      <c r="AE11" s="187"/>
      <c r="AF11" s="188">
        <f t="shared" si="16"/>
        <v>255.48717394280527</v>
      </c>
      <c r="AG11" s="188">
        <f t="shared" si="16"/>
        <v>247.06950912979124</v>
      </c>
      <c r="AH11" s="188">
        <f t="shared" si="16"/>
        <v>265.15360262399543</v>
      </c>
      <c r="AI11" s="188">
        <f t="shared" si="16"/>
        <v>275.24980054915358</v>
      </c>
      <c r="AJ11" s="188">
        <f t="shared" si="16"/>
        <v>295.36996417982152</v>
      </c>
      <c r="AK11" s="187"/>
      <c r="AL11" s="188">
        <f t="shared" si="17"/>
        <v>19.711156816257962</v>
      </c>
      <c r="AM11" s="188">
        <f t="shared" si="17"/>
        <v>19.01346769400228</v>
      </c>
      <c r="AN11" s="188">
        <f t="shared" si="17"/>
        <v>20.360016960650725</v>
      </c>
      <c r="AO11" s="188">
        <f t="shared" si="17"/>
        <v>21.070355096418023</v>
      </c>
      <c r="AP11" s="188">
        <f t="shared" si="17"/>
        <v>22.518518532301513</v>
      </c>
      <c r="AQ11" s="90" t="str">
        <f t="shared" si="18"/>
        <v>30-34</v>
      </c>
      <c r="AR11" s="188">
        <f t="shared" si="19"/>
        <v>294.76785616095367</v>
      </c>
      <c r="AS11" s="188">
        <f t="shared" si="19"/>
        <v>310.21271560753621</v>
      </c>
      <c r="AT11" s="188">
        <f t="shared" si="19"/>
        <v>340.70814932951816</v>
      </c>
      <c r="AU11" s="188">
        <f t="shared" si="19"/>
        <v>369.83560309056543</v>
      </c>
      <c r="AV11" s="188">
        <f t="shared" si="19"/>
        <v>418.22345980745735</v>
      </c>
      <c r="AW11" s="187"/>
      <c r="AX11" s="188">
        <f t="shared" si="20"/>
        <v>289.63080788660079</v>
      </c>
      <c r="AY11" s="188">
        <f t="shared" si="20"/>
        <v>304.79570037586518</v>
      </c>
      <c r="AZ11" s="188">
        <f t="shared" si="20"/>
        <v>334.81192752241731</v>
      </c>
      <c r="BA11" s="188">
        <f t="shared" si="20"/>
        <v>363.47263912244296</v>
      </c>
      <c r="BB11" s="188">
        <f t="shared" si="20"/>
        <v>411.01000020534735</v>
      </c>
      <c r="BC11" s="187"/>
      <c r="BD11" s="188">
        <f t="shared" si="21"/>
        <v>5.1370482743529013</v>
      </c>
      <c r="BE11" s="188">
        <f t="shared" si="21"/>
        <v>5.4170152316709643</v>
      </c>
      <c r="BF11" s="188">
        <f t="shared" si="21"/>
        <v>5.8962218071008108</v>
      </c>
      <c r="BG11" s="188">
        <f t="shared" si="21"/>
        <v>6.3629639681224219</v>
      </c>
      <c r="BH11" s="188">
        <f t="shared" si="21"/>
        <v>7.213459602110035</v>
      </c>
    </row>
    <row r="12" spans="1:60" x14ac:dyDescent="0.2">
      <c r="A12" s="90" t="s">
        <v>111</v>
      </c>
      <c r="B12" s="188">
        <f t="shared" si="10"/>
        <v>154.11214519557188</v>
      </c>
      <c r="C12" s="188">
        <f t="shared" si="10"/>
        <v>148.15717385227549</v>
      </c>
      <c r="D12" s="188">
        <f t="shared" si="10"/>
        <v>124.1637405731941</v>
      </c>
      <c r="E12" s="188">
        <f t="shared" si="10"/>
        <v>103.00106387667563</v>
      </c>
      <c r="F12" s="188">
        <f t="shared" si="10"/>
        <v>79.667767346824377</v>
      </c>
      <c r="G12" s="187"/>
      <c r="H12" s="188">
        <f t="shared" si="11"/>
        <v>56.003261702459064</v>
      </c>
      <c r="I12" s="188">
        <f t="shared" si="11"/>
        <v>53.61808406304786</v>
      </c>
      <c r="J12" s="188">
        <f t="shared" si="11"/>
        <v>44.946036484441635</v>
      </c>
      <c r="K12" s="188">
        <f t="shared" si="11"/>
        <v>37.289691972205802</v>
      </c>
      <c r="L12" s="188">
        <f t="shared" si="11"/>
        <v>28.798762169451095</v>
      </c>
      <c r="M12" s="187"/>
      <c r="N12" s="188">
        <f t="shared" si="12"/>
        <v>98.108883493112813</v>
      </c>
      <c r="O12" s="188">
        <f t="shared" si="12"/>
        <v>94.539089789227646</v>
      </c>
      <c r="P12" s="188">
        <f t="shared" si="12"/>
        <v>79.21770408875247</v>
      </c>
      <c r="Q12" s="188">
        <f t="shared" si="12"/>
        <v>65.711371904469829</v>
      </c>
      <c r="R12" s="188">
        <f t="shared" si="12"/>
        <v>50.869005177373282</v>
      </c>
      <c r="S12" s="187"/>
      <c r="T12" s="188">
        <f t="shared" si="13"/>
        <v>0</v>
      </c>
      <c r="U12" s="188">
        <f t="shared" si="13"/>
        <v>0</v>
      </c>
      <c r="V12" s="188">
        <f t="shared" si="13"/>
        <v>0</v>
      </c>
      <c r="W12" s="188">
        <f t="shared" si="13"/>
        <v>0</v>
      </c>
      <c r="X12" s="188">
        <f t="shared" si="13"/>
        <v>0</v>
      </c>
      <c r="Y12" s="90" t="str">
        <f t="shared" si="14"/>
        <v>35-39</v>
      </c>
      <c r="Z12" s="188">
        <f t="shared" si="15"/>
        <v>322.88579844316473</v>
      </c>
      <c r="AA12" s="188">
        <f t="shared" si="15"/>
        <v>287.4998240668773</v>
      </c>
      <c r="AB12" s="188">
        <f t="shared" si="15"/>
        <v>280.92839455401918</v>
      </c>
      <c r="AC12" s="188">
        <f t="shared" si="15"/>
        <v>299.54044624192568</v>
      </c>
      <c r="AD12" s="188">
        <f t="shared" si="15"/>
        <v>317.07239175090058</v>
      </c>
      <c r="AE12" s="187"/>
      <c r="AF12" s="188">
        <f t="shared" si="16"/>
        <v>303.37132132153579</v>
      </c>
      <c r="AG12" s="188">
        <f t="shared" si="16"/>
        <v>270.10893635844064</v>
      </c>
      <c r="AH12" s="188">
        <f t="shared" si="16"/>
        <v>263.99085237827694</v>
      </c>
      <c r="AI12" s="188">
        <f t="shared" si="16"/>
        <v>281.50570542953108</v>
      </c>
      <c r="AJ12" s="188">
        <f t="shared" si="16"/>
        <v>298.00980149252553</v>
      </c>
      <c r="AK12" s="187"/>
      <c r="AL12" s="188">
        <f t="shared" si="17"/>
        <v>19.514477121629021</v>
      </c>
      <c r="AM12" s="188">
        <f t="shared" si="17"/>
        <v>17.390887708436701</v>
      </c>
      <c r="AN12" s="188">
        <f t="shared" si="17"/>
        <v>16.937542175742227</v>
      </c>
      <c r="AO12" s="188">
        <f t="shared" si="17"/>
        <v>18.034740812394613</v>
      </c>
      <c r="AP12" s="188">
        <f t="shared" si="17"/>
        <v>19.062590258375032</v>
      </c>
      <c r="AQ12" s="90" t="str">
        <f t="shared" si="18"/>
        <v>35-39</v>
      </c>
      <c r="AR12" s="188">
        <f t="shared" si="19"/>
        <v>284.91205636126335</v>
      </c>
      <c r="AS12" s="188">
        <f t="shared" si="19"/>
        <v>312.0690020808471</v>
      </c>
      <c r="AT12" s="188">
        <f t="shared" si="19"/>
        <v>329.21186487278669</v>
      </c>
      <c r="AU12" s="188">
        <f t="shared" si="19"/>
        <v>370.51748988139866</v>
      </c>
      <c r="AV12" s="188">
        <f t="shared" si="19"/>
        <v>410.36684090227504</v>
      </c>
      <c r="AW12" s="187"/>
      <c r="AX12" s="188">
        <f t="shared" si="20"/>
        <v>279.90489605154085</v>
      </c>
      <c r="AY12" s="188">
        <f t="shared" si="20"/>
        <v>306.58743388534367</v>
      </c>
      <c r="AZ12" s="188">
        <f t="shared" si="20"/>
        <v>323.49821814056338</v>
      </c>
      <c r="BA12" s="188">
        <f t="shared" si="20"/>
        <v>364.11650308755236</v>
      </c>
      <c r="BB12" s="188">
        <f t="shared" si="20"/>
        <v>403.29145582426617</v>
      </c>
      <c r="BC12" s="187"/>
      <c r="BD12" s="188">
        <f t="shared" si="21"/>
        <v>5.0071603097225514</v>
      </c>
      <c r="BE12" s="188">
        <f t="shared" si="21"/>
        <v>5.4815681955034474</v>
      </c>
      <c r="BF12" s="188">
        <f t="shared" si="21"/>
        <v>5.7136467322232507</v>
      </c>
      <c r="BG12" s="188">
        <f t="shared" si="21"/>
        <v>6.4009867938463287</v>
      </c>
      <c r="BH12" s="188">
        <f t="shared" si="21"/>
        <v>7.0753850780088525</v>
      </c>
    </row>
    <row r="13" spans="1:60" x14ac:dyDescent="0.2">
      <c r="A13" s="90" t="s">
        <v>112</v>
      </c>
      <c r="B13" s="188">
        <f t="shared" si="10"/>
        <v>204.95472906429887</v>
      </c>
      <c r="C13" s="188">
        <f t="shared" si="10"/>
        <v>183.2736739920656</v>
      </c>
      <c r="D13" s="188">
        <f t="shared" si="10"/>
        <v>145.6109353666948</v>
      </c>
      <c r="E13" s="188">
        <f t="shared" si="10"/>
        <v>103.89159180775462</v>
      </c>
      <c r="F13" s="188">
        <f t="shared" si="10"/>
        <v>77.263056657170154</v>
      </c>
      <c r="G13" s="187"/>
      <c r="H13" s="188">
        <f t="shared" si="11"/>
        <v>75.043968155480954</v>
      </c>
      <c r="I13" s="188">
        <f t="shared" si="11"/>
        <v>66.962528106248641</v>
      </c>
      <c r="J13" s="188">
        <f t="shared" si="11"/>
        <v>53.205635957380473</v>
      </c>
      <c r="K13" s="188">
        <f t="shared" si="11"/>
        <v>37.898539746132187</v>
      </c>
      <c r="L13" s="188">
        <f t="shared" si="11"/>
        <v>28.104284599359445</v>
      </c>
      <c r="M13" s="187"/>
      <c r="N13" s="188">
        <f t="shared" si="12"/>
        <v>129.91076090881791</v>
      </c>
      <c r="O13" s="188">
        <f t="shared" si="12"/>
        <v>116.31114588581696</v>
      </c>
      <c r="P13" s="188">
        <f t="shared" si="12"/>
        <v>92.405299409314324</v>
      </c>
      <c r="Q13" s="188">
        <f t="shared" si="12"/>
        <v>65.993052061622421</v>
      </c>
      <c r="R13" s="188">
        <f t="shared" si="12"/>
        <v>49.158772057810708</v>
      </c>
      <c r="S13" s="187"/>
      <c r="T13" s="188">
        <f t="shared" si="13"/>
        <v>0</v>
      </c>
      <c r="U13" s="188">
        <f t="shared" si="13"/>
        <v>0</v>
      </c>
      <c r="V13" s="188">
        <f t="shared" si="13"/>
        <v>0</v>
      </c>
      <c r="W13" s="188">
        <f t="shared" si="13"/>
        <v>0</v>
      </c>
      <c r="X13" s="188">
        <f t="shared" si="13"/>
        <v>0</v>
      </c>
      <c r="Y13" s="90" t="str">
        <f t="shared" si="14"/>
        <v>40-44</v>
      </c>
      <c r="Z13" s="188">
        <f t="shared" si="15"/>
        <v>335.88123323100854</v>
      </c>
      <c r="AA13" s="188">
        <f t="shared" si="15"/>
        <v>312.92776503427081</v>
      </c>
      <c r="AB13" s="188">
        <f t="shared" si="15"/>
        <v>302.35363356602068</v>
      </c>
      <c r="AC13" s="188">
        <f t="shared" si="15"/>
        <v>306.64075194256282</v>
      </c>
      <c r="AD13" s="188">
        <f t="shared" si="15"/>
        <v>332.62704072525781</v>
      </c>
      <c r="AE13" s="187"/>
      <c r="AF13" s="188">
        <f t="shared" si="16"/>
        <v>318.57769939988361</v>
      </c>
      <c r="AG13" s="188">
        <f t="shared" si="16"/>
        <v>296.81769048378715</v>
      </c>
      <c r="AH13" s="188">
        <f t="shared" si="16"/>
        <v>286.81359197562756</v>
      </c>
      <c r="AI13" s="188">
        <f t="shared" si="16"/>
        <v>290.88951267461152</v>
      </c>
      <c r="AJ13" s="188">
        <f t="shared" si="16"/>
        <v>315.54744066806541</v>
      </c>
      <c r="AK13" s="187"/>
      <c r="AL13" s="188">
        <f t="shared" si="17"/>
        <v>17.303533831124952</v>
      </c>
      <c r="AM13" s="188">
        <f t="shared" si="17"/>
        <v>16.110074550483667</v>
      </c>
      <c r="AN13" s="188">
        <f t="shared" si="17"/>
        <v>15.540041590393106</v>
      </c>
      <c r="AO13" s="188">
        <f t="shared" si="17"/>
        <v>15.751239267951231</v>
      </c>
      <c r="AP13" s="188">
        <f t="shared" si="17"/>
        <v>17.079600057192419</v>
      </c>
      <c r="AQ13" s="90" t="str">
        <f t="shared" si="18"/>
        <v>40-44</v>
      </c>
      <c r="AR13" s="188">
        <f t="shared" si="19"/>
        <v>270.9300377046925</v>
      </c>
      <c r="AS13" s="188">
        <f t="shared" si="19"/>
        <v>293.55256097366362</v>
      </c>
      <c r="AT13" s="188">
        <f t="shared" si="19"/>
        <v>322.20043106728446</v>
      </c>
      <c r="AU13" s="188">
        <f t="shared" si="19"/>
        <v>339.66265624968264</v>
      </c>
      <c r="AV13" s="188">
        <f t="shared" si="19"/>
        <v>380.66890261757209</v>
      </c>
      <c r="AW13" s="187"/>
      <c r="AX13" s="188">
        <f t="shared" si="20"/>
        <v>266.38705152405146</v>
      </c>
      <c r="AY13" s="188">
        <f t="shared" si="20"/>
        <v>288.66110365884219</v>
      </c>
      <c r="AZ13" s="188">
        <f t="shared" si="20"/>
        <v>316.84860387450232</v>
      </c>
      <c r="BA13" s="188">
        <f t="shared" si="20"/>
        <v>334.03930780465259</v>
      </c>
      <c r="BB13" s="188">
        <f t="shared" si="20"/>
        <v>374.38350092432177</v>
      </c>
      <c r="BC13" s="187"/>
      <c r="BD13" s="188">
        <f t="shared" si="21"/>
        <v>4.5429861806410692</v>
      </c>
      <c r="BE13" s="188">
        <f t="shared" si="21"/>
        <v>4.8914573148213645</v>
      </c>
      <c r="BF13" s="188">
        <f t="shared" si="21"/>
        <v>5.3518271927821548</v>
      </c>
      <c r="BG13" s="188">
        <f t="shared" si="21"/>
        <v>5.6233484450300253</v>
      </c>
      <c r="BH13" s="188">
        <f t="shared" si="21"/>
        <v>6.2854016932503862</v>
      </c>
    </row>
    <row r="14" spans="1:60" x14ac:dyDescent="0.2">
      <c r="A14" s="90" t="s">
        <v>113</v>
      </c>
      <c r="B14" s="188">
        <f t="shared" si="10"/>
        <v>254.65884951398874</v>
      </c>
      <c r="C14" s="188">
        <f t="shared" si="10"/>
        <v>249.88437754828158</v>
      </c>
      <c r="D14" s="188">
        <f t="shared" si="10"/>
        <v>178.47858254526204</v>
      </c>
      <c r="E14" s="188">
        <f t="shared" si="10"/>
        <v>132.26113301280915</v>
      </c>
      <c r="F14" s="188">
        <f t="shared" si="10"/>
        <v>96.751846747388981</v>
      </c>
      <c r="G14" s="187"/>
      <c r="H14" s="188">
        <f t="shared" si="11"/>
        <v>97.081589333520498</v>
      </c>
      <c r="I14" s="188">
        <f t="shared" si="11"/>
        <v>95.255541277602333</v>
      </c>
      <c r="J14" s="188">
        <f t="shared" si="11"/>
        <v>67.471423380418784</v>
      </c>
      <c r="K14" s="188">
        <f t="shared" si="11"/>
        <v>49.673795228067675</v>
      </c>
      <c r="L14" s="188">
        <f t="shared" si="11"/>
        <v>36.08222161527133</v>
      </c>
      <c r="M14" s="187"/>
      <c r="N14" s="188">
        <f t="shared" si="12"/>
        <v>157.57726018046827</v>
      </c>
      <c r="O14" s="188">
        <f t="shared" si="12"/>
        <v>154.62883627067924</v>
      </c>
      <c r="P14" s="188">
        <f t="shared" si="12"/>
        <v>111.00715916484326</v>
      </c>
      <c r="Q14" s="188">
        <f t="shared" si="12"/>
        <v>82.587337784741479</v>
      </c>
      <c r="R14" s="188">
        <f t="shared" si="12"/>
        <v>60.669625132117659</v>
      </c>
      <c r="S14" s="187"/>
      <c r="T14" s="188">
        <f t="shared" si="13"/>
        <v>0</v>
      </c>
      <c r="U14" s="188">
        <f t="shared" si="13"/>
        <v>0</v>
      </c>
      <c r="V14" s="188">
        <f t="shared" si="13"/>
        <v>0</v>
      </c>
      <c r="W14" s="188">
        <f t="shared" si="13"/>
        <v>0</v>
      </c>
      <c r="X14" s="188">
        <f t="shared" si="13"/>
        <v>0</v>
      </c>
      <c r="Y14" s="90" t="str">
        <f t="shared" si="14"/>
        <v>45-49</v>
      </c>
      <c r="Z14" s="188">
        <f t="shared" si="15"/>
        <v>296.89078106183149</v>
      </c>
      <c r="AA14" s="188">
        <f t="shared" si="15"/>
        <v>297.81089783713531</v>
      </c>
      <c r="AB14" s="188">
        <f t="shared" si="15"/>
        <v>323.00238790557432</v>
      </c>
      <c r="AC14" s="188">
        <f t="shared" si="15"/>
        <v>331.21130960813161</v>
      </c>
      <c r="AD14" s="188">
        <f t="shared" si="15"/>
        <v>336.85601788588576</v>
      </c>
      <c r="AE14" s="187"/>
      <c r="AF14" s="188">
        <f t="shared" si="16"/>
        <v>283.27902750867406</v>
      </c>
      <c r="AG14" s="188">
        <f t="shared" si="16"/>
        <v>284.17878044572376</v>
      </c>
      <c r="AH14" s="188">
        <f t="shared" si="16"/>
        <v>308.23712222424672</v>
      </c>
      <c r="AI14" s="188">
        <f t="shared" si="16"/>
        <v>316.06982132262846</v>
      </c>
      <c r="AJ14" s="188">
        <f t="shared" si="16"/>
        <v>321.4595503021684</v>
      </c>
      <c r="AK14" s="187"/>
      <c r="AL14" s="188">
        <f t="shared" si="17"/>
        <v>13.611753553157442</v>
      </c>
      <c r="AM14" s="188">
        <f t="shared" si="17"/>
        <v>13.632117391411541</v>
      </c>
      <c r="AN14" s="188">
        <f t="shared" si="17"/>
        <v>14.765265681327598</v>
      </c>
      <c r="AO14" s="188">
        <f t="shared" si="17"/>
        <v>15.141488285503199</v>
      </c>
      <c r="AP14" s="188">
        <f t="shared" si="17"/>
        <v>15.39646758371746</v>
      </c>
      <c r="AQ14" s="90" t="str">
        <f t="shared" si="18"/>
        <v>45-49</v>
      </c>
      <c r="AR14" s="188">
        <f t="shared" si="19"/>
        <v>250.46536942417981</v>
      </c>
      <c r="AS14" s="188">
        <f t="shared" si="19"/>
        <v>272.37172461458317</v>
      </c>
      <c r="AT14" s="188">
        <f t="shared" si="19"/>
        <v>298.56302954916367</v>
      </c>
      <c r="AU14" s="188">
        <f t="shared" si="19"/>
        <v>312.99255737905924</v>
      </c>
      <c r="AV14" s="188">
        <f t="shared" si="19"/>
        <v>324.57513536672525</v>
      </c>
      <c r="AW14" s="187"/>
      <c r="AX14" s="188">
        <f t="shared" si="20"/>
        <v>245.6503099953992</v>
      </c>
      <c r="AY14" s="188">
        <f t="shared" si="20"/>
        <v>267.15960275583393</v>
      </c>
      <c r="AZ14" s="188">
        <f t="shared" si="20"/>
        <v>292.91536308672585</v>
      </c>
      <c r="BA14" s="188">
        <f t="shared" si="20"/>
        <v>307.10108024986414</v>
      </c>
      <c r="BB14" s="188">
        <f t="shared" si="20"/>
        <v>318.48324328013177</v>
      </c>
      <c r="BC14" s="187"/>
      <c r="BD14" s="188">
        <f t="shared" si="21"/>
        <v>4.815059428780601</v>
      </c>
      <c r="BE14" s="188">
        <f t="shared" si="21"/>
        <v>5.2121218587492244</v>
      </c>
      <c r="BF14" s="188">
        <f t="shared" si="21"/>
        <v>5.6476664624378259</v>
      </c>
      <c r="BG14" s="188">
        <f t="shared" si="21"/>
        <v>5.8914771291951418</v>
      </c>
      <c r="BH14" s="188">
        <f t="shared" si="21"/>
        <v>6.0918920865934654</v>
      </c>
    </row>
    <row r="15" spans="1:60" x14ac:dyDescent="0.2">
      <c r="A15" s="90" t="s">
        <v>114</v>
      </c>
      <c r="B15" s="188">
        <f t="shared" si="10"/>
        <v>294.38575187935118</v>
      </c>
      <c r="C15" s="188">
        <f t="shared" si="10"/>
        <v>286.9982182545242</v>
      </c>
      <c r="D15" s="188">
        <f t="shared" si="10"/>
        <v>249.82582092451261</v>
      </c>
      <c r="E15" s="188">
        <f t="shared" si="10"/>
        <v>196.7617947968931</v>
      </c>
      <c r="F15" s="188">
        <f t="shared" si="10"/>
        <v>151.97754802573786</v>
      </c>
      <c r="G15" s="187"/>
      <c r="H15" s="188">
        <f t="shared" si="11"/>
        <v>131.00937650791479</v>
      </c>
      <c r="I15" s="188">
        <f t="shared" si="11"/>
        <v>127.36456196076394</v>
      </c>
      <c r="J15" s="188">
        <f t="shared" si="11"/>
        <v>110.61745625735594</v>
      </c>
      <c r="K15" s="188">
        <f t="shared" si="11"/>
        <v>86.72311902225573</v>
      </c>
      <c r="L15" s="188">
        <f t="shared" si="11"/>
        <v>66.672294242780168</v>
      </c>
      <c r="M15" s="187"/>
      <c r="N15" s="188">
        <f t="shared" si="12"/>
        <v>163.37637537143638</v>
      </c>
      <c r="O15" s="188">
        <f t="shared" si="12"/>
        <v>159.63365629376028</v>
      </c>
      <c r="P15" s="188">
        <f t="shared" si="12"/>
        <v>139.20836466715667</v>
      </c>
      <c r="Q15" s="188">
        <f t="shared" si="12"/>
        <v>110.03867577463737</v>
      </c>
      <c r="R15" s="188">
        <f t="shared" si="12"/>
        <v>85.305253782957692</v>
      </c>
      <c r="S15" s="187"/>
      <c r="T15" s="188">
        <f t="shared" si="13"/>
        <v>0</v>
      </c>
      <c r="U15" s="188">
        <f t="shared" si="13"/>
        <v>0</v>
      </c>
      <c r="V15" s="188">
        <f t="shared" si="13"/>
        <v>0</v>
      </c>
      <c r="W15" s="188">
        <f t="shared" si="13"/>
        <v>0</v>
      </c>
      <c r="X15" s="188">
        <f t="shared" si="13"/>
        <v>0</v>
      </c>
      <c r="Y15" s="90" t="str">
        <f t="shared" si="14"/>
        <v>50-54</v>
      </c>
      <c r="Z15" s="188">
        <f t="shared" si="15"/>
        <v>252.37047905418916</v>
      </c>
      <c r="AA15" s="188">
        <f t="shared" si="15"/>
        <v>261.89041594407234</v>
      </c>
      <c r="AB15" s="188">
        <f t="shared" si="15"/>
        <v>299.71030873183417</v>
      </c>
      <c r="AC15" s="188">
        <f t="shared" si="15"/>
        <v>315.46818569365763</v>
      </c>
      <c r="AD15" s="188">
        <f t="shared" si="15"/>
        <v>326.48805608055682</v>
      </c>
      <c r="AE15" s="187"/>
      <c r="AF15" s="188">
        <f t="shared" si="16"/>
        <v>240.43095817773155</v>
      </c>
      <c r="AG15" s="188">
        <f t="shared" si="16"/>
        <v>249.49009896266847</v>
      </c>
      <c r="AH15" s="188">
        <f t="shared" si="16"/>
        <v>285.51870262738919</v>
      </c>
      <c r="AI15" s="188">
        <f t="shared" si="16"/>
        <v>300.52266588791969</v>
      </c>
      <c r="AJ15" s="188">
        <f t="shared" si="16"/>
        <v>311.01138512295665</v>
      </c>
      <c r="AK15" s="187"/>
      <c r="AL15" s="188">
        <f t="shared" si="17"/>
        <v>11.939520876457582</v>
      </c>
      <c r="AM15" s="188">
        <f t="shared" si="17"/>
        <v>12.400316981403893</v>
      </c>
      <c r="AN15" s="188">
        <f t="shared" si="17"/>
        <v>14.191606104444997</v>
      </c>
      <c r="AO15" s="188">
        <f t="shared" si="17"/>
        <v>14.945519805737941</v>
      </c>
      <c r="AP15" s="188">
        <f t="shared" si="17"/>
        <v>15.476670957600156</v>
      </c>
      <c r="AQ15" s="90" t="str">
        <f t="shared" si="18"/>
        <v>50-54</v>
      </c>
      <c r="AR15" s="188">
        <f t="shared" si="19"/>
        <v>192.52176906645971</v>
      </c>
      <c r="AS15" s="188">
        <f t="shared" si="19"/>
        <v>218.63836580140344</v>
      </c>
      <c r="AT15" s="188">
        <f t="shared" si="19"/>
        <v>269.43387034365321</v>
      </c>
      <c r="AU15" s="188">
        <f t="shared" si="19"/>
        <v>285.28301950944933</v>
      </c>
      <c r="AV15" s="188">
        <f t="shared" si="19"/>
        <v>297.31139589370531</v>
      </c>
      <c r="AW15" s="187"/>
      <c r="AX15" s="188">
        <f t="shared" si="20"/>
        <v>188.73862621744155</v>
      </c>
      <c r="AY15" s="188">
        <f t="shared" si="20"/>
        <v>214.45420550224321</v>
      </c>
      <c r="AZ15" s="188">
        <f t="shared" si="20"/>
        <v>264.30480604656157</v>
      </c>
      <c r="BA15" s="188">
        <f t="shared" si="20"/>
        <v>279.90450448189154</v>
      </c>
      <c r="BB15" s="188">
        <f t="shared" si="20"/>
        <v>291.76093520892465</v>
      </c>
      <c r="BC15" s="187"/>
      <c r="BD15" s="188">
        <f t="shared" si="21"/>
        <v>3.7831428490181196</v>
      </c>
      <c r="BE15" s="188">
        <f t="shared" si="21"/>
        <v>4.1841602991602418</v>
      </c>
      <c r="BF15" s="188">
        <f t="shared" si="21"/>
        <v>5.1290642970916389</v>
      </c>
      <c r="BG15" s="188">
        <f t="shared" si="21"/>
        <v>5.3785150275577474</v>
      </c>
      <c r="BH15" s="188">
        <f t="shared" si="21"/>
        <v>5.5504606847806457</v>
      </c>
    </row>
    <row r="16" spans="1:60" x14ac:dyDescent="0.2">
      <c r="A16" s="90" t="s">
        <v>115</v>
      </c>
      <c r="B16" s="188">
        <f t="shared" si="10"/>
        <v>306.08926780144049</v>
      </c>
      <c r="C16" s="188">
        <f t="shared" si="10"/>
        <v>294.14842701950209</v>
      </c>
      <c r="D16" s="188">
        <f t="shared" si="10"/>
        <v>278.7696849113002</v>
      </c>
      <c r="E16" s="188">
        <f t="shared" si="10"/>
        <v>248.77345263961809</v>
      </c>
      <c r="F16" s="188">
        <f t="shared" si="10"/>
        <v>193.72538705183911</v>
      </c>
      <c r="G16" s="187"/>
      <c r="H16" s="188">
        <f t="shared" si="11"/>
        <v>148.94385811824938</v>
      </c>
      <c r="I16" s="188">
        <f t="shared" si="11"/>
        <v>142.80048229460601</v>
      </c>
      <c r="J16" s="188">
        <f t="shared" si="11"/>
        <v>135.1816907077864</v>
      </c>
      <c r="K16" s="188">
        <f t="shared" si="11"/>
        <v>120.20919098393057</v>
      </c>
      <c r="L16" s="188">
        <f t="shared" si="11"/>
        <v>93.347075058771225</v>
      </c>
      <c r="M16" s="187"/>
      <c r="N16" s="188">
        <f t="shared" si="12"/>
        <v>157.14540968319108</v>
      </c>
      <c r="O16" s="188">
        <f t="shared" si="12"/>
        <v>151.34794472489608</v>
      </c>
      <c r="P16" s="188">
        <f t="shared" si="12"/>
        <v>143.5879942035138</v>
      </c>
      <c r="Q16" s="188">
        <f t="shared" si="12"/>
        <v>128.56426165568749</v>
      </c>
      <c r="R16" s="188">
        <f t="shared" si="12"/>
        <v>100.37831199306788</v>
      </c>
      <c r="S16" s="187"/>
      <c r="T16" s="188">
        <f t="shared" si="13"/>
        <v>0</v>
      </c>
      <c r="U16" s="188">
        <f t="shared" si="13"/>
        <v>0</v>
      </c>
      <c r="V16" s="188">
        <f t="shared" si="13"/>
        <v>0</v>
      </c>
      <c r="W16" s="188">
        <f t="shared" si="13"/>
        <v>0</v>
      </c>
      <c r="X16" s="188">
        <f t="shared" si="13"/>
        <v>0</v>
      </c>
      <c r="Y16" s="90" t="str">
        <f t="shared" si="14"/>
        <v>55-59</v>
      </c>
      <c r="Z16" s="188">
        <f t="shared" si="15"/>
        <v>212.90735173400915</v>
      </c>
      <c r="AA16" s="188">
        <f t="shared" si="15"/>
        <v>208.34374328055009</v>
      </c>
      <c r="AB16" s="188">
        <f t="shared" si="15"/>
        <v>259.24373379880308</v>
      </c>
      <c r="AC16" s="188">
        <f t="shared" si="15"/>
        <v>305.1432760109069</v>
      </c>
      <c r="AD16" s="188">
        <f t="shared" si="15"/>
        <v>322.49455355236876</v>
      </c>
      <c r="AE16" s="187"/>
      <c r="AF16" s="188">
        <f t="shared" si="16"/>
        <v>201.39475054266842</v>
      </c>
      <c r="AG16" s="188">
        <f t="shared" si="16"/>
        <v>197.03624221177998</v>
      </c>
      <c r="AH16" s="188">
        <f t="shared" si="16"/>
        <v>245.14463767909808</v>
      </c>
      <c r="AI16" s="188">
        <f t="shared" si="16"/>
        <v>288.53398269710931</v>
      </c>
      <c r="AJ16" s="188">
        <f t="shared" si="16"/>
        <v>304.93914690919075</v>
      </c>
      <c r="AK16" s="187"/>
      <c r="AL16" s="188">
        <f t="shared" si="17"/>
        <v>11.512601191340718</v>
      </c>
      <c r="AM16" s="188">
        <f t="shared" si="17"/>
        <v>11.30750106877008</v>
      </c>
      <c r="AN16" s="188">
        <f t="shared" si="17"/>
        <v>14.099096119705006</v>
      </c>
      <c r="AO16" s="188">
        <f t="shared" si="17"/>
        <v>16.609293313797622</v>
      </c>
      <c r="AP16" s="188">
        <f t="shared" si="17"/>
        <v>17.555406643178003</v>
      </c>
      <c r="AQ16" s="90" t="str">
        <f t="shared" si="18"/>
        <v>55-59</v>
      </c>
      <c r="AR16" s="188">
        <f t="shared" si="19"/>
        <v>157.97838046455036</v>
      </c>
      <c r="AS16" s="188">
        <f t="shared" si="19"/>
        <v>186.95882969994784</v>
      </c>
      <c r="AT16" s="188">
        <f t="shared" si="19"/>
        <v>217.65058128989665</v>
      </c>
      <c r="AU16" s="188">
        <f t="shared" si="19"/>
        <v>252.64427134947505</v>
      </c>
      <c r="AV16" s="188">
        <f t="shared" si="19"/>
        <v>271.26605939579213</v>
      </c>
      <c r="AW16" s="187"/>
      <c r="AX16" s="188">
        <f t="shared" si="20"/>
        <v>154.50769225162065</v>
      </c>
      <c r="AY16" s="188">
        <f t="shared" si="20"/>
        <v>182.97075166245719</v>
      </c>
      <c r="AZ16" s="188">
        <f t="shared" si="20"/>
        <v>213.04788309462984</v>
      </c>
      <c r="BA16" s="188">
        <f t="shared" si="20"/>
        <v>247.41376136943245</v>
      </c>
      <c r="BB16" s="188">
        <f t="shared" si="20"/>
        <v>265.66983752581206</v>
      </c>
      <c r="BC16" s="187"/>
      <c r="BD16" s="188">
        <f t="shared" si="21"/>
        <v>3.470688212929685</v>
      </c>
      <c r="BE16" s="188">
        <f t="shared" si="21"/>
        <v>3.9880780374906122</v>
      </c>
      <c r="BF16" s="188">
        <f t="shared" si="21"/>
        <v>4.6026981952668296</v>
      </c>
      <c r="BG16" s="188">
        <f t="shared" si="21"/>
        <v>5.2305099800425978</v>
      </c>
      <c r="BH16" s="188">
        <f t="shared" si="21"/>
        <v>5.5962218699800657</v>
      </c>
    </row>
    <row r="17" spans="1:60" x14ac:dyDescent="0.2">
      <c r="A17" s="90" t="s">
        <v>116</v>
      </c>
      <c r="B17" s="188">
        <f t="shared" si="10"/>
        <v>300.27408615273544</v>
      </c>
      <c r="C17" s="188">
        <f t="shared" si="10"/>
        <v>307.02902619700649</v>
      </c>
      <c r="D17" s="188">
        <f t="shared" si="10"/>
        <v>275.57160817400484</v>
      </c>
      <c r="E17" s="188">
        <f t="shared" si="10"/>
        <v>242.50355927772591</v>
      </c>
      <c r="F17" s="188">
        <f t="shared" si="10"/>
        <v>196.62341104090149</v>
      </c>
      <c r="G17" s="187"/>
      <c r="H17" s="188">
        <f t="shared" si="11"/>
        <v>163.84239820508242</v>
      </c>
      <c r="I17" s="188">
        <f t="shared" si="11"/>
        <v>167.48634018543549</v>
      </c>
      <c r="J17" s="188">
        <f t="shared" si="11"/>
        <v>150.0793901711946</v>
      </c>
      <c r="K17" s="188">
        <f t="shared" si="11"/>
        <v>131.95757743155312</v>
      </c>
      <c r="L17" s="188">
        <f t="shared" si="11"/>
        <v>106.85061904727925</v>
      </c>
      <c r="M17" s="187"/>
      <c r="N17" s="188">
        <f t="shared" si="12"/>
        <v>136.43168794765302</v>
      </c>
      <c r="O17" s="188">
        <f t="shared" si="12"/>
        <v>139.54268601157099</v>
      </c>
      <c r="P17" s="188">
        <f t="shared" si="12"/>
        <v>125.49221800281023</v>
      </c>
      <c r="Q17" s="188">
        <f t="shared" si="12"/>
        <v>110.54598184617279</v>
      </c>
      <c r="R17" s="188">
        <f t="shared" si="12"/>
        <v>89.772791993622235</v>
      </c>
      <c r="S17" s="187"/>
      <c r="T17" s="188">
        <f t="shared" si="13"/>
        <v>0</v>
      </c>
      <c r="U17" s="188">
        <f t="shared" si="13"/>
        <v>0</v>
      </c>
      <c r="V17" s="188">
        <f t="shared" si="13"/>
        <v>0</v>
      </c>
      <c r="W17" s="188">
        <f t="shared" si="13"/>
        <v>0</v>
      </c>
      <c r="X17" s="188">
        <f t="shared" si="13"/>
        <v>0</v>
      </c>
      <c r="Y17" s="90" t="str">
        <f t="shared" si="14"/>
        <v>60-64</v>
      </c>
      <c r="Z17" s="188">
        <f t="shared" si="15"/>
        <v>164.67698820651987</v>
      </c>
      <c r="AA17" s="188">
        <f t="shared" si="15"/>
        <v>173.02754429415353</v>
      </c>
      <c r="AB17" s="188">
        <f t="shared" si="15"/>
        <v>211.64420247686218</v>
      </c>
      <c r="AC17" s="188">
        <f t="shared" si="15"/>
        <v>262.32745519640429</v>
      </c>
      <c r="AD17" s="188">
        <f t="shared" si="15"/>
        <v>307.19809774569194</v>
      </c>
      <c r="AE17" s="187"/>
      <c r="AF17" s="188">
        <f t="shared" si="16"/>
        <v>156.364761045058</v>
      </c>
      <c r="AG17" s="188">
        <f t="shared" si="16"/>
        <v>164.2583318854096</v>
      </c>
      <c r="AH17" s="188">
        <f t="shared" si="16"/>
        <v>200.85031018974644</v>
      </c>
      <c r="AI17" s="188">
        <f t="shared" si="16"/>
        <v>248.92153917613587</v>
      </c>
      <c r="AJ17" s="188">
        <f t="shared" si="16"/>
        <v>291.50729249745882</v>
      </c>
      <c r="AK17" s="187"/>
      <c r="AL17" s="188">
        <f t="shared" si="17"/>
        <v>8.3122271614618572</v>
      </c>
      <c r="AM17" s="188">
        <f t="shared" si="17"/>
        <v>8.7692124087439236</v>
      </c>
      <c r="AN17" s="188">
        <f t="shared" si="17"/>
        <v>10.793892287115703</v>
      </c>
      <c r="AO17" s="188">
        <f t="shared" si="17"/>
        <v>13.405916020268418</v>
      </c>
      <c r="AP17" s="188">
        <f t="shared" si="17"/>
        <v>15.690805248233143</v>
      </c>
      <c r="AQ17" s="90" t="str">
        <f t="shared" si="18"/>
        <v>60-64</v>
      </c>
      <c r="AR17" s="188">
        <f t="shared" si="19"/>
        <v>124.1659256407448</v>
      </c>
      <c r="AS17" s="188">
        <f t="shared" si="19"/>
        <v>151.81542950884</v>
      </c>
      <c r="AT17" s="188">
        <f t="shared" si="19"/>
        <v>179.49318934913299</v>
      </c>
      <c r="AU17" s="188">
        <f t="shared" si="19"/>
        <v>229.32198552586985</v>
      </c>
      <c r="AV17" s="188">
        <f t="shared" si="19"/>
        <v>282.2344912134065</v>
      </c>
      <c r="AW17" s="187"/>
      <c r="AX17" s="188">
        <f t="shared" si="20"/>
        <v>120.47353378485059</v>
      </c>
      <c r="AY17" s="188">
        <f t="shared" si="20"/>
        <v>147.28380768694541</v>
      </c>
      <c r="AZ17" s="188">
        <f t="shared" si="20"/>
        <v>174.20095676665699</v>
      </c>
      <c r="BA17" s="188">
        <f t="shared" si="20"/>
        <v>222.61021872219823</v>
      </c>
      <c r="BB17" s="188">
        <f t="shared" si="20"/>
        <v>274.01688935790713</v>
      </c>
      <c r="BC17" s="187"/>
      <c r="BD17" s="188">
        <f t="shared" si="21"/>
        <v>3.6923918558942086</v>
      </c>
      <c r="BE17" s="188">
        <f t="shared" si="21"/>
        <v>4.5316218218945803</v>
      </c>
      <c r="BF17" s="188">
        <f t="shared" si="21"/>
        <v>5.2922325824760046</v>
      </c>
      <c r="BG17" s="188">
        <f t="shared" si="21"/>
        <v>6.7117668036716331</v>
      </c>
      <c r="BH17" s="188">
        <f t="shared" si="21"/>
        <v>8.2176018554993142</v>
      </c>
    </row>
    <row r="18" spans="1:60" x14ac:dyDescent="0.2">
      <c r="A18" s="90" t="s">
        <v>103</v>
      </c>
      <c r="B18" s="188">
        <f t="shared" si="10"/>
        <v>1097.4936778000333</v>
      </c>
      <c r="C18" s="188">
        <f t="shared" si="10"/>
        <v>1072.9440531401806</v>
      </c>
      <c r="D18" s="188">
        <f t="shared" si="10"/>
        <v>980.11410948496587</v>
      </c>
      <c r="E18" s="188">
        <f t="shared" si="10"/>
        <v>860.70692539466086</v>
      </c>
      <c r="F18" s="188">
        <f t="shared" si="10"/>
        <v>731.94096038103203</v>
      </c>
      <c r="G18" s="187"/>
      <c r="H18" s="188">
        <f t="shared" si="11"/>
        <v>770.71351120273471</v>
      </c>
      <c r="I18" s="188">
        <f t="shared" si="11"/>
        <v>753.1395408366011</v>
      </c>
      <c r="J18" s="188">
        <f t="shared" si="11"/>
        <v>687.79876078330381</v>
      </c>
      <c r="K18" s="188">
        <f t="shared" si="11"/>
        <v>603.69792908410795</v>
      </c>
      <c r="L18" s="188">
        <f t="shared" si="11"/>
        <v>513.13110481139574</v>
      </c>
      <c r="M18" s="187"/>
      <c r="N18" s="188">
        <f t="shared" si="12"/>
        <v>326.78016659729855</v>
      </c>
      <c r="O18" s="188">
        <f t="shared" si="12"/>
        <v>319.80451230357949</v>
      </c>
      <c r="P18" s="188">
        <f t="shared" si="12"/>
        <v>292.31534870166195</v>
      </c>
      <c r="Q18" s="188">
        <f t="shared" si="12"/>
        <v>257.0089963105529</v>
      </c>
      <c r="R18" s="188">
        <f t="shared" si="12"/>
        <v>218.80985556963645</v>
      </c>
      <c r="S18" s="187"/>
      <c r="T18" s="188">
        <f t="shared" si="13"/>
        <v>0</v>
      </c>
      <c r="U18" s="188">
        <f t="shared" si="13"/>
        <v>0</v>
      </c>
      <c r="V18" s="188">
        <f t="shared" si="13"/>
        <v>0</v>
      </c>
      <c r="W18" s="188">
        <f t="shared" si="13"/>
        <v>0</v>
      </c>
      <c r="X18" s="188">
        <f t="shared" si="13"/>
        <v>0</v>
      </c>
      <c r="Y18" s="90" t="str">
        <f t="shared" si="14"/>
        <v>65+</v>
      </c>
      <c r="Z18" s="188">
        <f t="shared" si="15"/>
        <v>412.59519957455325</v>
      </c>
      <c r="AA18" s="188">
        <f t="shared" si="15"/>
        <v>441.80478171374187</v>
      </c>
      <c r="AB18" s="188">
        <f t="shared" si="15"/>
        <v>588.92141161742438</v>
      </c>
      <c r="AC18" s="188">
        <f t="shared" si="15"/>
        <v>717.19301187685096</v>
      </c>
      <c r="AD18" s="188">
        <f t="shared" si="15"/>
        <v>861.73238046119513</v>
      </c>
      <c r="AE18" s="187"/>
      <c r="AF18" s="188">
        <f t="shared" si="16"/>
        <v>391.95319027138726</v>
      </c>
      <c r="AG18" s="188">
        <f t="shared" si="16"/>
        <v>419.72502641576881</v>
      </c>
      <c r="AH18" s="188">
        <f t="shared" si="16"/>
        <v>559.48677128208897</v>
      </c>
      <c r="AI18" s="188">
        <f t="shared" si="16"/>
        <v>681.36315392476172</v>
      </c>
      <c r="AJ18" s="188">
        <f t="shared" si="16"/>
        <v>818.69055459842366</v>
      </c>
      <c r="AK18" s="187"/>
      <c r="AL18" s="188">
        <f t="shared" si="17"/>
        <v>20.642009303165985</v>
      </c>
      <c r="AM18" s="188">
        <f t="shared" si="17"/>
        <v>22.079755297973087</v>
      </c>
      <c r="AN18" s="188">
        <f t="shared" si="17"/>
        <v>29.434640335335327</v>
      </c>
      <c r="AO18" s="188">
        <f t="shared" si="17"/>
        <v>35.82985795208927</v>
      </c>
      <c r="AP18" s="188">
        <f t="shared" si="17"/>
        <v>43.041825862771589</v>
      </c>
      <c r="AQ18" s="90" t="str">
        <f t="shared" si="18"/>
        <v>65+</v>
      </c>
      <c r="AR18" s="188">
        <f t="shared" si="19"/>
        <v>309.63712262541355</v>
      </c>
      <c r="AS18" s="188">
        <f t="shared" si="19"/>
        <v>345.41016514607776</v>
      </c>
      <c r="AT18" s="188">
        <f t="shared" si="19"/>
        <v>465.83547889760985</v>
      </c>
      <c r="AU18" s="188">
        <f t="shared" si="19"/>
        <v>642.09606272848828</v>
      </c>
      <c r="AV18" s="188">
        <f t="shared" si="19"/>
        <v>863.68565915777276</v>
      </c>
      <c r="AW18" s="187"/>
      <c r="AX18" s="188">
        <f t="shared" si="20"/>
        <v>301.40115633884841</v>
      </c>
      <c r="AY18" s="188">
        <f t="shared" si="20"/>
        <v>336.56314669404765</v>
      </c>
      <c r="AZ18" s="188">
        <f t="shared" si="20"/>
        <v>453.89786151814837</v>
      </c>
      <c r="BA18" s="188">
        <f t="shared" si="20"/>
        <v>625.97097807950172</v>
      </c>
      <c r="BB18" s="188">
        <f t="shared" si="20"/>
        <v>842.26455696727317</v>
      </c>
      <c r="BC18" s="187"/>
      <c r="BD18" s="188">
        <f t="shared" si="21"/>
        <v>8.2359662865651462</v>
      </c>
      <c r="BE18" s="188">
        <f t="shared" si="21"/>
        <v>8.847018452030122</v>
      </c>
      <c r="BF18" s="188">
        <f t="shared" si="21"/>
        <v>11.937617379461411</v>
      </c>
      <c r="BG18" s="188">
        <f t="shared" si="21"/>
        <v>16.125084648986547</v>
      </c>
      <c r="BH18" s="188">
        <f t="shared" si="21"/>
        <v>21.421102190499685</v>
      </c>
    </row>
    <row r="19" spans="1:60" x14ac:dyDescent="0.2">
      <c r="B19" s="188"/>
      <c r="C19" s="188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93"/>
      <c r="U19" s="93"/>
      <c r="V19" s="93"/>
      <c r="W19" s="93"/>
      <c r="X19" s="93"/>
      <c r="Z19" s="188"/>
      <c r="AA19" s="188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R19" s="188"/>
      <c r="AS19" s="188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</row>
    <row r="20" spans="1:60" x14ac:dyDescent="0.2">
      <c r="A20" s="113" t="s">
        <v>98</v>
      </c>
      <c r="B20" s="93"/>
      <c r="C20" s="93"/>
      <c r="D20" s="93"/>
      <c r="E20" s="93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93"/>
      <c r="U20" s="93"/>
      <c r="V20" s="93"/>
      <c r="W20" s="93"/>
      <c r="X20" s="93"/>
      <c r="Y20" s="113" t="str">
        <f t="shared" si="14"/>
        <v>Males</v>
      </c>
      <c r="Z20" s="93"/>
      <c r="AA20" s="93"/>
      <c r="AB20" s="93"/>
      <c r="AC20" s="93"/>
      <c r="AD20" s="188"/>
      <c r="AE20" s="188"/>
      <c r="AF20" s="188"/>
      <c r="AG20" s="188"/>
      <c r="AH20" s="188"/>
      <c r="AI20" s="188"/>
      <c r="AJ20" s="188"/>
      <c r="AK20" s="188"/>
      <c r="AL20" s="188"/>
      <c r="AM20" s="188"/>
      <c r="AN20" s="188"/>
      <c r="AO20" s="188"/>
      <c r="AP20" s="188"/>
      <c r="AQ20" s="113" t="str">
        <f>A20</f>
        <v>Males</v>
      </c>
      <c r="AR20" s="93"/>
      <c r="AS20" s="93"/>
      <c r="AT20" s="93"/>
      <c r="AU20" s="93"/>
      <c r="AV20" s="188"/>
      <c r="AW20" s="188"/>
      <c r="AX20" s="188"/>
      <c r="AY20" s="188"/>
      <c r="AZ20" s="188"/>
      <c r="BA20" s="188"/>
      <c r="BB20" s="188"/>
      <c r="BC20" s="188"/>
      <c r="BD20" s="188"/>
      <c r="BE20" s="188"/>
      <c r="BF20" s="188"/>
      <c r="BG20" s="188"/>
      <c r="BH20" s="188"/>
    </row>
    <row r="21" spans="1:60" x14ac:dyDescent="0.2">
      <c r="A21" s="90" t="str">
        <f>$A$7</f>
        <v>15+</v>
      </c>
      <c r="B21" s="188">
        <f>SUM(B22:B32)</f>
        <v>1620.2473852146525</v>
      </c>
      <c r="C21" s="188">
        <f t="shared" ref="C21:F21" si="22">SUM(C22:C32)</f>
        <v>1614.229579565203</v>
      </c>
      <c r="D21" s="188">
        <f t="shared" si="22"/>
        <v>1473.336267790763</v>
      </c>
      <c r="E21" s="188">
        <f t="shared" si="22"/>
        <v>1328.0088879474006</v>
      </c>
      <c r="F21" s="188">
        <f t="shared" si="22"/>
        <v>1173.6897154992268</v>
      </c>
      <c r="G21" s="188"/>
      <c r="H21" s="188">
        <f>SUM(H22:H32)</f>
        <v>716.1464894810149</v>
      </c>
      <c r="I21" s="188">
        <f t="shared" ref="I21:L21" si="23">SUM(I22:I32)</f>
        <v>715.64405967986499</v>
      </c>
      <c r="J21" s="188">
        <f t="shared" si="23"/>
        <v>655.33170359679184</v>
      </c>
      <c r="K21" s="188">
        <f t="shared" si="23"/>
        <v>588.71852138985469</v>
      </c>
      <c r="L21" s="188">
        <f t="shared" si="23"/>
        <v>511.80228655523888</v>
      </c>
      <c r="M21" s="188"/>
      <c r="N21" s="188">
        <f>SUM(N22:N32)</f>
        <v>904.1008957336378</v>
      </c>
      <c r="O21" s="188">
        <f t="shared" ref="O21:R21" si="24">SUM(O22:O32)</f>
        <v>898.5855198853385</v>
      </c>
      <c r="P21" s="188">
        <f t="shared" si="24"/>
        <v>818.00456419397131</v>
      </c>
      <c r="Q21" s="188">
        <f t="shared" si="24"/>
        <v>739.29036655754555</v>
      </c>
      <c r="R21" s="188">
        <f t="shared" si="24"/>
        <v>661.88742894398808</v>
      </c>
      <c r="S21" s="188"/>
      <c r="T21" s="188">
        <f>SUM(T22:T32)</f>
        <v>0</v>
      </c>
      <c r="U21" s="188">
        <f t="shared" ref="U21:X21" si="25">SUM(U22:U32)</f>
        <v>0</v>
      </c>
      <c r="V21" s="188">
        <f t="shared" si="25"/>
        <v>0</v>
      </c>
      <c r="W21" s="188">
        <f t="shared" si="25"/>
        <v>0</v>
      </c>
      <c r="X21" s="188">
        <f t="shared" si="25"/>
        <v>0</v>
      </c>
      <c r="Y21" s="90" t="str">
        <f>$A$7</f>
        <v>15+</v>
      </c>
      <c r="Z21" s="188">
        <f>SUM(Z22:Z32)</f>
        <v>1577.3024491368396</v>
      </c>
      <c r="AA21" s="188">
        <f t="shared" ref="AA21:AD21" si="26">SUM(AA22:AA32)</f>
        <v>1562.2040994555152</v>
      </c>
      <c r="AB21" s="188">
        <f t="shared" si="26"/>
        <v>1749.398715210659</v>
      </c>
      <c r="AC21" s="188">
        <f t="shared" si="26"/>
        <v>1909.488504579884</v>
      </c>
      <c r="AD21" s="188">
        <f t="shared" si="26"/>
        <v>2081.0684990931632</v>
      </c>
      <c r="AE21" s="188"/>
      <c r="AF21" s="188">
        <f>SUM(AF22:AF32)</f>
        <v>1499.7774540648427</v>
      </c>
      <c r="AG21" s="188">
        <f t="shared" ref="AG21:AJ21" si="27">SUM(AG22:AG32)</f>
        <v>1486.1007164675289</v>
      </c>
      <c r="AH21" s="188">
        <f t="shared" si="27"/>
        <v>1664.4597911861424</v>
      </c>
      <c r="AI21" s="188">
        <f t="shared" si="27"/>
        <v>1816.8390130222895</v>
      </c>
      <c r="AJ21" s="188">
        <f t="shared" si="27"/>
        <v>1980.4678395589967</v>
      </c>
      <c r="AK21" s="188"/>
      <c r="AL21" s="188">
        <f>SUM(AL22:AL32)</f>
        <v>77.524995071996941</v>
      </c>
      <c r="AM21" s="188">
        <f t="shared" ref="AM21:AP21" si="28">SUM(AM22:AM32)</f>
        <v>76.103382987986208</v>
      </c>
      <c r="AN21" s="188">
        <f t="shared" si="28"/>
        <v>84.938924024516524</v>
      </c>
      <c r="AO21" s="188">
        <f t="shared" si="28"/>
        <v>92.649491557594388</v>
      </c>
      <c r="AP21" s="188">
        <f t="shared" si="28"/>
        <v>100.60065953416633</v>
      </c>
      <c r="AQ21" s="90" t="str">
        <f>A21</f>
        <v>15+</v>
      </c>
      <c r="AR21" s="188">
        <f>SUM(AR22:AR32)</f>
        <v>1106.6731656485081</v>
      </c>
      <c r="AS21" s="188">
        <f t="shared" ref="AS21:AV21" si="29">SUM(AS22:AS32)</f>
        <v>1199.3363209792817</v>
      </c>
      <c r="AT21" s="188">
        <f t="shared" si="29"/>
        <v>1365.5690169985778</v>
      </c>
      <c r="AU21" s="188">
        <f t="shared" si="29"/>
        <v>1541.874607472716</v>
      </c>
      <c r="AV21" s="188">
        <f t="shared" si="29"/>
        <v>1748.1917854076103</v>
      </c>
      <c r="AW21" s="188"/>
      <c r="AX21" s="188">
        <f>SUM(AX22:AX32)</f>
        <v>1077.4599726477079</v>
      </c>
      <c r="AY21" s="188">
        <f t="shared" ref="AY21:BB21" si="30">SUM(AY22:AY32)</f>
        <v>1167.5793096493508</v>
      </c>
      <c r="AZ21" s="188">
        <f t="shared" si="30"/>
        <v>1328.8583394486275</v>
      </c>
      <c r="BA21" s="188">
        <f t="shared" si="30"/>
        <v>1499.4805167904162</v>
      </c>
      <c r="BB21" s="188">
        <f t="shared" si="30"/>
        <v>1698.9799024688193</v>
      </c>
      <c r="BC21" s="188"/>
      <c r="BD21" s="188">
        <f>SUM(BD22:BD32)</f>
        <v>29.213193000800217</v>
      </c>
      <c r="BE21" s="188">
        <f t="shared" ref="BE21:BH21" si="31">SUM(BE22:BE32)</f>
        <v>31.757011329930545</v>
      </c>
      <c r="BF21" s="188">
        <f t="shared" si="31"/>
        <v>36.710677549950461</v>
      </c>
      <c r="BG21" s="188">
        <f t="shared" si="31"/>
        <v>42.394090682299776</v>
      </c>
      <c r="BH21" s="188">
        <f t="shared" si="31"/>
        <v>49.211882938790794</v>
      </c>
    </row>
    <row r="22" spans="1:60" x14ac:dyDescent="0.2">
      <c r="A22" s="90" t="str">
        <f>$A$8</f>
        <v>15-19</v>
      </c>
      <c r="B22" s="188">
        <v>265.87910321369338</v>
      </c>
      <c r="C22" s="188">
        <v>258.0443726840308</v>
      </c>
      <c r="D22" s="188">
        <v>243.141770298518</v>
      </c>
      <c r="E22" s="188">
        <v>242.0329033496289</v>
      </c>
      <c r="F22" s="187">
        <v>259.48953414978911</v>
      </c>
      <c r="G22" s="188"/>
      <c r="H22" s="188">
        <v>65.502301380201217</v>
      </c>
      <c r="I22" s="188">
        <v>63.57213501074979</v>
      </c>
      <c r="J22" s="188">
        <v>59.900673398189532</v>
      </c>
      <c r="K22" s="188">
        <v>59.627470660231161</v>
      </c>
      <c r="L22" s="187">
        <v>63.928125917066254</v>
      </c>
      <c r="M22" s="188"/>
      <c r="N22" s="188">
        <v>200.37680183349218</v>
      </c>
      <c r="O22" s="188">
        <v>194.47223767328106</v>
      </c>
      <c r="P22" s="188">
        <v>183.2410969003285</v>
      </c>
      <c r="Q22" s="188">
        <v>182.40543268939777</v>
      </c>
      <c r="R22" s="187">
        <v>195.56140823272287</v>
      </c>
      <c r="S22" s="188"/>
      <c r="T22" s="188">
        <v>0</v>
      </c>
      <c r="U22" s="188">
        <v>0</v>
      </c>
      <c r="V22" s="188">
        <v>0</v>
      </c>
      <c r="W22" s="188">
        <v>0</v>
      </c>
      <c r="X22" s="187">
        <v>0</v>
      </c>
      <c r="Y22" s="90" t="str">
        <f>$A$8</f>
        <v>15-19</v>
      </c>
      <c r="Z22" s="188">
        <v>66.511132470586716</v>
      </c>
      <c r="AA22" s="188">
        <v>73.411299772273082</v>
      </c>
      <c r="AB22" s="188">
        <v>80.502722532222251</v>
      </c>
      <c r="AC22" s="188">
        <v>87.416701640226961</v>
      </c>
      <c r="AD22" s="187">
        <v>102.22230692001014</v>
      </c>
      <c r="AE22" s="188"/>
      <c r="AF22" s="188">
        <v>65.408785510809949</v>
      </c>
      <c r="AG22" s="188">
        <v>72.194629595921498</v>
      </c>
      <c r="AH22" s="188">
        <v>79.16853183013346</v>
      </c>
      <c r="AI22" s="188">
        <v>85.967955058277127</v>
      </c>
      <c r="AJ22" s="187">
        <v>100.52812602924274</v>
      </c>
      <c r="AK22" s="188"/>
      <c r="AL22" s="188">
        <v>1.1023469597767663</v>
      </c>
      <c r="AM22" s="188">
        <v>1.2166701763515873</v>
      </c>
      <c r="AN22" s="188">
        <v>1.3341907020887731</v>
      </c>
      <c r="AO22" s="188">
        <v>1.4487465819498317</v>
      </c>
      <c r="AP22" s="187">
        <v>1.6941808907673945</v>
      </c>
      <c r="AQ22" s="90" t="str">
        <f t="shared" ref="AQ22:AQ32" si="32">A22</f>
        <v>15-19</v>
      </c>
      <c r="AR22" s="188">
        <v>0.47976431571996198</v>
      </c>
      <c r="AS22" s="188">
        <v>0.72732754369609554</v>
      </c>
      <c r="AT22" s="188">
        <v>0.48550716925975612</v>
      </c>
      <c r="AU22" s="188">
        <v>0.49439501014410386</v>
      </c>
      <c r="AV22" s="187">
        <v>0.54315893020071748</v>
      </c>
      <c r="AW22" s="188"/>
      <c r="AX22" s="188">
        <v>0.424231447426622</v>
      </c>
      <c r="AY22" s="188">
        <v>0.64301397638445978</v>
      </c>
      <c r="AZ22" s="188">
        <v>0.4293477578901575</v>
      </c>
      <c r="BA22" s="188">
        <v>0.43712398467357205</v>
      </c>
      <c r="BB22" s="187">
        <v>0.4802635949877026</v>
      </c>
      <c r="BC22" s="188"/>
      <c r="BD22" s="188">
        <v>5.5532868293339949E-2</v>
      </c>
      <c r="BE22" s="188">
        <v>8.4313567311635793E-2</v>
      </c>
      <c r="BF22" s="188">
        <v>5.6159411369598657E-2</v>
      </c>
      <c r="BG22" s="188">
        <v>5.7271025470531763E-2</v>
      </c>
      <c r="BH22" s="187">
        <v>6.2895335213014894E-2</v>
      </c>
    </row>
    <row r="23" spans="1:60" x14ac:dyDescent="0.2">
      <c r="A23" s="90" t="str">
        <f>$A$9</f>
        <v>20-24</v>
      </c>
      <c r="B23" s="188">
        <v>62.563891293376557</v>
      </c>
      <c r="C23" s="188">
        <v>65.325512781581011</v>
      </c>
      <c r="D23" s="188">
        <v>67.029010553797633</v>
      </c>
      <c r="E23" s="188">
        <v>59.464637575430878</v>
      </c>
      <c r="F23" s="187">
        <v>54.38972351131563</v>
      </c>
      <c r="G23" s="188"/>
      <c r="H23" s="188">
        <v>17.754171051225015</v>
      </c>
      <c r="I23" s="188">
        <v>18.537831805843624</v>
      </c>
      <c r="J23" s="188">
        <v>19.021243659623707</v>
      </c>
      <c r="K23" s="188">
        <v>16.874679665555647</v>
      </c>
      <c r="L23" s="187">
        <v>15.434495406960504</v>
      </c>
      <c r="M23" s="188"/>
      <c r="N23" s="188">
        <v>44.809720242151542</v>
      </c>
      <c r="O23" s="188">
        <v>46.787680975737388</v>
      </c>
      <c r="P23" s="188">
        <v>48.00776689417394</v>
      </c>
      <c r="Q23" s="188">
        <v>42.589957909875231</v>
      </c>
      <c r="R23" s="187">
        <v>38.955228104355122</v>
      </c>
      <c r="S23" s="188"/>
      <c r="T23" s="188">
        <v>0</v>
      </c>
      <c r="U23" s="188">
        <v>0</v>
      </c>
      <c r="V23" s="188">
        <v>0</v>
      </c>
      <c r="W23" s="188">
        <v>0</v>
      </c>
      <c r="X23" s="187">
        <v>0</v>
      </c>
      <c r="Y23" s="90" t="str">
        <f>$A$9</f>
        <v>20-24</v>
      </c>
      <c r="Z23" s="188">
        <v>203.50469894139783</v>
      </c>
      <c r="AA23" s="188">
        <v>206.78831948241526</v>
      </c>
      <c r="AB23" s="188">
        <v>217.16688614689699</v>
      </c>
      <c r="AC23" s="188">
        <v>213.03529301815917</v>
      </c>
      <c r="AD23" s="187">
        <v>215.87448968593148</v>
      </c>
      <c r="AE23" s="188"/>
      <c r="AF23" s="188">
        <v>194.19340573185747</v>
      </c>
      <c r="AG23" s="188">
        <v>197.32683079971491</v>
      </c>
      <c r="AH23" s="188">
        <v>207.23048265883725</v>
      </c>
      <c r="AI23" s="188">
        <v>203.2879208070558</v>
      </c>
      <c r="AJ23" s="187">
        <v>205.99720170925298</v>
      </c>
      <c r="AK23" s="188"/>
      <c r="AL23" s="188">
        <v>9.3112932095403682</v>
      </c>
      <c r="AM23" s="188">
        <v>9.4614886827003613</v>
      </c>
      <c r="AN23" s="188">
        <v>9.936403488059721</v>
      </c>
      <c r="AO23" s="188">
        <v>9.7473722111033432</v>
      </c>
      <c r="AP23" s="187">
        <v>9.8772879766784918</v>
      </c>
      <c r="AQ23" s="90" t="str">
        <f t="shared" si="32"/>
        <v>20-24</v>
      </c>
      <c r="AR23" s="188">
        <v>55.35540976522563</v>
      </c>
      <c r="AS23" s="188">
        <v>59.428167736003701</v>
      </c>
      <c r="AT23" s="188">
        <v>76.351103299305365</v>
      </c>
      <c r="AU23" s="188">
        <v>82.69706940640998</v>
      </c>
      <c r="AV23" s="187">
        <v>92.251786802752903</v>
      </c>
      <c r="AW23" s="188"/>
      <c r="AX23" s="188">
        <v>55.171502233744391</v>
      </c>
      <c r="AY23" s="188">
        <v>59.230692610728923</v>
      </c>
      <c r="AZ23" s="188">
        <v>76.097464300047577</v>
      </c>
      <c r="BA23" s="188">
        <v>82.422307619001344</v>
      </c>
      <c r="BB23" s="187">
        <v>91.945269557157303</v>
      </c>
      <c r="BC23" s="188"/>
      <c r="BD23" s="188">
        <v>0.18390753148124411</v>
      </c>
      <c r="BE23" s="188">
        <v>0.19747512527477654</v>
      </c>
      <c r="BF23" s="188">
        <v>0.2536389992577906</v>
      </c>
      <c r="BG23" s="188">
        <v>0.27476178740863866</v>
      </c>
      <c r="BH23" s="187">
        <v>0.30651724559561289</v>
      </c>
    </row>
    <row r="24" spans="1:60" x14ac:dyDescent="0.2">
      <c r="A24" s="90" t="str">
        <f>$A$10</f>
        <v>25-29</v>
      </c>
      <c r="B24" s="188">
        <v>66.398736675349255</v>
      </c>
      <c r="C24" s="188">
        <v>69.045212178063281</v>
      </c>
      <c r="D24" s="188">
        <v>66.627042081793974</v>
      </c>
      <c r="E24" s="188">
        <v>68.686692459413791</v>
      </c>
      <c r="F24" s="187">
        <v>61.118016987628771</v>
      </c>
      <c r="G24" s="188"/>
      <c r="H24" s="188">
        <v>22.566174767142297</v>
      </c>
      <c r="I24" s="188">
        <v>23.465649013403809</v>
      </c>
      <c r="J24" s="188">
        <v>22.643783635613381</v>
      </c>
      <c r="K24" s="188">
        <v>23.343782133688464</v>
      </c>
      <c r="L24" s="187">
        <v>20.771486527956</v>
      </c>
      <c r="M24" s="188"/>
      <c r="N24" s="188">
        <v>43.832561908206955</v>
      </c>
      <c r="O24" s="188">
        <v>45.579563164659476</v>
      </c>
      <c r="P24" s="188">
        <v>43.983258446180592</v>
      </c>
      <c r="Q24" s="188">
        <v>45.342910325725327</v>
      </c>
      <c r="R24" s="187">
        <v>40.346530459672763</v>
      </c>
      <c r="S24" s="188"/>
      <c r="T24" s="188">
        <v>0</v>
      </c>
      <c r="U24" s="188">
        <v>0</v>
      </c>
      <c r="V24" s="188">
        <v>0</v>
      </c>
      <c r="W24" s="188">
        <v>0</v>
      </c>
      <c r="X24" s="187">
        <v>0</v>
      </c>
      <c r="Y24" s="90" t="str">
        <f>$A$10</f>
        <v>25-29</v>
      </c>
      <c r="Z24" s="188">
        <v>157.53682636123301</v>
      </c>
      <c r="AA24" s="188">
        <v>146.82469164415315</v>
      </c>
      <c r="AB24" s="188">
        <v>162.09459077138558</v>
      </c>
      <c r="AC24" s="188">
        <v>176.76412293200428</v>
      </c>
      <c r="AD24" s="187">
        <v>178.0449747242445</v>
      </c>
      <c r="AE24" s="188"/>
      <c r="AF24" s="188">
        <v>147.64849438417414</v>
      </c>
      <c r="AG24" s="188">
        <v>137.60882551682283</v>
      </c>
      <c r="AH24" s="188">
        <v>151.92024178805138</v>
      </c>
      <c r="AI24" s="188">
        <v>165.66900835507411</v>
      </c>
      <c r="AJ24" s="187">
        <v>166.86940114891388</v>
      </c>
      <c r="AK24" s="188"/>
      <c r="AL24" s="188">
        <v>9.8883319770588862</v>
      </c>
      <c r="AM24" s="188">
        <v>9.21586612733031</v>
      </c>
      <c r="AN24" s="188">
        <v>10.174348983334211</v>
      </c>
      <c r="AO24" s="188">
        <v>11.095114576930154</v>
      </c>
      <c r="AP24" s="187">
        <v>11.175573575330596</v>
      </c>
      <c r="AQ24" s="90" t="str">
        <f t="shared" si="32"/>
        <v>25-29</v>
      </c>
      <c r="AR24" s="188">
        <v>119.99943696341774</v>
      </c>
      <c r="AS24" s="188">
        <v>129.39109617778351</v>
      </c>
      <c r="AT24" s="188">
        <v>137.02936714682045</v>
      </c>
      <c r="AU24" s="188">
        <v>151.42218460858194</v>
      </c>
      <c r="AV24" s="187">
        <v>154.61300828812676</v>
      </c>
      <c r="AW24" s="188"/>
      <c r="AX24" s="188">
        <v>118.70993980899782</v>
      </c>
      <c r="AY24" s="188">
        <v>128.00063464065943</v>
      </c>
      <c r="AZ24" s="188">
        <v>135.5567932955843</v>
      </c>
      <c r="BA24" s="188">
        <v>149.7950052068511</v>
      </c>
      <c r="BB24" s="187">
        <v>152.9514745672883</v>
      </c>
      <c r="BC24" s="188"/>
      <c r="BD24" s="188">
        <v>1.2894971544199207</v>
      </c>
      <c r="BE24" s="188">
        <v>1.3904615371240769</v>
      </c>
      <c r="BF24" s="188">
        <v>1.4725738512361566</v>
      </c>
      <c r="BG24" s="188">
        <v>1.6271794017308401</v>
      </c>
      <c r="BH24" s="187">
        <v>1.6615337208384582</v>
      </c>
    </row>
    <row r="25" spans="1:60" x14ac:dyDescent="0.2">
      <c r="A25" s="90" t="str">
        <f>$A$11</f>
        <v>30-34</v>
      </c>
      <c r="B25" s="188">
        <v>68.283196879250426</v>
      </c>
      <c r="C25" s="188">
        <v>66.945802724107253</v>
      </c>
      <c r="D25" s="188">
        <v>66.03723253213704</v>
      </c>
      <c r="E25" s="188">
        <v>61.74876482433028</v>
      </c>
      <c r="F25" s="187">
        <v>53.450029841365982</v>
      </c>
      <c r="G25" s="188"/>
      <c r="H25" s="188">
        <v>24.544039774496266</v>
      </c>
      <c r="I25" s="188">
        <v>24.063322041545216</v>
      </c>
      <c r="J25" s="188">
        <v>23.736795331659089</v>
      </c>
      <c r="K25" s="188">
        <v>22.195343632842444</v>
      </c>
      <c r="L25" s="187">
        <v>19.212368288465317</v>
      </c>
      <c r="M25" s="188"/>
      <c r="N25" s="188">
        <v>43.739157104754149</v>
      </c>
      <c r="O25" s="188">
        <v>42.88248068256204</v>
      </c>
      <c r="P25" s="188">
        <v>42.300437200477958</v>
      </c>
      <c r="Q25" s="188">
        <v>39.553421191487843</v>
      </c>
      <c r="R25" s="187">
        <v>34.237661552900661</v>
      </c>
      <c r="S25" s="188"/>
      <c r="T25" s="188">
        <v>0</v>
      </c>
      <c r="U25" s="188">
        <v>0</v>
      </c>
      <c r="V25" s="188">
        <v>0</v>
      </c>
      <c r="W25" s="188">
        <v>0</v>
      </c>
      <c r="X25" s="187">
        <v>0</v>
      </c>
      <c r="Y25" s="90" t="str">
        <f>$A$11</f>
        <v>30-34</v>
      </c>
      <c r="Z25" s="188">
        <v>148.60780472425301</v>
      </c>
      <c r="AA25" s="188">
        <v>147.31893427815288</v>
      </c>
      <c r="AB25" s="188">
        <v>161.47366094590328</v>
      </c>
      <c r="AC25" s="188">
        <v>172.47340823028688</v>
      </c>
      <c r="AD25" s="187">
        <v>191.95713844294832</v>
      </c>
      <c r="AE25" s="188"/>
      <c r="AF25" s="188">
        <v>138.80683308840062</v>
      </c>
      <c r="AG25" s="188">
        <v>137.60298665378525</v>
      </c>
      <c r="AH25" s="188">
        <v>150.82413863510811</v>
      </c>
      <c r="AI25" s="188">
        <v>161.09845641798645</v>
      </c>
      <c r="AJ25" s="187">
        <v>179.29720884021523</v>
      </c>
      <c r="AK25" s="188"/>
      <c r="AL25" s="188">
        <v>9.8009716358523953</v>
      </c>
      <c r="AM25" s="188">
        <v>9.7159476243676277</v>
      </c>
      <c r="AN25" s="188">
        <v>10.649522310795193</v>
      </c>
      <c r="AO25" s="188">
        <v>11.374951812300438</v>
      </c>
      <c r="AP25" s="187">
        <v>12.659929602733092</v>
      </c>
      <c r="AQ25" s="90" t="str">
        <f t="shared" si="32"/>
        <v>30-34</v>
      </c>
      <c r="AR25" s="188">
        <v>129.43499839649661</v>
      </c>
      <c r="AS25" s="188">
        <v>136.9352629977399</v>
      </c>
      <c r="AT25" s="188">
        <v>146.86710652195967</v>
      </c>
      <c r="AU25" s="188">
        <v>156.94682694538284</v>
      </c>
      <c r="AV25" s="187">
        <v>178.67283171568567</v>
      </c>
      <c r="AW25" s="188"/>
      <c r="AX25" s="188">
        <v>126.08382142150504</v>
      </c>
      <c r="AY25" s="188">
        <v>133.38988826824271</v>
      </c>
      <c r="AZ25" s="188">
        <v>143.06466319041809</v>
      </c>
      <c r="BA25" s="188">
        <v>152.88342672901697</v>
      </c>
      <c r="BB25" s="187">
        <v>174.04687249714561</v>
      </c>
      <c r="BC25" s="188"/>
      <c r="BD25" s="188">
        <v>3.3511769749915721</v>
      </c>
      <c r="BE25" s="188">
        <v>3.5453747294971758</v>
      </c>
      <c r="BF25" s="188">
        <v>3.8024433315415691</v>
      </c>
      <c r="BG25" s="188">
        <v>4.0634002163658671</v>
      </c>
      <c r="BH25" s="187">
        <v>4.625959218540066</v>
      </c>
    </row>
    <row r="26" spans="1:60" x14ac:dyDescent="0.2">
      <c r="A26" s="90" t="str">
        <f>$A$12</f>
        <v>35-39</v>
      </c>
      <c r="B26" s="188">
        <v>81.570107580789099</v>
      </c>
      <c r="C26" s="188">
        <v>83.089506586868126</v>
      </c>
      <c r="D26" s="188">
        <v>69.396955766521813</v>
      </c>
      <c r="E26" s="188">
        <v>57.477476782623199</v>
      </c>
      <c r="F26" s="187">
        <v>45.376437261099497</v>
      </c>
      <c r="G26" s="188"/>
      <c r="H26" s="188">
        <v>27.823839481647656</v>
      </c>
      <c r="I26" s="188">
        <v>28.342149363665129</v>
      </c>
      <c r="J26" s="188">
        <v>23.671532314933994</v>
      </c>
      <c r="K26" s="188">
        <v>19.605797942974593</v>
      </c>
      <c r="L26" s="187">
        <v>15.478099602590135</v>
      </c>
      <c r="M26" s="188"/>
      <c r="N26" s="188">
        <v>53.746268099141446</v>
      </c>
      <c r="O26" s="188">
        <v>54.747357223203004</v>
      </c>
      <c r="P26" s="188">
        <v>45.725423451587815</v>
      </c>
      <c r="Q26" s="188">
        <v>37.871678839648609</v>
      </c>
      <c r="R26" s="187">
        <v>29.898337658509362</v>
      </c>
      <c r="S26" s="188"/>
      <c r="T26" s="188">
        <v>0</v>
      </c>
      <c r="U26" s="188">
        <v>0</v>
      </c>
      <c r="V26" s="188">
        <v>0</v>
      </c>
      <c r="W26" s="188">
        <v>0</v>
      </c>
      <c r="X26" s="187">
        <v>0</v>
      </c>
      <c r="Y26" s="90" t="str">
        <f>$A$12</f>
        <v>35-39</v>
      </c>
      <c r="Z26" s="188">
        <v>172.87314170144836</v>
      </c>
      <c r="AA26" s="188">
        <v>151.81746175182639</v>
      </c>
      <c r="AB26" s="188">
        <v>156.19921187888309</v>
      </c>
      <c r="AC26" s="188">
        <v>170.06847351368867</v>
      </c>
      <c r="AD26" s="187">
        <v>183.91916269923121</v>
      </c>
      <c r="AE26" s="188"/>
      <c r="AF26" s="188">
        <v>162.99555148006215</v>
      </c>
      <c r="AG26" s="188">
        <v>143.14291162441359</v>
      </c>
      <c r="AH26" s="188">
        <v>147.27436031165053</v>
      </c>
      <c r="AI26" s="188">
        <v>160.35109660117249</v>
      </c>
      <c r="AJ26" s="187">
        <v>173.41038032330772</v>
      </c>
      <c r="AK26" s="188"/>
      <c r="AL26" s="188">
        <v>9.8775902213862175</v>
      </c>
      <c r="AM26" s="188">
        <v>8.6745501274128145</v>
      </c>
      <c r="AN26" s="188">
        <v>8.9248515672325688</v>
      </c>
      <c r="AO26" s="188">
        <v>9.7173769125161513</v>
      </c>
      <c r="AP26" s="187">
        <v>10.508782375923495</v>
      </c>
      <c r="AQ26" s="90" t="str">
        <f t="shared" si="32"/>
        <v>35-39</v>
      </c>
      <c r="AR26" s="188">
        <v>130.84375071776253</v>
      </c>
      <c r="AS26" s="188">
        <v>143.10303166130547</v>
      </c>
      <c r="AT26" s="188">
        <v>145.7508323545951</v>
      </c>
      <c r="AU26" s="188">
        <v>161.80904970368815</v>
      </c>
      <c r="AV26" s="187">
        <v>178.15540003966933</v>
      </c>
      <c r="AW26" s="188"/>
      <c r="AX26" s="188">
        <v>127.60652595957404</v>
      </c>
      <c r="AY26" s="188">
        <v>139.56251449676819</v>
      </c>
      <c r="AZ26" s="188">
        <v>142.14475173688641</v>
      </c>
      <c r="BA26" s="188">
        <v>157.80566912987618</v>
      </c>
      <c r="BB26" s="187">
        <v>173.74761952873018</v>
      </c>
      <c r="BC26" s="188"/>
      <c r="BD26" s="188">
        <v>3.237224758188491</v>
      </c>
      <c r="BE26" s="188">
        <v>3.5405171645372788</v>
      </c>
      <c r="BF26" s="188">
        <v>3.6060806177086793</v>
      </c>
      <c r="BG26" s="188">
        <v>4.003380573811949</v>
      </c>
      <c r="BH26" s="187">
        <v>4.4077805109391317</v>
      </c>
    </row>
    <row r="27" spans="1:60" x14ac:dyDescent="0.2">
      <c r="A27" s="90" t="str">
        <f>$A$13</f>
        <v>40-44</v>
      </c>
      <c r="B27" s="188">
        <v>109.36258023994721</v>
      </c>
      <c r="C27" s="188">
        <v>100.65735353635027</v>
      </c>
      <c r="D27" s="188">
        <v>79.894996074335893</v>
      </c>
      <c r="E27" s="188">
        <v>58.266248681924139</v>
      </c>
      <c r="F27" s="187">
        <v>44.943691641188508</v>
      </c>
      <c r="G27" s="188"/>
      <c r="H27" s="188">
        <v>37.497201603751407</v>
      </c>
      <c r="I27" s="188">
        <v>34.512468517177361</v>
      </c>
      <c r="J27" s="188">
        <v>27.393678246007219</v>
      </c>
      <c r="K27" s="188">
        <v>19.977808097422283</v>
      </c>
      <c r="L27" s="187">
        <v>15.409876741628949</v>
      </c>
      <c r="M27" s="188"/>
      <c r="N27" s="188">
        <v>71.8653786361958</v>
      </c>
      <c r="O27" s="188">
        <v>66.144885019172918</v>
      </c>
      <c r="P27" s="188">
        <v>52.501317828328666</v>
      </c>
      <c r="Q27" s="188">
        <v>38.288440584501856</v>
      </c>
      <c r="R27" s="187">
        <v>29.533814899559559</v>
      </c>
      <c r="S27" s="188"/>
      <c r="T27" s="188">
        <v>0</v>
      </c>
      <c r="U27" s="188">
        <v>0</v>
      </c>
      <c r="V27" s="188">
        <v>0</v>
      </c>
      <c r="W27" s="188">
        <v>0</v>
      </c>
      <c r="X27" s="187">
        <v>0</v>
      </c>
      <c r="Y27" s="90" t="str">
        <f>$A$13</f>
        <v>40-44</v>
      </c>
      <c r="Z27" s="188">
        <v>173.78731454334542</v>
      </c>
      <c r="AA27" s="188">
        <v>163.77527356450886</v>
      </c>
      <c r="AB27" s="188">
        <v>162.60647900072252</v>
      </c>
      <c r="AC27" s="188">
        <v>166.47427183086532</v>
      </c>
      <c r="AD27" s="187">
        <v>181.69643068872716</v>
      </c>
      <c r="AE27" s="188"/>
      <c r="AF27" s="188">
        <v>165.32689297611799</v>
      </c>
      <c r="AG27" s="188">
        <v>155.80222756557217</v>
      </c>
      <c r="AH27" s="188">
        <v>154.69035923872957</v>
      </c>
      <c r="AI27" s="188">
        <v>158.36986274844344</v>
      </c>
      <c r="AJ27" s="187">
        <v>172.85093659793318</v>
      </c>
      <c r="AK27" s="188"/>
      <c r="AL27" s="188">
        <v>8.4604215672274528</v>
      </c>
      <c r="AM27" s="188">
        <v>7.9730459989366764</v>
      </c>
      <c r="AN27" s="188">
        <v>7.9161197619929249</v>
      </c>
      <c r="AO27" s="188">
        <v>8.1044090824218635</v>
      </c>
      <c r="AP27" s="187">
        <v>8.8454940907939719</v>
      </c>
      <c r="AQ27" s="90" t="str">
        <f t="shared" si="32"/>
        <v>40-44</v>
      </c>
      <c r="AR27" s="188">
        <v>128.62610521670734</v>
      </c>
      <c r="AS27" s="188">
        <v>136.39037289914091</v>
      </c>
      <c r="AT27" s="188">
        <v>148.07052492494154</v>
      </c>
      <c r="AU27" s="188">
        <v>154.31647948721056</v>
      </c>
      <c r="AV27" s="187">
        <v>171.30987767008435</v>
      </c>
      <c r="AW27" s="188"/>
      <c r="AX27" s="188">
        <v>125.76772964125814</v>
      </c>
      <c r="AY27" s="188">
        <v>133.35947800784845</v>
      </c>
      <c r="AZ27" s="188">
        <v>144.78005921667193</v>
      </c>
      <c r="BA27" s="188">
        <v>150.88727091047099</v>
      </c>
      <c r="BB27" s="187">
        <v>167.50296624498654</v>
      </c>
      <c r="BC27" s="188"/>
      <c r="BD27" s="188">
        <v>2.8583755754492008</v>
      </c>
      <c r="BE27" s="188">
        <v>3.030894891292423</v>
      </c>
      <c r="BF27" s="188">
        <v>3.2904657082695943</v>
      </c>
      <c r="BG27" s="188">
        <v>3.4292085767395757</v>
      </c>
      <c r="BH27" s="187">
        <v>3.8069114250978413</v>
      </c>
    </row>
    <row r="28" spans="1:60" x14ac:dyDescent="0.2">
      <c r="A28" s="90" t="str">
        <f>$A$14</f>
        <v>45-49</v>
      </c>
      <c r="B28" s="188">
        <v>133.05883203982552</v>
      </c>
      <c r="C28" s="188">
        <v>130.62922404585686</v>
      </c>
      <c r="D28" s="188">
        <v>99.593963362259984</v>
      </c>
      <c r="E28" s="188">
        <v>77.436632042573009</v>
      </c>
      <c r="F28" s="187">
        <v>59.492715137111858</v>
      </c>
      <c r="G28" s="188"/>
      <c r="H28" s="188">
        <v>45.027200591392536</v>
      </c>
      <c r="I28" s="188">
        <v>44.204981813015024</v>
      </c>
      <c r="J28" s="188">
        <v>33.702642640591492</v>
      </c>
      <c r="K28" s="188">
        <v>26.204594261379921</v>
      </c>
      <c r="L28" s="187">
        <v>20.132393786098973</v>
      </c>
      <c r="M28" s="188"/>
      <c r="N28" s="188">
        <v>88.031631448432989</v>
      </c>
      <c r="O28" s="188">
        <v>86.424242232841848</v>
      </c>
      <c r="P28" s="188">
        <v>65.891320721668478</v>
      </c>
      <c r="Q28" s="188">
        <v>51.232037781193085</v>
      </c>
      <c r="R28" s="187">
        <v>39.360321351012892</v>
      </c>
      <c r="S28" s="188"/>
      <c r="T28" s="188">
        <v>0</v>
      </c>
      <c r="U28" s="188">
        <v>0</v>
      </c>
      <c r="V28" s="188">
        <v>0</v>
      </c>
      <c r="W28" s="188">
        <v>0</v>
      </c>
      <c r="X28" s="187">
        <v>0</v>
      </c>
      <c r="Y28" s="90" t="str">
        <f>$A$14</f>
        <v>45-49</v>
      </c>
      <c r="Z28" s="188">
        <v>147.70040930140374</v>
      </c>
      <c r="AA28" s="188">
        <v>150.78309476094216</v>
      </c>
      <c r="AB28" s="188">
        <v>165.92406107867228</v>
      </c>
      <c r="AC28" s="188">
        <v>170.02775905499576</v>
      </c>
      <c r="AD28" s="187">
        <v>173.29143493241449</v>
      </c>
      <c r="AE28" s="188"/>
      <c r="AF28" s="188">
        <v>141.54694322175274</v>
      </c>
      <c r="AG28" s="188">
        <v>144.50116492117996</v>
      </c>
      <c r="AH28" s="188">
        <v>159.01136074679223</v>
      </c>
      <c r="AI28" s="188">
        <v>162.94414401206637</v>
      </c>
      <c r="AJ28" s="187">
        <v>166.07180166684751</v>
      </c>
      <c r="AK28" s="188"/>
      <c r="AL28" s="188">
        <v>6.1534660796509844</v>
      </c>
      <c r="AM28" s="188">
        <v>6.2819298397621735</v>
      </c>
      <c r="AN28" s="188">
        <v>6.9127003318800542</v>
      </c>
      <c r="AO28" s="188">
        <v>7.0836150429293721</v>
      </c>
      <c r="AP28" s="187">
        <v>7.2196332655670084</v>
      </c>
      <c r="AQ28" s="90" t="str">
        <f t="shared" si="32"/>
        <v>45-49</v>
      </c>
      <c r="AR28" s="188">
        <v>123.31275865877076</v>
      </c>
      <c r="AS28" s="188">
        <v>132.41368119320103</v>
      </c>
      <c r="AT28" s="188">
        <v>140.53797555906777</v>
      </c>
      <c r="AU28" s="188">
        <v>145.28260890243126</v>
      </c>
      <c r="AV28" s="187">
        <v>149.41884993047367</v>
      </c>
      <c r="AW28" s="188"/>
      <c r="AX28" s="188">
        <v>120.05066515719325</v>
      </c>
      <c r="AY28" s="188">
        <v>128.91090449693274</v>
      </c>
      <c r="AZ28" s="188">
        <v>136.82028565996129</v>
      </c>
      <c r="BA28" s="188">
        <v>141.4394248982336</v>
      </c>
      <c r="BB28" s="187">
        <v>145.46618310656098</v>
      </c>
      <c r="BC28" s="188"/>
      <c r="BD28" s="188">
        <v>3.2620935015775157</v>
      </c>
      <c r="BE28" s="188">
        <v>3.5027766962682798</v>
      </c>
      <c r="BF28" s="188">
        <v>3.7176898991064919</v>
      </c>
      <c r="BG28" s="188">
        <v>3.8431840041976795</v>
      </c>
      <c r="BH28" s="187">
        <v>3.952666823912681</v>
      </c>
    </row>
    <row r="29" spans="1:60" x14ac:dyDescent="0.2">
      <c r="A29" s="90" t="str">
        <f>$A$15</f>
        <v>50-54</v>
      </c>
      <c r="B29" s="188">
        <v>142.62528866518252</v>
      </c>
      <c r="C29" s="188">
        <v>144.67879652164194</v>
      </c>
      <c r="D29" s="188">
        <v>129.89288976403338</v>
      </c>
      <c r="E29" s="188">
        <v>108.5906384249285</v>
      </c>
      <c r="F29" s="187">
        <v>88.797023806023716</v>
      </c>
      <c r="G29" s="188"/>
      <c r="H29" s="188">
        <v>58.809677206890292</v>
      </c>
      <c r="I29" s="188">
        <v>59.656444402939428</v>
      </c>
      <c r="J29" s="188">
        <v>53.559622114055813</v>
      </c>
      <c r="K29" s="188">
        <v>44.77589197427843</v>
      </c>
      <c r="L29" s="187">
        <v>36.614290916009523</v>
      </c>
      <c r="M29" s="188"/>
      <c r="N29" s="188">
        <v>83.815611458292224</v>
      </c>
      <c r="O29" s="188">
        <v>85.022352118702528</v>
      </c>
      <c r="P29" s="188">
        <v>76.333267649977572</v>
      </c>
      <c r="Q29" s="188">
        <v>63.814746450650077</v>
      </c>
      <c r="R29" s="187">
        <v>52.182732890014194</v>
      </c>
      <c r="S29" s="188"/>
      <c r="T29" s="188">
        <v>0</v>
      </c>
      <c r="U29" s="188">
        <v>0</v>
      </c>
      <c r="V29" s="188">
        <v>0</v>
      </c>
      <c r="W29" s="188">
        <v>0</v>
      </c>
      <c r="X29" s="187">
        <v>0</v>
      </c>
      <c r="Y29" s="90" t="str">
        <f>$A$15</f>
        <v>50-54</v>
      </c>
      <c r="Z29" s="188">
        <v>128.12433076039389</v>
      </c>
      <c r="AA29" s="188">
        <v>131.63132793945925</v>
      </c>
      <c r="AB29" s="188">
        <v>150.56527705284162</v>
      </c>
      <c r="AC29" s="188">
        <v>157.47681805010433</v>
      </c>
      <c r="AD29" s="187">
        <v>161.81424705237774</v>
      </c>
      <c r="AE29" s="188"/>
      <c r="AF29" s="188">
        <v>122.55278649675924</v>
      </c>
      <c r="AG29" s="188">
        <v>125.90722170135525</v>
      </c>
      <c r="AH29" s="188">
        <v>144.01786562915689</v>
      </c>
      <c r="AI29" s="188">
        <v>150.62881683229153</v>
      </c>
      <c r="AJ29" s="187">
        <v>154.77764225506792</v>
      </c>
      <c r="AK29" s="188"/>
      <c r="AL29" s="188">
        <v>5.5715442636346637</v>
      </c>
      <c r="AM29" s="188">
        <v>5.7241062381040022</v>
      </c>
      <c r="AN29" s="188">
        <v>6.5474114236847223</v>
      </c>
      <c r="AO29" s="188">
        <v>6.848001217812798</v>
      </c>
      <c r="AP29" s="187">
        <v>7.0366047973098143</v>
      </c>
      <c r="AQ29" s="90" t="str">
        <f t="shared" si="32"/>
        <v>50-54</v>
      </c>
      <c r="AR29" s="188">
        <v>99.533380574423589</v>
      </c>
      <c r="AS29" s="188">
        <v>107.85887553889877</v>
      </c>
      <c r="AT29" s="188">
        <v>131.66083318312499</v>
      </c>
      <c r="AU29" s="188">
        <v>136.99154352496717</v>
      </c>
      <c r="AV29" s="187">
        <v>140.23672914159854</v>
      </c>
      <c r="AW29" s="188"/>
      <c r="AX29" s="188">
        <v>96.536032850777929</v>
      </c>
      <c r="AY29" s="188">
        <v>104.61089167560138</v>
      </c>
      <c r="AZ29" s="188">
        <v>127.6960784524572</v>
      </c>
      <c r="BA29" s="188">
        <v>132.86627000855998</v>
      </c>
      <c r="BB29" s="187">
        <v>136.01369492085831</v>
      </c>
      <c r="BC29" s="188"/>
      <c r="BD29" s="188">
        <v>2.9973477236456505</v>
      </c>
      <c r="BE29" s="188">
        <v>3.2479838632974087</v>
      </c>
      <c r="BF29" s="188">
        <v>3.9647547306677895</v>
      </c>
      <c r="BG29" s="188">
        <v>4.1252735164071801</v>
      </c>
      <c r="BH29" s="187">
        <v>4.2230342207402218</v>
      </c>
    </row>
    <row r="30" spans="1:60" x14ac:dyDescent="0.2">
      <c r="A30" s="90" t="str">
        <f>$A$16</f>
        <v>55-59</v>
      </c>
      <c r="B30" s="188">
        <v>142.02345355885194</v>
      </c>
      <c r="C30" s="188">
        <v>143.44952230302076</v>
      </c>
      <c r="D30" s="188">
        <v>139.14959212331905</v>
      </c>
      <c r="E30" s="188">
        <v>133.10606492478584</v>
      </c>
      <c r="F30" s="187">
        <v>109.14650779855604</v>
      </c>
      <c r="G30" s="188"/>
      <c r="H30" s="188">
        <v>65.471577847382605</v>
      </c>
      <c r="I30" s="188">
        <v>66.128938994656224</v>
      </c>
      <c r="J30" s="188">
        <v>64.146760401718026</v>
      </c>
      <c r="K30" s="188">
        <v>61.360743377948751</v>
      </c>
      <c r="L30" s="187">
        <v>50.315564885494574</v>
      </c>
      <c r="M30" s="188"/>
      <c r="N30" s="188">
        <v>76.551875711469307</v>
      </c>
      <c r="O30" s="188">
        <v>77.320583308364533</v>
      </c>
      <c r="P30" s="188">
        <v>75.002831721601012</v>
      </c>
      <c r="Q30" s="188">
        <v>71.74532154683709</v>
      </c>
      <c r="R30" s="187">
        <v>58.830942913061456</v>
      </c>
      <c r="S30" s="188"/>
      <c r="T30" s="188">
        <v>0</v>
      </c>
      <c r="U30" s="188">
        <v>0</v>
      </c>
      <c r="V30" s="188">
        <v>0</v>
      </c>
      <c r="W30" s="188">
        <v>0</v>
      </c>
      <c r="X30" s="187">
        <v>0</v>
      </c>
      <c r="Y30" s="90" t="str">
        <f>$A$16</f>
        <v>55-59</v>
      </c>
      <c r="Z30" s="188">
        <v>109.05588764571488</v>
      </c>
      <c r="AA30" s="188">
        <v>103.02668159053177</v>
      </c>
      <c r="AB30" s="188">
        <v>125.61808852626254</v>
      </c>
      <c r="AC30" s="188">
        <v>146.63086089061352</v>
      </c>
      <c r="AD30" s="187">
        <v>154.81770782548793</v>
      </c>
      <c r="AE30" s="188"/>
      <c r="AF30" s="188">
        <v>103.75944425598405</v>
      </c>
      <c r="AG30" s="188">
        <v>98.023014500202649</v>
      </c>
      <c r="AH30" s="188">
        <v>119.51727296970975</v>
      </c>
      <c r="AI30" s="188">
        <v>139.509472215926</v>
      </c>
      <c r="AJ30" s="187">
        <v>147.29874653579841</v>
      </c>
      <c r="AK30" s="188"/>
      <c r="AL30" s="188">
        <v>5.296443389730813</v>
      </c>
      <c r="AM30" s="188">
        <v>5.0036670903291043</v>
      </c>
      <c r="AN30" s="188">
        <v>6.1008155565527895</v>
      </c>
      <c r="AO30" s="188">
        <v>7.1213886746875295</v>
      </c>
      <c r="AP30" s="187">
        <v>7.5189612896894937</v>
      </c>
      <c r="AQ30" s="90" t="str">
        <f t="shared" si="32"/>
        <v>55-59</v>
      </c>
      <c r="AR30" s="188">
        <v>86.859658795433134</v>
      </c>
      <c r="AS30" s="188">
        <v>96.998796106447443</v>
      </c>
      <c r="AT30" s="188">
        <v>110.9803193504184</v>
      </c>
      <c r="AU30" s="188">
        <v>123.37107418460066</v>
      </c>
      <c r="AV30" s="187">
        <v>131.50178437595608</v>
      </c>
      <c r="AW30" s="188"/>
      <c r="AX30" s="188">
        <v>84.146035314499002</v>
      </c>
      <c r="AY30" s="188">
        <v>93.968368312463639</v>
      </c>
      <c r="AZ30" s="188">
        <v>107.5131451192468</v>
      </c>
      <c r="BA30" s="188">
        <v>119.51673817354288</v>
      </c>
      <c r="BB30" s="187">
        <v>127.3934508351265</v>
      </c>
      <c r="BC30" s="188"/>
      <c r="BD30" s="188">
        <v>2.7136234809341366</v>
      </c>
      <c r="BE30" s="188">
        <v>3.030427793983804</v>
      </c>
      <c r="BF30" s="188">
        <v>3.4671742311715938</v>
      </c>
      <c r="BG30" s="188">
        <v>3.8543360110577858</v>
      </c>
      <c r="BH30" s="187">
        <v>4.1083335408295882</v>
      </c>
    </row>
    <row r="31" spans="1:60" x14ac:dyDescent="0.2">
      <c r="A31" s="90" t="str">
        <f>$A$17</f>
        <v>60-64</v>
      </c>
      <c r="B31" s="188">
        <v>135.20871159850742</v>
      </c>
      <c r="C31" s="188">
        <v>139.14227803640441</v>
      </c>
      <c r="D31" s="188">
        <v>130.14619876262617</v>
      </c>
      <c r="E31" s="188">
        <v>116.92965912610188</v>
      </c>
      <c r="F31" s="187">
        <v>97.821165625616288</v>
      </c>
      <c r="G31" s="188"/>
      <c r="H31" s="188">
        <v>70.289274754240722</v>
      </c>
      <c r="I31" s="188">
        <v>72.334142210216811</v>
      </c>
      <c r="J31" s="188">
        <v>67.657493952962056</v>
      </c>
      <c r="K31" s="188">
        <v>60.786778379352796</v>
      </c>
      <c r="L31" s="187">
        <v>50.853075153050249</v>
      </c>
      <c r="M31" s="188"/>
      <c r="N31" s="188">
        <v>64.919436844266713</v>
      </c>
      <c r="O31" s="188">
        <v>66.808135826187581</v>
      </c>
      <c r="P31" s="188">
        <v>62.488704809664121</v>
      </c>
      <c r="Q31" s="188">
        <v>56.142880746749078</v>
      </c>
      <c r="R31" s="187">
        <v>46.968090472566033</v>
      </c>
      <c r="S31" s="188"/>
      <c r="T31" s="188">
        <v>0</v>
      </c>
      <c r="U31" s="188">
        <v>0</v>
      </c>
      <c r="V31" s="188">
        <v>0</v>
      </c>
      <c r="W31" s="188">
        <v>0</v>
      </c>
      <c r="X31" s="187">
        <v>0</v>
      </c>
      <c r="Y31" s="90" t="str">
        <f>$A$17</f>
        <v>60-64</v>
      </c>
      <c r="Z31" s="188">
        <v>86.312916170074814</v>
      </c>
      <c r="AA31" s="188">
        <v>87.978682675397692</v>
      </c>
      <c r="AB31" s="188">
        <v>102.45961005200583</v>
      </c>
      <c r="AC31" s="188">
        <v>124.91232684164649</v>
      </c>
      <c r="AD31" s="187">
        <v>146.90533839921289</v>
      </c>
      <c r="AE31" s="188"/>
      <c r="AF31" s="188">
        <v>82.494145323393639</v>
      </c>
      <c r="AG31" s="188">
        <v>84.086253978523061</v>
      </c>
      <c r="AH31" s="188">
        <v>97.926456664959204</v>
      </c>
      <c r="AI31" s="188">
        <v>119.38584315305835</v>
      </c>
      <c r="AJ31" s="187">
        <v>140.40583035374158</v>
      </c>
      <c r="AK31" s="188"/>
      <c r="AL31" s="188">
        <v>3.8187708466811769</v>
      </c>
      <c r="AM31" s="188">
        <v>3.8924286968746324</v>
      </c>
      <c r="AN31" s="188">
        <v>4.533153387046621</v>
      </c>
      <c r="AO31" s="188">
        <v>5.5264836885881472</v>
      </c>
      <c r="AP31" s="187">
        <v>6.4995080454712904</v>
      </c>
      <c r="AQ31" s="90" t="str">
        <f t="shared" si="32"/>
        <v>60-64</v>
      </c>
      <c r="AR31" s="188">
        <v>67.855372231417789</v>
      </c>
      <c r="AS31" s="188">
        <v>83.945039288197918</v>
      </c>
      <c r="AT31" s="188">
        <v>95.468191185367971</v>
      </c>
      <c r="AU31" s="188">
        <v>119.10401403225165</v>
      </c>
      <c r="AV31" s="187">
        <v>144.11749597517081</v>
      </c>
      <c r="AW31" s="188"/>
      <c r="AX31" s="188">
        <v>65.304426563134072</v>
      </c>
      <c r="AY31" s="188">
        <v>80.789147061586561</v>
      </c>
      <c r="AZ31" s="188">
        <v>91.879108865414764</v>
      </c>
      <c r="BA31" s="188">
        <v>114.62635921396409</v>
      </c>
      <c r="BB31" s="187">
        <v>138.69950783520864</v>
      </c>
      <c r="BC31" s="188"/>
      <c r="BD31" s="188">
        <v>2.5509456682837173</v>
      </c>
      <c r="BE31" s="188">
        <v>3.1558922266113782</v>
      </c>
      <c r="BF31" s="188">
        <v>3.5890823199532207</v>
      </c>
      <c r="BG31" s="188">
        <v>4.4776548182875615</v>
      </c>
      <c r="BH31" s="187">
        <v>5.4179881399621461</v>
      </c>
    </row>
    <row r="32" spans="1:60" x14ac:dyDescent="0.2">
      <c r="A32" s="90" t="str">
        <f>$A$18</f>
        <v>65+</v>
      </c>
      <c r="B32" s="188">
        <v>413.27348346987924</v>
      </c>
      <c r="C32" s="188">
        <v>413.22199816727857</v>
      </c>
      <c r="D32" s="188">
        <v>382.42661647142006</v>
      </c>
      <c r="E32" s="188">
        <v>344.26916975565996</v>
      </c>
      <c r="F32" s="187">
        <v>299.66486973953153</v>
      </c>
      <c r="G32" s="188"/>
      <c r="H32" s="188">
        <v>280.86103102264485</v>
      </c>
      <c r="I32" s="188">
        <v>280.82599650665259</v>
      </c>
      <c r="J32" s="188">
        <v>259.89747790143747</v>
      </c>
      <c r="K32" s="188">
        <v>233.96563126418033</v>
      </c>
      <c r="L32" s="187">
        <v>203.65250932991842</v>
      </c>
      <c r="M32" s="188"/>
      <c r="N32" s="188">
        <v>132.41245244723444</v>
      </c>
      <c r="O32" s="188">
        <v>132.39600166062604</v>
      </c>
      <c r="P32" s="188">
        <v>122.52913856998256</v>
      </c>
      <c r="Q32" s="188">
        <v>110.30353849147959</v>
      </c>
      <c r="R32" s="187">
        <v>96.012360409613152</v>
      </c>
      <c r="S32" s="188"/>
      <c r="T32" s="188">
        <v>0</v>
      </c>
      <c r="U32" s="188">
        <v>0</v>
      </c>
      <c r="V32" s="188">
        <v>0</v>
      </c>
      <c r="W32" s="188">
        <v>0</v>
      </c>
      <c r="X32" s="187">
        <v>0</v>
      </c>
      <c r="Y32" s="90" t="str">
        <f>$A$18</f>
        <v>65+</v>
      </c>
      <c r="Z32" s="188">
        <v>183.28798651698779</v>
      </c>
      <c r="AA32" s="188">
        <v>198.84833199585475</v>
      </c>
      <c r="AB32" s="188">
        <v>264.78812722486305</v>
      </c>
      <c r="AC32" s="188">
        <v>324.20846857729254</v>
      </c>
      <c r="AD32" s="187">
        <v>390.52526772257721</v>
      </c>
      <c r="AE32" s="188"/>
      <c r="AF32" s="188">
        <v>175.04417159553057</v>
      </c>
      <c r="AG32" s="188">
        <v>189.90464961003784</v>
      </c>
      <c r="AH32" s="188">
        <v>252.8787207130141</v>
      </c>
      <c r="AI32" s="188">
        <v>309.62643682093773</v>
      </c>
      <c r="AJ32" s="187">
        <v>372.96056409867555</v>
      </c>
      <c r="AK32" s="188"/>
      <c r="AL32" s="188">
        <v>8.243814921457215</v>
      </c>
      <c r="AM32" s="188">
        <v>8.9436823858169294</v>
      </c>
      <c r="AN32" s="188">
        <v>11.909406511848935</v>
      </c>
      <c r="AO32" s="188">
        <v>14.582031756354773</v>
      </c>
      <c r="AP32" s="187">
        <v>17.564703623901661</v>
      </c>
      <c r="AQ32" s="90" t="str">
        <f t="shared" si="32"/>
        <v>65+</v>
      </c>
      <c r="AR32" s="188">
        <v>164.37253001313297</v>
      </c>
      <c r="AS32" s="188">
        <v>172.14466983686671</v>
      </c>
      <c r="AT32" s="188">
        <v>232.36725630371686</v>
      </c>
      <c r="AU32" s="188">
        <v>309.43936166704759</v>
      </c>
      <c r="AV32" s="187">
        <v>407.37086253789136</v>
      </c>
      <c r="AW32" s="188"/>
      <c r="AX32" s="188">
        <v>157.65906224959758</v>
      </c>
      <c r="AY32" s="188">
        <v>165.11377610213441</v>
      </c>
      <c r="AZ32" s="188">
        <v>222.87664185404887</v>
      </c>
      <c r="BA32" s="188">
        <v>296.80092091622549</v>
      </c>
      <c r="BB32" s="187">
        <v>390.73259978076936</v>
      </c>
      <c r="BC32" s="188"/>
      <c r="BD32" s="188">
        <v>6.7134677635354318</v>
      </c>
      <c r="BE32" s="188">
        <v>7.0308937347323051</v>
      </c>
      <c r="BF32" s="188">
        <v>9.4906144496679747</v>
      </c>
      <c r="BG32" s="188">
        <v>12.63844075082217</v>
      </c>
      <c r="BH32" s="187">
        <v>16.638262757122035</v>
      </c>
    </row>
    <row r="33" spans="1:60" x14ac:dyDescent="0.2">
      <c r="B33" s="188"/>
      <c r="C33" s="188"/>
      <c r="D33" s="188"/>
      <c r="E33" s="188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93"/>
      <c r="U33" s="93"/>
      <c r="V33" s="93"/>
      <c r="W33" s="93"/>
      <c r="X33" s="93"/>
      <c r="Z33" s="188"/>
      <c r="AA33" s="188"/>
      <c r="AB33" s="188"/>
      <c r="AC33" s="188"/>
      <c r="AD33" s="187"/>
      <c r="AE33" s="187"/>
      <c r="AF33" s="187"/>
      <c r="AG33" s="187"/>
      <c r="AH33" s="187"/>
      <c r="AI33" s="187"/>
      <c r="AJ33" s="187"/>
      <c r="AK33" s="187"/>
      <c r="AL33" s="187"/>
      <c r="AM33" s="187"/>
      <c r="AN33" s="187"/>
      <c r="AO33" s="187"/>
      <c r="AP33" s="187"/>
      <c r="AR33" s="188"/>
      <c r="AS33" s="188"/>
      <c r="AT33" s="188"/>
      <c r="AU33" s="188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</row>
    <row r="34" spans="1:60" x14ac:dyDescent="0.2">
      <c r="A34" s="113" t="s">
        <v>99</v>
      </c>
      <c r="B34" s="188"/>
      <c r="C34" s="188"/>
      <c r="D34" s="188"/>
      <c r="E34" s="188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93"/>
      <c r="U34" s="93"/>
      <c r="V34" s="93"/>
      <c r="W34" s="93"/>
      <c r="X34" s="93"/>
      <c r="Y34" s="113" t="str">
        <f>A34</f>
        <v>Females</v>
      </c>
      <c r="Z34" s="93"/>
      <c r="AA34" s="93"/>
      <c r="AB34" s="93"/>
      <c r="AC34" s="93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13" t="str">
        <f>A34</f>
        <v>Females</v>
      </c>
      <c r="AR34" s="93"/>
      <c r="AS34" s="93"/>
      <c r="AT34" s="93"/>
      <c r="AU34" s="93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</row>
    <row r="35" spans="1:60" x14ac:dyDescent="0.2">
      <c r="A35" s="90" t="str">
        <f>$A$7</f>
        <v>15+</v>
      </c>
      <c r="B35" s="188">
        <f>SUM(B36:B46)</f>
        <v>1839.2166575000715</v>
      </c>
      <c r="C35" s="188">
        <f t="shared" ref="C35:F35" si="33">SUM(C36:C46)</f>
        <v>1786.0603742980511</v>
      </c>
      <c r="D35" s="188">
        <f t="shared" si="33"/>
        <v>1572.103997262989</v>
      </c>
      <c r="E35" s="188">
        <f t="shared" si="33"/>
        <v>1350.9626109662327</v>
      </c>
      <c r="F35" s="188">
        <f t="shared" si="33"/>
        <v>1143.3207917146487</v>
      </c>
      <c r="G35" s="187"/>
      <c r="H35" s="188">
        <f>SUM(H36:H46)</f>
        <v>963.2794859618532</v>
      </c>
      <c r="I35" s="188">
        <f t="shared" ref="I35:L35" si="34">SUM(I36:I46)</f>
        <v>932.67382880597597</v>
      </c>
      <c r="J35" s="188">
        <f t="shared" si="34"/>
        <v>822.41738994957336</v>
      </c>
      <c r="K35" s="188">
        <f t="shared" si="34"/>
        <v>699.51116772963974</v>
      </c>
      <c r="L35" s="188">
        <f t="shared" si="34"/>
        <v>576.46624793891874</v>
      </c>
      <c r="M35" s="187"/>
      <c r="N35" s="188">
        <f>SUM(N36:N46)</f>
        <v>875.93717153821831</v>
      </c>
      <c r="O35" s="188">
        <f t="shared" ref="O35:R35" si="35">SUM(O36:O46)</f>
        <v>853.38654549207513</v>
      </c>
      <c r="P35" s="188">
        <f t="shared" si="35"/>
        <v>749.68660731341538</v>
      </c>
      <c r="Q35" s="188">
        <f t="shared" si="35"/>
        <v>651.45144323659315</v>
      </c>
      <c r="R35" s="188">
        <f t="shared" si="35"/>
        <v>566.85454377573012</v>
      </c>
      <c r="S35" s="187"/>
      <c r="T35" s="188">
        <f>SUM(T36:T46)</f>
        <v>0</v>
      </c>
      <c r="U35" s="188">
        <f t="shared" ref="U35:X35" si="36">SUM(U36:U46)</f>
        <v>0</v>
      </c>
      <c r="V35" s="188">
        <f t="shared" si="36"/>
        <v>0</v>
      </c>
      <c r="W35" s="188">
        <f t="shared" si="36"/>
        <v>0</v>
      </c>
      <c r="X35" s="188">
        <f t="shared" si="36"/>
        <v>0</v>
      </c>
      <c r="Y35" s="90" t="str">
        <f>$A$7</f>
        <v>15+</v>
      </c>
      <c r="Z35" s="188">
        <f>SUM(Z36:Z46)</f>
        <v>1514.4894356563314</v>
      </c>
      <c r="AA35" s="188">
        <f t="shared" ref="AA35:AD35" si="37">SUM(AA36:AA46)</f>
        <v>1503.6765075089238</v>
      </c>
      <c r="AB35" s="188">
        <f t="shared" si="37"/>
        <v>1659.9026427502681</v>
      </c>
      <c r="AC35" s="188">
        <f t="shared" si="37"/>
        <v>1797.4464428451124</v>
      </c>
      <c r="AD35" s="188">
        <f t="shared" si="37"/>
        <v>1939.4301277122679</v>
      </c>
      <c r="AE35" s="188"/>
      <c r="AF35" s="188">
        <f>SUM(AF36:AF46)</f>
        <v>1427.6490102140683</v>
      </c>
      <c r="AG35" s="188">
        <f t="shared" ref="AG35:AJ35" si="38">SUM(AG36:AG46)</f>
        <v>1417.9494245743583</v>
      </c>
      <c r="AH35" s="188">
        <f t="shared" si="38"/>
        <v>1565.6898030959378</v>
      </c>
      <c r="AI35" s="188">
        <f t="shared" si="38"/>
        <v>1695.8037388732168</v>
      </c>
      <c r="AJ35" s="188">
        <f t="shared" si="38"/>
        <v>1830.7085872896366</v>
      </c>
      <c r="AK35" s="188"/>
      <c r="AL35" s="188">
        <f>SUM(AL36:AL46)</f>
        <v>86.840425442262955</v>
      </c>
      <c r="AM35" s="188">
        <f t="shared" ref="AM35:AP35" si="39">SUM(AM36:AM46)</f>
        <v>85.727082934565459</v>
      </c>
      <c r="AN35" s="188">
        <f t="shared" si="39"/>
        <v>94.212839654330281</v>
      </c>
      <c r="AO35" s="188">
        <f t="shared" si="39"/>
        <v>101.64270397189549</v>
      </c>
      <c r="AP35" s="188">
        <f t="shared" si="39"/>
        <v>108.72154042263139</v>
      </c>
      <c r="AQ35" s="90" t="str">
        <f>$A$7</f>
        <v>15+</v>
      </c>
      <c r="AR35" s="188">
        <f>SUM(AR36:AR46)</f>
        <v>1208.4819068435977</v>
      </c>
      <c r="AS35" s="188">
        <f t="shared" ref="AS35:AV35" si="40">SUM(AS36:AS46)</f>
        <v>1342.1641181930254</v>
      </c>
      <c r="AT35" s="188">
        <f t="shared" si="40"/>
        <v>1576.2403599867432</v>
      </c>
      <c r="AU35" s="188">
        <f t="shared" si="40"/>
        <v>1829.5899461886547</v>
      </c>
      <c r="AV35" s="188">
        <f t="shared" si="40"/>
        <v>2104.1100805730839</v>
      </c>
      <c r="AW35" s="188"/>
      <c r="AX35" s="188">
        <f>SUM(AX36:AX46)</f>
        <v>1195.8231128172695</v>
      </c>
      <c r="AY35" s="188">
        <f t="shared" ref="AY35:BB35" si="41">SUM(AY36:AY46)</f>
        <v>1327.9996346900398</v>
      </c>
      <c r="AZ35" s="188">
        <f t="shared" si="41"/>
        <v>1559.651180973065</v>
      </c>
      <c r="BA35" s="188">
        <f t="shared" si="41"/>
        <v>1810.1453176220125</v>
      </c>
      <c r="BB35" s="188">
        <f t="shared" si="41"/>
        <v>2081.5851755357075</v>
      </c>
      <c r="BC35" s="188"/>
      <c r="BD35" s="188">
        <f>SUM(BD36:BD46)</f>
        <v>12.658794026328057</v>
      </c>
      <c r="BE35" s="188">
        <f t="shared" ref="BE35:BH35" si="42">SUM(BE36:BE46)</f>
        <v>14.164483502985499</v>
      </c>
      <c r="BF35" s="188">
        <f t="shared" si="42"/>
        <v>16.589179013678287</v>
      </c>
      <c r="BG35" s="188">
        <f t="shared" si="42"/>
        <v>19.444628566642407</v>
      </c>
      <c r="BH35" s="188">
        <f t="shared" si="42"/>
        <v>22.524905037375824</v>
      </c>
    </row>
    <row r="36" spans="1:60" x14ac:dyDescent="0.2">
      <c r="A36" s="90" t="str">
        <f>$A$8</f>
        <v>15-19</v>
      </c>
      <c r="B36" s="188">
        <v>235.75197725192589</v>
      </c>
      <c r="C36" s="188">
        <v>235.32459036047223</v>
      </c>
      <c r="D36" s="188">
        <v>224.52607187954138</v>
      </c>
      <c r="E36" s="188">
        <v>225.53877970723389</v>
      </c>
      <c r="F36" s="187">
        <v>243.72400964127928</v>
      </c>
      <c r="G36" s="187"/>
      <c r="H36" s="188">
        <v>48.983534945390808</v>
      </c>
      <c r="I36" s="188">
        <v>48.894690177294805</v>
      </c>
      <c r="J36" s="188">
        <v>46.651003976088816</v>
      </c>
      <c r="K36" s="188">
        <v>46.861405382749254</v>
      </c>
      <c r="L36" s="187">
        <v>50.639873799695991</v>
      </c>
      <c r="M36" s="187"/>
      <c r="N36" s="188">
        <v>186.76844230653509</v>
      </c>
      <c r="O36" s="188">
        <v>186.42990018317741</v>
      </c>
      <c r="P36" s="188">
        <v>177.87506790345256</v>
      </c>
      <c r="Q36" s="188">
        <v>178.67737432448465</v>
      </c>
      <c r="R36" s="187">
        <v>193.08413584158328</v>
      </c>
      <c r="S36" s="187"/>
      <c r="T36" s="188">
        <v>0</v>
      </c>
      <c r="U36" s="188">
        <v>0</v>
      </c>
      <c r="V36" s="188">
        <v>0</v>
      </c>
      <c r="W36" s="188">
        <v>0</v>
      </c>
      <c r="X36" s="187">
        <v>0</v>
      </c>
      <c r="Y36" s="90" t="str">
        <f>$A$8</f>
        <v>15-19</v>
      </c>
      <c r="Z36" s="188">
        <v>83.569879527684336</v>
      </c>
      <c r="AA36" s="188">
        <v>82.526656420969161</v>
      </c>
      <c r="AB36" s="188">
        <v>84.494484512367791</v>
      </c>
      <c r="AC36" s="188">
        <v>90.946079800349651</v>
      </c>
      <c r="AD36" s="187">
        <v>105.28765306859901</v>
      </c>
      <c r="AE36" s="187"/>
      <c r="AF36" s="188">
        <v>82.46118212650282</v>
      </c>
      <c r="AG36" s="188">
        <v>81.431768542600082</v>
      </c>
      <c r="AH36" s="188">
        <v>83.373443742554031</v>
      </c>
      <c r="AI36" s="188">
        <v>89.739476773593154</v>
      </c>
      <c r="AJ36" s="187">
        <v>103.89079794445267</v>
      </c>
      <c r="AK36" s="187"/>
      <c r="AL36" s="188">
        <v>1.1086974011815047</v>
      </c>
      <c r="AM36" s="188">
        <v>1.0948878783690683</v>
      </c>
      <c r="AN36" s="188">
        <v>1.1210407698137705</v>
      </c>
      <c r="AO36" s="188">
        <v>1.2066030267565</v>
      </c>
      <c r="AP36" s="187">
        <v>1.3968551241463449</v>
      </c>
      <c r="AQ36" s="90" t="str">
        <f>$A$8</f>
        <v>15-19</v>
      </c>
      <c r="AR36" s="188">
        <v>0.12314322038975159</v>
      </c>
      <c r="AS36" s="188">
        <v>0.59775321855860108</v>
      </c>
      <c r="AT36" s="188">
        <v>1.4364436080908414</v>
      </c>
      <c r="AU36" s="188">
        <v>1.4711404924164426</v>
      </c>
      <c r="AV36" s="187">
        <v>1.6223372901217372</v>
      </c>
      <c r="AW36" s="187"/>
      <c r="AX36" s="188">
        <v>0.12314322038975159</v>
      </c>
      <c r="AY36" s="188">
        <v>0.59775321855860108</v>
      </c>
      <c r="AZ36" s="188">
        <v>1.4364436080908414</v>
      </c>
      <c r="BA36" s="188">
        <v>1.4711404924164426</v>
      </c>
      <c r="BB36" s="187">
        <v>1.6223372901217372</v>
      </c>
      <c r="BC36" s="187"/>
      <c r="BD36" s="188">
        <v>0</v>
      </c>
      <c r="BE36" s="188">
        <v>0</v>
      </c>
      <c r="BF36" s="188">
        <v>0</v>
      </c>
      <c r="BG36" s="188">
        <v>0</v>
      </c>
      <c r="BH36" s="187">
        <v>0</v>
      </c>
    </row>
    <row r="37" spans="1:60" x14ac:dyDescent="0.2">
      <c r="A37" s="90" t="str">
        <f>$A$9</f>
        <v>20-24</v>
      </c>
      <c r="B37" s="188">
        <v>51.28667688291447</v>
      </c>
      <c r="C37" s="188">
        <v>50.325615142463022</v>
      </c>
      <c r="D37" s="188">
        <v>41.617556806647421</v>
      </c>
      <c r="E37" s="188">
        <v>36.381749805465141</v>
      </c>
      <c r="F37" s="187">
        <v>33.131944227953063</v>
      </c>
      <c r="G37" s="187"/>
      <c r="H37" s="188">
        <v>18.958252611047016</v>
      </c>
      <c r="I37" s="188">
        <v>18.60303815545123</v>
      </c>
      <c r="J37" s="188">
        <v>15.38403685205089</v>
      </c>
      <c r="K37" s="188">
        <v>13.448615257113641</v>
      </c>
      <c r="L37" s="187">
        <v>12.247310379881396</v>
      </c>
      <c r="M37" s="187"/>
      <c r="N37" s="188">
        <v>32.328424271867455</v>
      </c>
      <c r="O37" s="188">
        <v>31.722576987011788</v>
      </c>
      <c r="P37" s="188">
        <v>26.233519954596538</v>
      </c>
      <c r="Q37" s="188">
        <v>22.9331345483515</v>
      </c>
      <c r="R37" s="187">
        <v>20.884633848071665</v>
      </c>
      <c r="S37" s="187"/>
      <c r="T37" s="188">
        <v>0</v>
      </c>
      <c r="U37" s="188">
        <v>0</v>
      </c>
      <c r="V37" s="188">
        <v>0</v>
      </c>
      <c r="W37" s="188">
        <v>0</v>
      </c>
      <c r="X37" s="187">
        <v>0</v>
      </c>
      <c r="Y37" s="90" t="str">
        <f>$A$9</f>
        <v>20-24</v>
      </c>
      <c r="Z37" s="188">
        <v>179.47599670013653</v>
      </c>
      <c r="AA37" s="188">
        <v>187.56758244877105</v>
      </c>
      <c r="AB37" s="188">
        <v>195.70388276755187</v>
      </c>
      <c r="AC37" s="188">
        <v>186.34405047249078</v>
      </c>
      <c r="AD37" s="187">
        <v>185.01228504909878</v>
      </c>
      <c r="AE37" s="187"/>
      <c r="AF37" s="188">
        <v>169.79137146665974</v>
      </c>
      <c r="AG37" s="188">
        <v>177.44629400726811</v>
      </c>
      <c r="AH37" s="188">
        <v>185.14356605643363</v>
      </c>
      <c r="AI37" s="188">
        <v>176.28878253096943</v>
      </c>
      <c r="AJ37" s="187">
        <v>175.02885632439069</v>
      </c>
      <c r="AK37" s="187"/>
      <c r="AL37" s="188">
        <v>9.6846252334768117</v>
      </c>
      <c r="AM37" s="188">
        <v>10.121288441502955</v>
      </c>
      <c r="AN37" s="188">
        <v>10.560316711118229</v>
      </c>
      <c r="AO37" s="188">
        <v>10.055267941521366</v>
      </c>
      <c r="AP37" s="187">
        <v>9.9834287247081175</v>
      </c>
      <c r="AQ37" s="90" t="str">
        <f>$A$9</f>
        <v>20-24</v>
      </c>
      <c r="AR37" s="188">
        <v>88.329326416949002</v>
      </c>
      <c r="AS37" s="188">
        <v>91.282802408765903</v>
      </c>
      <c r="AT37" s="188">
        <v>110.63256042580073</v>
      </c>
      <c r="AU37" s="188">
        <v>118.86519972204405</v>
      </c>
      <c r="AV37" s="187">
        <v>132.58977072294817</v>
      </c>
      <c r="AW37" s="187"/>
      <c r="AX37" s="188">
        <v>88.165028914454396</v>
      </c>
      <c r="AY37" s="188">
        <v>91.112930485790656</v>
      </c>
      <c r="AZ37" s="188">
        <v>110.42669182995489</v>
      </c>
      <c r="BA37" s="188">
        <v>118.644032109338</v>
      </c>
      <c r="BB37" s="187">
        <v>132.3431042203359</v>
      </c>
      <c r="BC37" s="187"/>
      <c r="BD37" s="188">
        <v>0.16429750249460409</v>
      </c>
      <c r="BE37" s="188">
        <v>0.16987192297524076</v>
      </c>
      <c r="BF37" s="188">
        <v>0.2058685958458471</v>
      </c>
      <c r="BG37" s="188">
        <v>0.2211676127060439</v>
      </c>
      <c r="BH37" s="187">
        <v>0.2466665026122716</v>
      </c>
    </row>
    <row r="38" spans="1:60" x14ac:dyDescent="0.2">
      <c r="A38" s="90" t="str">
        <f>$A$10</f>
        <v>25-29</v>
      </c>
      <c r="B38" s="188">
        <v>48.980336910061595</v>
      </c>
      <c r="C38" s="188">
        <v>58.029393144137778</v>
      </c>
      <c r="D38" s="188">
        <v>51.776100367683391</v>
      </c>
      <c r="E38" s="188">
        <v>49.053973946460331</v>
      </c>
      <c r="F38" s="187">
        <v>43.531243964596278</v>
      </c>
      <c r="G38" s="187"/>
      <c r="H38" s="188">
        <v>18.23204899869749</v>
      </c>
      <c r="I38" s="188">
        <v>21.600341017225613</v>
      </c>
      <c r="J38" s="188">
        <v>19.272660294510747</v>
      </c>
      <c r="K38" s="188">
        <v>18.259465614997644</v>
      </c>
      <c r="L38" s="187">
        <v>16.203686177787539</v>
      </c>
      <c r="M38" s="187"/>
      <c r="N38" s="188">
        <v>30.748287911364105</v>
      </c>
      <c r="O38" s="188">
        <v>36.429052126912168</v>
      </c>
      <c r="P38" s="188">
        <v>32.503440073172648</v>
      </c>
      <c r="Q38" s="188">
        <v>30.794508331462694</v>
      </c>
      <c r="R38" s="187">
        <v>27.32755778680874</v>
      </c>
      <c r="S38" s="187"/>
      <c r="T38" s="188">
        <v>0</v>
      </c>
      <c r="U38" s="188">
        <v>0</v>
      </c>
      <c r="V38" s="188">
        <v>0</v>
      </c>
      <c r="W38" s="188">
        <v>0</v>
      </c>
      <c r="X38" s="187">
        <v>0</v>
      </c>
      <c r="Y38" s="90" t="str">
        <f>$A$10</f>
        <v>25-29</v>
      </c>
      <c r="Z38" s="188">
        <v>127.78718872779281</v>
      </c>
      <c r="AA38" s="188">
        <v>119.37410820126239</v>
      </c>
      <c r="AB38" s="188">
        <v>118.02109899531821</v>
      </c>
      <c r="AC38" s="188">
        <v>118.58410734575391</v>
      </c>
      <c r="AD38" s="187">
        <v>111.69989644356696</v>
      </c>
      <c r="AE38" s="187"/>
      <c r="AF38" s="188">
        <v>117.06434284916277</v>
      </c>
      <c r="AG38" s="188">
        <v>109.35717668619014</v>
      </c>
      <c r="AH38" s="188">
        <v>108.11773722560081</v>
      </c>
      <c r="AI38" s="188">
        <v>108.63342670868553</v>
      </c>
      <c r="AJ38" s="187">
        <v>102.3269079217695</v>
      </c>
      <c r="AK38" s="187"/>
      <c r="AL38" s="188">
        <v>10.722845878630038</v>
      </c>
      <c r="AM38" s="188">
        <v>10.01693151507223</v>
      </c>
      <c r="AN38" s="188">
        <v>9.9033617697174048</v>
      </c>
      <c r="AO38" s="188">
        <v>9.9506806370683663</v>
      </c>
      <c r="AP38" s="187">
        <v>9.3729885217974456</v>
      </c>
      <c r="AQ38" s="90" t="str">
        <f>$A$10</f>
        <v>25-29</v>
      </c>
      <c r="AR38" s="188">
        <v>165.48947436214561</v>
      </c>
      <c r="AS38" s="188">
        <v>169.04449865459986</v>
      </c>
      <c r="AT38" s="188">
        <v>192.77780063699839</v>
      </c>
      <c r="AU38" s="188">
        <v>214.16091870778578</v>
      </c>
      <c r="AV38" s="187">
        <v>222.34985959183678</v>
      </c>
      <c r="AW38" s="187"/>
      <c r="AX38" s="188">
        <v>163.99516578961072</v>
      </c>
      <c r="AY38" s="188">
        <v>167.51816718569009</v>
      </c>
      <c r="AZ38" s="188">
        <v>191.03715957991898</v>
      </c>
      <c r="BA38" s="188">
        <v>212.22723208261212</v>
      </c>
      <c r="BB38" s="187">
        <v>220.34220948065195</v>
      </c>
      <c r="BC38" s="187"/>
      <c r="BD38" s="188">
        <v>1.4943085725348841</v>
      </c>
      <c r="BE38" s="188">
        <v>1.526331468909754</v>
      </c>
      <c r="BF38" s="188">
        <v>1.740641057079428</v>
      </c>
      <c r="BG38" s="188">
        <v>1.9336866251736855</v>
      </c>
      <c r="BH38" s="187">
        <v>2.0076501111848128</v>
      </c>
    </row>
    <row r="39" spans="1:60" x14ac:dyDescent="0.2">
      <c r="A39" s="90" t="str">
        <f>$A$11</f>
        <v>30-34</v>
      </c>
      <c r="B39" s="188">
        <v>48.351616200732686</v>
      </c>
      <c r="C39" s="188">
        <v>54.81450484456311</v>
      </c>
      <c r="D39" s="188">
        <v>52.150998553698685</v>
      </c>
      <c r="E39" s="188">
        <v>48.164476439532713</v>
      </c>
      <c r="F39" s="187">
        <v>40.226027639053598</v>
      </c>
      <c r="G39" s="187"/>
      <c r="H39" s="188">
        <v>20.247488689226163</v>
      </c>
      <c r="I39" s="188">
        <v>22.95380254002168</v>
      </c>
      <c r="J39" s="188">
        <v>21.838502656747391</v>
      </c>
      <c r="K39" s="188">
        <v>20.169083304063328</v>
      </c>
      <c r="L39" s="187">
        <v>16.844826452036404</v>
      </c>
      <c r="M39" s="187"/>
      <c r="N39" s="188">
        <v>28.104127511506523</v>
      </c>
      <c r="O39" s="188">
        <v>31.86070230454143</v>
      </c>
      <c r="P39" s="188">
        <v>30.312495896951297</v>
      </c>
      <c r="Q39" s="188">
        <v>27.995393135469385</v>
      </c>
      <c r="R39" s="187">
        <v>23.381201187017187</v>
      </c>
      <c r="S39" s="187"/>
      <c r="T39" s="188">
        <v>0</v>
      </c>
      <c r="U39" s="188">
        <v>0</v>
      </c>
      <c r="V39" s="188">
        <v>0</v>
      </c>
      <c r="W39" s="188">
        <v>0</v>
      </c>
      <c r="X39" s="187">
        <v>0</v>
      </c>
      <c r="Y39" s="90" t="str">
        <f>$A$11</f>
        <v>30-34</v>
      </c>
      <c r="Z39" s="188">
        <v>126.59052603481021</v>
      </c>
      <c r="AA39" s="188">
        <v>118.76404254564063</v>
      </c>
      <c r="AB39" s="188">
        <v>124.03995863874285</v>
      </c>
      <c r="AC39" s="188">
        <v>123.84674741528471</v>
      </c>
      <c r="AD39" s="187">
        <v>125.93134426917472</v>
      </c>
      <c r="AE39" s="187"/>
      <c r="AF39" s="188">
        <v>116.68034085440465</v>
      </c>
      <c r="AG39" s="188">
        <v>109.46652247600598</v>
      </c>
      <c r="AH39" s="188">
        <v>114.32946398888731</v>
      </c>
      <c r="AI39" s="188">
        <v>114.15134413116714</v>
      </c>
      <c r="AJ39" s="187">
        <v>116.0727553396063</v>
      </c>
      <c r="AK39" s="187"/>
      <c r="AL39" s="188">
        <v>9.9101851804055663</v>
      </c>
      <c r="AM39" s="188">
        <v>9.2975200696346505</v>
      </c>
      <c r="AN39" s="188">
        <v>9.7104946498555318</v>
      </c>
      <c r="AO39" s="188">
        <v>9.6954032841175852</v>
      </c>
      <c r="AP39" s="187">
        <v>9.8585889295684215</v>
      </c>
      <c r="AQ39" s="90" t="str">
        <f>$A$11</f>
        <v>30-34</v>
      </c>
      <c r="AR39" s="188">
        <v>165.33285776445709</v>
      </c>
      <c r="AS39" s="188">
        <v>173.27745260979628</v>
      </c>
      <c r="AT39" s="188">
        <v>193.84104280755847</v>
      </c>
      <c r="AU39" s="188">
        <v>212.88877614518256</v>
      </c>
      <c r="AV39" s="187">
        <v>239.55062809177167</v>
      </c>
      <c r="AW39" s="187"/>
      <c r="AX39" s="188">
        <v>163.54698646509576</v>
      </c>
      <c r="AY39" s="188">
        <v>171.40581210762247</v>
      </c>
      <c r="AZ39" s="188">
        <v>191.74726433199922</v>
      </c>
      <c r="BA39" s="188">
        <v>210.58921239342598</v>
      </c>
      <c r="BB39" s="187">
        <v>236.96312770820174</v>
      </c>
      <c r="BC39" s="187"/>
      <c r="BD39" s="188">
        <v>1.785871299361329</v>
      </c>
      <c r="BE39" s="188">
        <v>1.8716405021737883</v>
      </c>
      <c r="BF39" s="188">
        <v>2.0937784755592417</v>
      </c>
      <c r="BG39" s="188">
        <v>2.2995637517565553</v>
      </c>
      <c r="BH39" s="187">
        <v>2.587500383569969</v>
      </c>
    </row>
    <row r="40" spans="1:60" x14ac:dyDescent="0.2">
      <c r="A40" s="90" t="str">
        <f>$A$12</f>
        <v>35-39</v>
      </c>
      <c r="B40" s="188">
        <v>72.542037614782771</v>
      </c>
      <c r="C40" s="188">
        <v>65.06766726540738</v>
      </c>
      <c r="D40" s="188">
        <v>54.766784806672291</v>
      </c>
      <c r="E40" s="188">
        <v>45.523587094052431</v>
      </c>
      <c r="F40" s="187">
        <v>34.291330085724873</v>
      </c>
      <c r="G40" s="187"/>
      <c r="H40" s="188">
        <v>28.179422220811407</v>
      </c>
      <c r="I40" s="188">
        <v>25.275934699382731</v>
      </c>
      <c r="J40" s="188">
        <v>21.27450416950764</v>
      </c>
      <c r="K40" s="188">
        <v>17.683894029231208</v>
      </c>
      <c r="L40" s="187">
        <v>13.320662566860962</v>
      </c>
      <c r="M40" s="187"/>
      <c r="N40" s="188">
        <v>44.362615393971375</v>
      </c>
      <c r="O40" s="188">
        <v>39.791732566024642</v>
      </c>
      <c r="P40" s="188">
        <v>33.492280637164654</v>
      </c>
      <c r="Q40" s="188">
        <v>27.839693064821223</v>
      </c>
      <c r="R40" s="187">
        <v>20.97066751886392</v>
      </c>
      <c r="S40" s="187"/>
      <c r="T40" s="188">
        <v>0</v>
      </c>
      <c r="U40" s="188">
        <v>0</v>
      </c>
      <c r="V40" s="188">
        <v>0</v>
      </c>
      <c r="W40" s="188">
        <v>0</v>
      </c>
      <c r="X40" s="187">
        <v>0</v>
      </c>
      <c r="Y40" s="90" t="str">
        <f>$A$12</f>
        <v>35-39</v>
      </c>
      <c r="Z40" s="188">
        <v>150.0126567417164</v>
      </c>
      <c r="AA40" s="188">
        <v>135.68236231505094</v>
      </c>
      <c r="AB40" s="188">
        <v>124.7291826751361</v>
      </c>
      <c r="AC40" s="188">
        <v>129.47197272823703</v>
      </c>
      <c r="AD40" s="187">
        <v>133.15322905166937</v>
      </c>
      <c r="AE40" s="187"/>
      <c r="AF40" s="188">
        <v>140.37576984147361</v>
      </c>
      <c r="AG40" s="188">
        <v>126.96602473402704</v>
      </c>
      <c r="AH40" s="188">
        <v>116.71649206662644</v>
      </c>
      <c r="AI40" s="188">
        <v>121.15460882835858</v>
      </c>
      <c r="AJ40" s="187">
        <v>124.59942116921782</v>
      </c>
      <c r="AK40" s="187"/>
      <c r="AL40" s="188">
        <v>9.6368869002428053</v>
      </c>
      <c r="AM40" s="188">
        <v>8.7163375810238843</v>
      </c>
      <c r="AN40" s="188">
        <v>8.0126906085096579</v>
      </c>
      <c r="AO40" s="188">
        <v>8.3173638998784618</v>
      </c>
      <c r="AP40" s="187">
        <v>8.5538078824515384</v>
      </c>
      <c r="AQ40" s="90" t="str">
        <f>$A$12</f>
        <v>35-39</v>
      </c>
      <c r="AR40" s="188">
        <v>154.06830564350082</v>
      </c>
      <c r="AS40" s="188">
        <v>168.96597041954166</v>
      </c>
      <c r="AT40" s="188">
        <v>183.46103251819156</v>
      </c>
      <c r="AU40" s="188">
        <v>208.70844017771051</v>
      </c>
      <c r="AV40" s="187">
        <v>232.21144086260571</v>
      </c>
      <c r="AW40" s="187"/>
      <c r="AX40" s="188">
        <v>152.29837009196677</v>
      </c>
      <c r="AY40" s="188">
        <v>167.02491938857551</v>
      </c>
      <c r="AZ40" s="188">
        <v>181.35346640367695</v>
      </c>
      <c r="BA40" s="188">
        <v>206.31083395767615</v>
      </c>
      <c r="BB40" s="187">
        <v>229.54383629553598</v>
      </c>
      <c r="BC40" s="187"/>
      <c r="BD40" s="188">
        <v>1.7699355515340602</v>
      </c>
      <c r="BE40" s="188">
        <v>1.9410510309661682</v>
      </c>
      <c r="BF40" s="188">
        <v>2.1075661145145714</v>
      </c>
      <c r="BG40" s="188">
        <v>2.3976062200343793</v>
      </c>
      <c r="BH40" s="187">
        <v>2.6676045670697208</v>
      </c>
    </row>
    <row r="41" spans="1:60" x14ac:dyDescent="0.2">
      <c r="A41" s="90" t="str">
        <f>$A$13</f>
        <v>40-44</v>
      </c>
      <c r="B41" s="188">
        <v>95.592148824351668</v>
      </c>
      <c r="C41" s="188">
        <v>82.616320455715311</v>
      </c>
      <c r="D41" s="188">
        <v>65.715939292358911</v>
      </c>
      <c r="E41" s="188">
        <v>45.625343125830476</v>
      </c>
      <c r="F41" s="187">
        <v>32.319365015981639</v>
      </c>
      <c r="G41" s="187"/>
      <c r="H41" s="188">
        <v>37.546766551729547</v>
      </c>
      <c r="I41" s="188">
        <v>32.450059589071273</v>
      </c>
      <c r="J41" s="188">
        <v>25.811957711373253</v>
      </c>
      <c r="K41" s="188">
        <v>17.920731648709907</v>
      </c>
      <c r="L41" s="187">
        <v>12.694407857730498</v>
      </c>
      <c r="M41" s="187"/>
      <c r="N41" s="188">
        <v>58.045382272622113</v>
      </c>
      <c r="O41" s="188">
        <v>50.166260866644031</v>
      </c>
      <c r="P41" s="188">
        <v>39.903981580985658</v>
      </c>
      <c r="Q41" s="188">
        <v>27.704611477120565</v>
      </c>
      <c r="R41" s="187">
        <v>19.624957158251146</v>
      </c>
      <c r="S41" s="187"/>
      <c r="T41" s="188">
        <v>0</v>
      </c>
      <c r="U41" s="188">
        <v>0</v>
      </c>
      <c r="V41" s="188">
        <v>0</v>
      </c>
      <c r="W41" s="188">
        <v>0</v>
      </c>
      <c r="X41" s="187">
        <v>0</v>
      </c>
      <c r="Y41" s="90" t="str">
        <f>$A$13</f>
        <v>40-44</v>
      </c>
      <c r="Z41" s="188">
        <v>162.09391868766315</v>
      </c>
      <c r="AA41" s="188">
        <v>149.15249146976197</v>
      </c>
      <c r="AB41" s="188">
        <v>139.74715456529819</v>
      </c>
      <c r="AC41" s="188">
        <v>140.1664801116975</v>
      </c>
      <c r="AD41" s="187">
        <v>150.93061003653065</v>
      </c>
      <c r="AE41" s="187"/>
      <c r="AF41" s="188">
        <v>153.25080642376565</v>
      </c>
      <c r="AG41" s="188">
        <v>141.01546291821501</v>
      </c>
      <c r="AH41" s="188">
        <v>132.12323273689802</v>
      </c>
      <c r="AI41" s="188">
        <v>132.51964992616811</v>
      </c>
      <c r="AJ41" s="187">
        <v>142.69650407013222</v>
      </c>
      <c r="AK41" s="187"/>
      <c r="AL41" s="188">
        <v>8.8431122638974973</v>
      </c>
      <c r="AM41" s="188">
        <v>8.1370285515469902</v>
      </c>
      <c r="AN41" s="188">
        <v>7.6239218284001815</v>
      </c>
      <c r="AO41" s="188">
        <v>7.6468301855293674</v>
      </c>
      <c r="AP41" s="187">
        <v>8.2341059663984471</v>
      </c>
      <c r="AQ41" s="90" t="str">
        <f>$A$13</f>
        <v>40-44</v>
      </c>
      <c r="AR41" s="188">
        <v>142.30393248798518</v>
      </c>
      <c r="AS41" s="188">
        <v>157.16218807452273</v>
      </c>
      <c r="AT41" s="188">
        <v>174.12990614234292</v>
      </c>
      <c r="AU41" s="188">
        <v>185.34617676247206</v>
      </c>
      <c r="AV41" s="187">
        <v>209.35902494748774</v>
      </c>
      <c r="AW41" s="187"/>
      <c r="AX41" s="188">
        <v>140.61932188279332</v>
      </c>
      <c r="AY41" s="188">
        <v>155.30162565099377</v>
      </c>
      <c r="AZ41" s="188">
        <v>172.06854465783039</v>
      </c>
      <c r="BA41" s="188">
        <v>183.15203689418161</v>
      </c>
      <c r="BB41" s="187">
        <v>206.8805346793352</v>
      </c>
      <c r="BC41" s="187"/>
      <c r="BD41" s="188">
        <v>1.6846106051918688</v>
      </c>
      <c r="BE41" s="188">
        <v>1.8605624235289417</v>
      </c>
      <c r="BF41" s="188">
        <v>2.061361484512561</v>
      </c>
      <c r="BG41" s="188">
        <v>2.1941398682904496</v>
      </c>
      <c r="BH41" s="187">
        <v>2.4784902681525449</v>
      </c>
    </row>
    <row r="42" spans="1:60" x14ac:dyDescent="0.2">
      <c r="A42" s="90" t="str">
        <f>$A$14</f>
        <v>45-49</v>
      </c>
      <c r="B42" s="188">
        <v>121.60001747416324</v>
      </c>
      <c r="C42" s="188">
        <v>119.25515350242472</v>
      </c>
      <c r="D42" s="188">
        <v>78.884619183002073</v>
      </c>
      <c r="E42" s="188">
        <v>54.824500970236151</v>
      </c>
      <c r="F42" s="187">
        <v>37.259131610277123</v>
      </c>
      <c r="G42" s="187"/>
      <c r="H42" s="188">
        <v>52.054388742127969</v>
      </c>
      <c r="I42" s="188">
        <v>51.050559464587302</v>
      </c>
      <c r="J42" s="188">
        <v>33.768780739827292</v>
      </c>
      <c r="K42" s="188">
        <v>23.469200966687755</v>
      </c>
      <c r="L42" s="187">
        <v>15.949827829172355</v>
      </c>
      <c r="M42" s="187"/>
      <c r="N42" s="188">
        <v>69.545628732035269</v>
      </c>
      <c r="O42" s="188">
        <v>68.20459403783741</v>
      </c>
      <c r="P42" s="188">
        <v>45.115838443174781</v>
      </c>
      <c r="Q42" s="188">
        <v>31.355300003548397</v>
      </c>
      <c r="R42" s="187">
        <v>21.309303781104767</v>
      </c>
      <c r="S42" s="187"/>
      <c r="T42" s="188">
        <v>0</v>
      </c>
      <c r="U42" s="188">
        <v>0</v>
      </c>
      <c r="V42" s="188">
        <v>0</v>
      </c>
      <c r="W42" s="188">
        <v>0</v>
      </c>
      <c r="X42" s="187">
        <v>0</v>
      </c>
      <c r="Y42" s="90" t="str">
        <f>$A$14</f>
        <v>45-49</v>
      </c>
      <c r="Z42" s="188">
        <v>149.19037176042775</v>
      </c>
      <c r="AA42" s="188">
        <v>147.02780307619315</v>
      </c>
      <c r="AB42" s="188">
        <v>157.07832682690201</v>
      </c>
      <c r="AC42" s="188">
        <v>161.18355055313589</v>
      </c>
      <c r="AD42" s="187">
        <v>163.5645829534713</v>
      </c>
      <c r="AE42" s="187"/>
      <c r="AF42" s="188">
        <v>141.73208428692129</v>
      </c>
      <c r="AG42" s="188">
        <v>139.67761552454377</v>
      </c>
      <c r="AH42" s="188">
        <v>149.22576147745451</v>
      </c>
      <c r="AI42" s="188">
        <v>153.12567731056208</v>
      </c>
      <c r="AJ42" s="187">
        <v>155.38774863532086</v>
      </c>
      <c r="AK42" s="187"/>
      <c r="AL42" s="188">
        <v>7.4582874735064566</v>
      </c>
      <c r="AM42" s="188">
        <v>7.350187551649368</v>
      </c>
      <c r="AN42" s="188">
        <v>7.852565349447544</v>
      </c>
      <c r="AO42" s="188">
        <v>8.0578732425738266</v>
      </c>
      <c r="AP42" s="187">
        <v>8.1768343181504513</v>
      </c>
      <c r="AQ42" s="90" t="str">
        <f>$A$14</f>
        <v>45-49</v>
      </c>
      <c r="AR42" s="188">
        <v>127.15261076540904</v>
      </c>
      <c r="AS42" s="188">
        <v>139.95804342138214</v>
      </c>
      <c r="AT42" s="188">
        <v>158.0250539900959</v>
      </c>
      <c r="AU42" s="188">
        <v>167.70994847662797</v>
      </c>
      <c r="AV42" s="187">
        <v>175.15628543625161</v>
      </c>
      <c r="AW42" s="187"/>
      <c r="AX42" s="188">
        <v>125.59964483820595</v>
      </c>
      <c r="AY42" s="188">
        <v>138.24869825890119</v>
      </c>
      <c r="AZ42" s="188">
        <v>156.09507742676459</v>
      </c>
      <c r="BA42" s="188">
        <v>165.66165535163051</v>
      </c>
      <c r="BB42" s="187">
        <v>173.01706017357083</v>
      </c>
      <c r="BC42" s="187"/>
      <c r="BD42" s="188">
        <v>1.5529659272030856</v>
      </c>
      <c r="BE42" s="188">
        <v>1.7093451624809444</v>
      </c>
      <c r="BF42" s="188">
        <v>1.9299765633313342</v>
      </c>
      <c r="BG42" s="188">
        <v>2.0482931249974619</v>
      </c>
      <c r="BH42" s="187">
        <v>2.1392252626807844</v>
      </c>
    </row>
    <row r="43" spans="1:60" x14ac:dyDescent="0.2">
      <c r="A43" s="90" t="str">
        <f>$A$15</f>
        <v>50-54</v>
      </c>
      <c r="B43" s="188">
        <v>151.76046321416865</v>
      </c>
      <c r="C43" s="188">
        <v>142.31942173288223</v>
      </c>
      <c r="D43" s="188">
        <v>119.93293116047923</v>
      </c>
      <c r="E43" s="188">
        <v>88.171156371964599</v>
      </c>
      <c r="F43" s="187">
        <v>63.180524219714144</v>
      </c>
      <c r="G43" s="187"/>
      <c r="H43" s="188">
        <v>72.199699301024509</v>
      </c>
      <c r="I43" s="188">
        <v>67.708117557824508</v>
      </c>
      <c r="J43" s="188">
        <v>57.057834143300127</v>
      </c>
      <c r="K43" s="188">
        <v>41.9472270479773</v>
      </c>
      <c r="L43" s="187">
        <v>30.058003326770649</v>
      </c>
      <c r="M43" s="187"/>
      <c r="N43" s="188">
        <v>79.560763913144157</v>
      </c>
      <c r="O43" s="188">
        <v>74.611304175057768</v>
      </c>
      <c r="P43" s="188">
        <v>62.875097017179108</v>
      </c>
      <c r="Q43" s="188">
        <v>46.223929323987292</v>
      </c>
      <c r="R43" s="187">
        <v>33.122520892943498</v>
      </c>
      <c r="S43" s="187"/>
      <c r="T43" s="188">
        <v>0</v>
      </c>
      <c r="U43" s="188">
        <v>0</v>
      </c>
      <c r="V43" s="188">
        <v>0</v>
      </c>
      <c r="W43" s="188">
        <v>0</v>
      </c>
      <c r="X43" s="187">
        <v>0</v>
      </c>
      <c r="Y43" s="90" t="str">
        <f>$A$15</f>
        <v>50-54</v>
      </c>
      <c r="Z43" s="188">
        <v>124.24614829379526</v>
      </c>
      <c r="AA43" s="188">
        <v>130.25908800461309</v>
      </c>
      <c r="AB43" s="188">
        <v>149.14503167899258</v>
      </c>
      <c r="AC43" s="188">
        <v>157.9913676435533</v>
      </c>
      <c r="AD43" s="187">
        <v>164.67380902817911</v>
      </c>
      <c r="AE43" s="187"/>
      <c r="AF43" s="188">
        <v>117.87817168097233</v>
      </c>
      <c r="AG43" s="188">
        <v>123.5828772613132</v>
      </c>
      <c r="AH43" s="188">
        <v>141.50083699823233</v>
      </c>
      <c r="AI43" s="188">
        <v>149.89384905562815</v>
      </c>
      <c r="AJ43" s="187">
        <v>156.23374286788874</v>
      </c>
      <c r="AK43" s="187"/>
      <c r="AL43" s="188">
        <v>6.3679766128229192</v>
      </c>
      <c r="AM43" s="188">
        <v>6.6762107432998921</v>
      </c>
      <c r="AN43" s="188">
        <v>7.6441946807602736</v>
      </c>
      <c r="AO43" s="188">
        <v>8.0975185879251441</v>
      </c>
      <c r="AP43" s="187">
        <v>8.4400661602903408</v>
      </c>
      <c r="AQ43" s="90" t="str">
        <f>$A$15</f>
        <v>50-54</v>
      </c>
      <c r="AR43" s="188">
        <v>92.988388492036123</v>
      </c>
      <c r="AS43" s="188">
        <v>110.77949026250468</v>
      </c>
      <c r="AT43" s="188">
        <v>137.77303716052822</v>
      </c>
      <c r="AU43" s="188">
        <v>148.29147598448213</v>
      </c>
      <c r="AV43" s="187">
        <v>157.07466675210676</v>
      </c>
      <c r="AW43" s="187"/>
      <c r="AX43" s="188">
        <v>92.202593366663635</v>
      </c>
      <c r="AY43" s="188">
        <v>109.84331382664183</v>
      </c>
      <c r="AZ43" s="188">
        <v>136.60872759410435</v>
      </c>
      <c r="BA43" s="188">
        <v>147.03823447333156</v>
      </c>
      <c r="BB43" s="187">
        <v>155.74724028806634</v>
      </c>
      <c r="BC43" s="187"/>
      <c r="BD43" s="188">
        <v>0.78579512537246932</v>
      </c>
      <c r="BE43" s="188">
        <v>0.93617643586283261</v>
      </c>
      <c r="BF43" s="188">
        <v>1.1643095664238496</v>
      </c>
      <c r="BG43" s="188">
        <v>1.2532415111505675</v>
      </c>
      <c r="BH43" s="187">
        <v>1.3274264640404241</v>
      </c>
    </row>
    <row r="44" spans="1:60" x14ac:dyDescent="0.2">
      <c r="A44" s="90" t="str">
        <f>$A$16</f>
        <v>55-59</v>
      </c>
      <c r="B44" s="188">
        <v>164.06581424258854</v>
      </c>
      <c r="C44" s="188">
        <v>150.69890471648134</v>
      </c>
      <c r="D44" s="188">
        <v>139.62009278798115</v>
      </c>
      <c r="E44" s="188">
        <v>115.66738771483223</v>
      </c>
      <c r="F44" s="187">
        <v>84.578879253283077</v>
      </c>
      <c r="G44" s="187"/>
      <c r="H44" s="188">
        <v>83.472280270866776</v>
      </c>
      <c r="I44" s="188">
        <v>76.671543299949803</v>
      </c>
      <c r="J44" s="188">
        <v>71.034930306068375</v>
      </c>
      <c r="K44" s="188">
        <v>58.848447605981825</v>
      </c>
      <c r="L44" s="187">
        <v>43.031510173276651</v>
      </c>
      <c r="M44" s="187"/>
      <c r="N44" s="188">
        <v>80.593533971721769</v>
      </c>
      <c r="O44" s="188">
        <v>74.027361416531534</v>
      </c>
      <c r="P44" s="188">
        <v>68.585162481912789</v>
      </c>
      <c r="Q44" s="188">
        <v>56.818940108850398</v>
      </c>
      <c r="R44" s="187">
        <v>41.547369080006419</v>
      </c>
      <c r="S44" s="187"/>
      <c r="T44" s="188">
        <v>0</v>
      </c>
      <c r="U44" s="188">
        <v>0</v>
      </c>
      <c r="V44" s="188">
        <v>0</v>
      </c>
      <c r="W44" s="188">
        <v>0</v>
      </c>
      <c r="X44" s="187">
        <v>0</v>
      </c>
      <c r="Y44" s="90" t="str">
        <f>$A$16</f>
        <v>55-59</v>
      </c>
      <c r="Z44" s="188">
        <v>103.85146408829428</v>
      </c>
      <c r="AA44" s="188">
        <v>105.31706169001831</v>
      </c>
      <c r="AB44" s="188">
        <v>133.62564527254057</v>
      </c>
      <c r="AC44" s="188">
        <v>158.51241512029338</v>
      </c>
      <c r="AD44" s="187">
        <v>167.67684572688086</v>
      </c>
      <c r="AE44" s="187"/>
      <c r="AF44" s="188">
        <v>97.635306286684369</v>
      </c>
      <c r="AG44" s="188">
        <v>99.013227711577329</v>
      </c>
      <c r="AH44" s="188">
        <v>125.62736470938835</v>
      </c>
      <c r="AI44" s="188">
        <v>149.02451048118331</v>
      </c>
      <c r="AJ44" s="187">
        <v>157.64040037339234</v>
      </c>
      <c r="AK44" s="187"/>
      <c r="AL44" s="188">
        <v>6.2161578016099055</v>
      </c>
      <c r="AM44" s="188">
        <v>6.3038339784409745</v>
      </c>
      <c r="AN44" s="188">
        <v>7.9982805631522167</v>
      </c>
      <c r="AO44" s="188">
        <v>9.4879046391100914</v>
      </c>
      <c r="AP44" s="187">
        <v>10.036445353488508</v>
      </c>
      <c r="AQ44" s="90" t="str">
        <f>$A$16</f>
        <v>55-59</v>
      </c>
      <c r="AR44" s="188">
        <v>71.118721669117207</v>
      </c>
      <c r="AS44" s="188">
        <v>89.960033593500384</v>
      </c>
      <c r="AT44" s="188">
        <v>106.67026193947827</v>
      </c>
      <c r="AU44" s="188">
        <v>129.27319716487438</v>
      </c>
      <c r="AV44" s="187">
        <v>139.76427501983605</v>
      </c>
      <c r="AW44" s="187"/>
      <c r="AX44" s="188">
        <v>70.361656937121666</v>
      </c>
      <c r="AY44" s="188">
        <v>89.002383349993565</v>
      </c>
      <c r="AZ44" s="188">
        <v>105.53473797538304</v>
      </c>
      <c r="BA44" s="188">
        <v>127.89702319588957</v>
      </c>
      <c r="BB44" s="187">
        <v>138.27638669068557</v>
      </c>
      <c r="BC44" s="187"/>
      <c r="BD44" s="188">
        <v>0.75706473199554847</v>
      </c>
      <c r="BE44" s="188">
        <v>0.95765024350680805</v>
      </c>
      <c r="BF44" s="188">
        <v>1.1355239640952357</v>
      </c>
      <c r="BG44" s="188">
        <v>1.3761739689848116</v>
      </c>
      <c r="BH44" s="187">
        <v>1.4878883291504774</v>
      </c>
    </row>
    <row r="45" spans="1:60" x14ac:dyDescent="0.2">
      <c r="A45" s="90" t="str">
        <f>$A$17</f>
        <v>60-64</v>
      </c>
      <c r="B45" s="188">
        <v>165.06537455422799</v>
      </c>
      <c r="C45" s="188">
        <v>167.88674816060211</v>
      </c>
      <c r="D45" s="188">
        <v>145.42540941137864</v>
      </c>
      <c r="E45" s="188">
        <v>125.57390015162404</v>
      </c>
      <c r="F45" s="187">
        <v>98.802245415285199</v>
      </c>
      <c r="G45" s="187"/>
      <c r="H45" s="188">
        <v>93.553123450841682</v>
      </c>
      <c r="I45" s="188">
        <v>95.15219797521867</v>
      </c>
      <c r="J45" s="188">
        <v>82.421896218232547</v>
      </c>
      <c r="K45" s="188">
        <v>71.170799052200323</v>
      </c>
      <c r="L45" s="187">
        <v>55.997543894228997</v>
      </c>
      <c r="M45" s="187"/>
      <c r="N45" s="188">
        <v>71.512251103386319</v>
      </c>
      <c r="O45" s="188">
        <v>72.734550185383426</v>
      </c>
      <c r="P45" s="188">
        <v>63.003513193146112</v>
      </c>
      <c r="Q45" s="188">
        <v>54.403101099423715</v>
      </c>
      <c r="R45" s="187">
        <v>42.804701521056209</v>
      </c>
      <c r="S45" s="187"/>
      <c r="T45" s="188">
        <v>0</v>
      </c>
      <c r="U45" s="188">
        <v>0</v>
      </c>
      <c r="V45" s="188">
        <v>0</v>
      </c>
      <c r="W45" s="188">
        <v>0</v>
      </c>
      <c r="X45" s="187">
        <v>0</v>
      </c>
      <c r="Y45" s="90" t="str">
        <f>$A$17</f>
        <v>60-64</v>
      </c>
      <c r="Z45" s="188">
        <v>78.364072036445037</v>
      </c>
      <c r="AA45" s="188">
        <v>85.048861618755822</v>
      </c>
      <c r="AB45" s="188">
        <v>109.18459242485633</v>
      </c>
      <c r="AC45" s="188">
        <v>137.4151283547578</v>
      </c>
      <c r="AD45" s="187">
        <v>160.29275934647907</v>
      </c>
      <c r="AE45" s="187"/>
      <c r="AF45" s="188">
        <v>73.870615721664365</v>
      </c>
      <c r="AG45" s="188">
        <v>80.172077906886543</v>
      </c>
      <c r="AH45" s="188">
        <v>102.92385352478725</v>
      </c>
      <c r="AI45" s="188">
        <v>129.53569602307752</v>
      </c>
      <c r="AJ45" s="187">
        <v>151.10146214371721</v>
      </c>
      <c r="AK45" s="187"/>
      <c r="AL45" s="188">
        <v>4.4934563147806799</v>
      </c>
      <c r="AM45" s="188">
        <v>4.8767837118692912</v>
      </c>
      <c r="AN45" s="188">
        <v>6.2607389000690823</v>
      </c>
      <c r="AO45" s="188">
        <v>7.8794323316802695</v>
      </c>
      <c r="AP45" s="187">
        <v>9.191297202761854</v>
      </c>
      <c r="AQ45" s="90" t="str">
        <f>$A$17</f>
        <v>60-64</v>
      </c>
      <c r="AR45" s="188">
        <v>56.310553409327007</v>
      </c>
      <c r="AS45" s="188">
        <v>67.870390220642065</v>
      </c>
      <c r="AT45" s="188">
        <v>84.024998163765019</v>
      </c>
      <c r="AU45" s="188">
        <v>110.21797149361819</v>
      </c>
      <c r="AV45" s="187">
        <v>138.11699523823569</v>
      </c>
      <c r="AW45" s="187"/>
      <c r="AX45" s="188">
        <v>55.169107221716523</v>
      </c>
      <c r="AY45" s="188">
        <v>66.494660625358861</v>
      </c>
      <c r="AZ45" s="188">
        <v>82.321847901242236</v>
      </c>
      <c r="BA45" s="188">
        <v>107.98385950823412</v>
      </c>
      <c r="BB45" s="187">
        <v>135.3173815226985</v>
      </c>
      <c r="BC45" s="187"/>
      <c r="BD45" s="188">
        <v>1.1414461876104915</v>
      </c>
      <c r="BE45" s="188">
        <v>1.375729595283202</v>
      </c>
      <c r="BF45" s="188">
        <v>1.7031502625227839</v>
      </c>
      <c r="BG45" s="188">
        <v>2.2341119853840721</v>
      </c>
      <c r="BH45" s="187">
        <v>2.7996137155371672</v>
      </c>
    </row>
    <row r="46" spans="1:60" x14ac:dyDescent="0.2">
      <c r="A46" s="90" t="str">
        <f>$A$18</f>
        <v>65+</v>
      </c>
      <c r="B46" s="188">
        <v>684.22019433015396</v>
      </c>
      <c r="C46" s="188">
        <v>659.7220549729019</v>
      </c>
      <c r="D46" s="188">
        <v>597.6874930135458</v>
      </c>
      <c r="E46" s="188">
        <v>516.4377556390009</v>
      </c>
      <c r="F46" s="187">
        <v>432.27609064150056</v>
      </c>
      <c r="G46" s="189"/>
      <c r="H46" s="188">
        <v>489.85248018008991</v>
      </c>
      <c r="I46" s="188">
        <v>472.31354432994846</v>
      </c>
      <c r="J46" s="188">
        <v>427.90128288186639</v>
      </c>
      <c r="K46" s="188">
        <v>369.73229781992757</v>
      </c>
      <c r="L46" s="187">
        <v>309.47859548147727</v>
      </c>
      <c r="M46" s="189"/>
      <c r="N46" s="188">
        <v>194.3677141500641</v>
      </c>
      <c r="O46" s="188">
        <v>187.40851064295344</v>
      </c>
      <c r="P46" s="188">
        <v>169.78621013167941</v>
      </c>
      <c r="Q46" s="188">
        <v>146.70545781907333</v>
      </c>
      <c r="R46" s="187">
        <v>122.79749516002329</v>
      </c>
      <c r="S46" s="189"/>
      <c r="T46" s="189">
        <v>0</v>
      </c>
      <c r="U46" s="189">
        <v>0</v>
      </c>
      <c r="V46" s="189">
        <v>0</v>
      </c>
      <c r="W46" s="189">
        <v>0</v>
      </c>
      <c r="X46" s="189">
        <v>0</v>
      </c>
      <c r="Y46" s="90" t="str">
        <f>$A$18</f>
        <v>65+</v>
      </c>
      <c r="Z46" s="188">
        <v>229.30721305756543</v>
      </c>
      <c r="AA46" s="188">
        <v>242.95644971788712</v>
      </c>
      <c r="AB46" s="188">
        <v>324.13328439256134</v>
      </c>
      <c r="AC46" s="188">
        <v>392.98454329955848</v>
      </c>
      <c r="AD46" s="187">
        <v>471.20711273861792</v>
      </c>
      <c r="AE46" s="189"/>
      <c r="AF46" s="188">
        <v>216.90901867585666</v>
      </c>
      <c r="AG46" s="188">
        <v>229.82037680573097</v>
      </c>
      <c r="AH46" s="188">
        <v>306.60805056907492</v>
      </c>
      <c r="AI46" s="188">
        <v>371.73671710382393</v>
      </c>
      <c r="AJ46" s="187">
        <v>445.72999049974806</v>
      </c>
      <c r="AK46" s="189"/>
      <c r="AL46" s="188">
        <v>12.398194381708771</v>
      </c>
      <c r="AM46" s="188">
        <v>13.136072912156155</v>
      </c>
      <c r="AN46" s="188">
        <v>17.525233823486392</v>
      </c>
      <c r="AO46" s="188">
        <v>21.247826195734497</v>
      </c>
      <c r="AP46" s="187">
        <v>25.477122238869928</v>
      </c>
      <c r="AQ46" s="90" t="str">
        <f>$A$18</f>
        <v>65+</v>
      </c>
      <c r="AR46" s="188">
        <v>145.26459261228058</v>
      </c>
      <c r="AS46" s="188">
        <v>173.26549530921105</v>
      </c>
      <c r="AT46" s="188">
        <v>233.46822259389299</v>
      </c>
      <c r="AU46" s="188">
        <v>332.65670106144069</v>
      </c>
      <c r="AV46" s="187">
        <v>456.31479661988146</v>
      </c>
      <c r="AW46" s="189"/>
      <c r="AX46" s="188">
        <v>143.74209408925086</v>
      </c>
      <c r="AY46" s="188">
        <v>171.44937059191324</v>
      </c>
      <c r="AZ46" s="188">
        <v>231.02121966409953</v>
      </c>
      <c r="BA46" s="188">
        <v>329.17005716327628</v>
      </c>
      <c r="BB46" s="187">
        <v>451.53195718650386</v>
      </c>
      <c r="BC46" s="189"/>
      <c r="BD46" s="188">
        <v>1.5224985230297139</v>
      </c>
      <c r="BE46" s="188">
        <v>1.8161247172978172</v>
      </c>
      <c r="BF46" s="188">
        <v>2.4470029297934355</v>
      </c>
      <c r="BG46" s="188">
        <v>3.4866438981643779</v>
      </c>
      <c r="BH46" s="187">
        <v>4.7828394333776503</v>
      </c>
    </row>
    <row r="47" spans="1:60" x14ac:dyDescent="0.2">
      <c r="A47" s="95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Y47" s="95"/>
      <c r="Z47" s="190"/>
      <c r="AA47" s="190"/>
      <c r="AB47" s="190"/>
      <c r="AC47" s="190"/>
      <c r="AD47" s="190"/>
      <c r="AE47" s="190"/>
      <c r="AF47" s="190"/>
      <c r="AG47" s="190"/>
      <c r="AH47" s="190"/>
      <c r="AI47" s="190"/>
      <c r="AJ47" s="190"/>
      <c r="AK47" s="190"/>
      <c r="AL47" s="190"/>
      <c r="AM47" s="190"/>
      <c r="AN47" s="190"/>
      <c r="AO47" s="190"/>
      <c r="AP47" s="190"/>
      <c r="AQ47" s="95"/>
      <c r="AR47" s="190"/>
      <c r="AS47" s="190"/>
      <c r="AT47" s="190"/>
      <c r="AU47" s="190"/>
      <c r="AV47" s="190"/>
      <c r="AW47" s="190"/>
      <c r="AX47" s="190"/>
      <c r="AY47" s="190"/>
      <c r="AZ47" s="190"/>
      <c r="BA47" s="190"/>
      <c r="BB47" s="190"/>
      <c r="BC47" s="190"/>
      <c r="BD47" s="190"/>
      <c r="BE47" s="190"/>
      <c r="BF47" s="190"/>
      <c r="BG47" s="190"/>
      <c r="BH47" s="190"/>
    </row>
    <row r="48" spans="1:60" x14ac:dyDescent="0.2">
      <c r="B48" s="93"/>
      <c r="C48" s="93"/>
      <c r="D48" s="93"/>
      <c r="E48" s="93"/>
      <c r="Z48" s="93"/>
      <c r="AA48" s="93"/>
      <c r="AB48" s="93"/>
      <c r="AC48" s="93"/>
      <c r="AR48" s="93"/>
      <c r="AS48" s="93"/>
      <c r="AT48" s="93"/>
      <c r="AU48" s="93"/>
    </row>
    <row r="49" spans="1:60" ht="15.75" x14ac:dyDescent="0.25">
      <c r="A49" s="18" t="str">
        <f>CONCATENATE("Basic Table 2b  Labour Force by Gender, Age Group and ISCED Qualification, ",Info!B8,", ",$B$5,"-",$F$5)</f>
        <v>Basic Table 2b  Labour Force by Gender, Age Group and ISCED Qualification, , 2008-2025</v>
      </c>
      <c r="Y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1" t="s">
        <v>13</v>
      </c>
      <c r="X50" s="381"/>
      <c r="AP50" s="182" t="str">
        <f>AP2</f>
        <v>Levels (000s)</v>
      </c>
      <c r="BH50" s="182" t="str">
        <f>BH2</f>
        <v>Levels (000s)</v>
      </c>
    </row>
    <row r="51" spans="1:60" x14ac:dyDescent="0.2">
      <c r="A51" s="117" t="s">
        <v>102</v>
      </c>
      <c r="B51" s="183" t="str">
        <f>B3</f>
        <v>All Low qualifications</v>
      </c>
      <c r="C51" s="183"/>
      <c r="D51" s="184"/>
      <c r="E51" s="183"/>
      <c r="F51" s="183"/>
      <c r="G51" s="117"/>
      <c r="H51" s="183" t="str">
        <f>H3</f>
        <v>Pre-primary education</v>
      </c>
      <c r="I51" s="183"/>
      <c r="J51" s="183"/>
      <c r="K51" s="183"/>
      <c r="L51" s="183"/>
      <c r="M51" s="117"/>
      <c r="N51" s="183" t="str">
        <f>N3</f>
        <v>Primary education (1st stage basic)</v>
      </c>
      <c r="O51" s="183"/>
      <c r="P51" s="183"/>
      <c r="Q51" s="183"/>
      <c r="R51" s="183"/>
      <c r="S51" s="117"/>
      <c r="T51" s="387" t="str">
        <f>T3</f>
        <v>Lower secondary education (2nd stage basic)</v>
      </c>
      <c r="U51" s="387"/>
      <c r="V51" s="387"/>
      <c r="W51" s="387"/>
      <c r="X51" s="387"/>
      <c r="Y51" s="117" t="s">
        <v>102</v>
      </c>
      <c r="Z51" s="183" t="str">
        <f>Z3</f>
        <v>All Medium qualifications</v>
      </c>
      <c r="AA51" s="183"/>
      <c r="AB51" s="184"/>
      <c r="AC51" s="183"/>
      <c r="AD51" s="183"/>
      <c r="AE51" s="117"/>
      <c r="AF51" s="183" t="str">
        <f>AF3</f>
        <v>Upper secondary education</v>
      </c>
      <c r="AG51" s="183"/>
      <c r="AH51" s="183"/>
      <c r="AI51" s="183"/>
      <c r="AJ51" s="183"/>
      <c r="AK51" s="117"/>
      <c r="AL51" s="183" t="str">
        <f>AL3</f>
        <v>Post-secondary non-tertiary education</v>
      </c>
      <c r="AM51" s="183"/>
      <c r="AN51" s="183"/>
      <c r="AO51" s="183"/>
      <c r="AP51" s="183"/>
      <c r="AQ51" s="117" t="s">
        <v>102</v>
      </c>
      <c r="AR51" s="183" t="str">
        <f>AR3</f>
        <v>All High qualifications</v>
      </c>
      <c r="AS51" s="183"/>
      <c r="AT51" s="184"/>
      <c r="AU51" s="183"/>
      <c r="AV51" s="183"/>
      <c r="AW51" s="117"/>
      <c r="AX51" s="183" t="str">
        <f>AX3</f>
        <v>First stage of tertiary education</v>
      </c>
      <c r="AY51" s="183"/>
      <c r="AZ51" s="183"/>
      <c r="BA51" s="183"/>
      <c r="BB51" s="183"/>
      <c r="BC51" s="117"/>
      <c r="BD51" s="183" t="str">
        <f>BD3</f>
        <v>Second stage of tertiary education</v>
      </c>
      <c r="BE51" s="183"/>
      <c r="BF51" s="183"/>
      <c r="BG51" s="183"/>
      <c r="BH51" s="183"/>
    </row>
    <row r="52" spans="1:60" x14ac:dyDescent="0.2">
      <c r="A52" s="179" t="s">
        <v>104</v>
      </c>
      <c r="B52" s="185"/>
      <c r="C52" s="185"/>
      <c r="D52" s="185"/>
      <c r="E52" s="185"/>
      <c r="F52" s="185"/>
      <c r="G52" s="91"/>
      <c r="H52" s="185"/>
      <c r="I52" s="185"/>
      <c r="J52" s="185"/>
      <c r="K52" s="185"/>
      <c r="L52" s="185"/>
      <c r="M52" s="91"/>
      <c r="N52" s="185"/>
      <c r="O52" s="185"/>
      <c r="P52" s="185"/>
      <c r="Q52" s="185"/>
      <c r="R52" s="185"/>
      <c r="S52" s="91"/>
      <c r="T52" s="185"/>
      <c r="U52" s="185"/>
      <c r="V52" s="185"/>
      <c r="W52" s="185"/>
      <c r="X52" s="185"/>
      <c r="Y52" s="179" t="s">
        <v>104</v>
      </c>
      <c r="Z52" s="185"/>
      <c r="AA52" s="185"/>
      <c r="AB52" s="185"/>
      <c r="AC52" s="185"/>
      <c r="AD52" s="185"/>
      <c r="AE52" s="91"/>
      <c r="AF52" s="185"/>
      <c r="AG52" s="185"/>
      <c r="AH52" s="185"/>
      <c r="AI52" s="185"/>
      <c r="AJ52" s="185"/>
      <c r="AK52" s="91"/>
      <c r="AL52" s="185"/>
      <c r="AM52" s="185"/>
      <c r="AN52" s="185"/>
      <c r="AO52" s="185"/>
      <c r="AP52" s="185"/>
      <c r="AQ52" s="179" t="s">
        <v>104</v>
      </c>
      <c r="AR52" s="185"/>
      <c r="AS52" s="185"/>
      <c r="AT52" s="185"/>
      <c r="AU52" s="185"/>
      <c r="AV52" s="185"/>
      <c r="AW52" s="91"/>
      <c r="AX52" s="185"/>
      <c r="AY52" s="185"/>
      <c r="AZ52" s="185"/>
      <c r="BA52" s="185"/>
      <c r="BB52" s="185"/>
      <c r="BC52" s="91"/>
      <c r="BD52" s="185"/>
      <c r="BE52" s="185"/>
      <c r="BF52" s="185"/>
      <c r="BG52" s="185"/>
      <c r="BH52" s="185"/>
    </row>
    <row r="53" spans="1:60" x14ac:dyDescent="0.2">
      <c r="A53" s="178"/>
      <c r="B53" s="186">
        <v>2008</v>
      </c>
      <c r="C53" s="186">
        <v>2010</v>
      </c>
      <c r="D53" s="186">
        <v>2012</v>
      </c>
      <c r="E53" s="186">
        <v>2015</v>
      </c>
      <c r="F53" s="179">
        <v>2020</v>
      </c>
      <c r="G53" s="119"/>
      <c r="H53" s="119">
        <f>B53</f>
        <v>2008</v>
      </c>
      <c r="I53" s="119">
        <f>C53</f>
        <v>2010</v>
      </c>
      <c r="J53" s="119">
        <f>D53</f>
        <v>2012</v>
      </c>
      <c r="K53" s="119">
        <f>E53</f>
        <v>2015</v>
      </c>
      <c r="L53" s="119">
        <f>F53</f>
        <v>2020</v>
      </c>
      <c r="M53" s="119"/>
      <c r="N53" s="119">
        <f>B53</f>
        <v>2008</v>
      </c>
      <c r="O53" s="119">
        <f>C53</f>
        <v>2010</v>
      </c>
      <c r="P53" s="119">
        <f>D53</f>
        <v>2012</v>
      </c>
      <c r="Q53" s="119">
        <f>E53</f>
        <v>2015</v>
      </c>
      <c r="R53" s="119">
        <f>F53</f>
        <v>2020</v>
      </c>
      <c r="S53" s="119"/>
      <c r="T53" s="119">
        <f>B53</f>
        <v>2008</v>
      </c>
      <c r="U53" s="119">
        <f>C53</f>
        <v>2010</v>
      </c>
      <c r="V53" s="119">
        <f>D53</f>
        <v>2012</v>
      </c>
      <c r="W53" s="119">
        <f>E53</f>
        <v>2015</v>
      </c>
      <c r="X53" s="119">
        <f>F53</f>
        <v>2020</v>
      </c>
      <c r="Y53" s="178"/>
      <c r="Z53" s="186">
        <v>2008</v>
      </c>
      <c r="AA53" s="186">
        <v>2010</v>
      </c>
      <c r="AB53" s="186">
        <v>2012</v>
      </c>
      <c r="AC53" s="186">
        <v>2015</v>
      </c>
      <c r="AD53" s="179">
        <v>2020</v>
      </c>
      <c r="AE53" s="119"/>
      <c r="AF53" s="119">
        <f>Z53</f>
        <v>2008</v>
      </c>
      <c r="AG53" s="119">
        <f>AA53</f>
        <v>2010</v>
      </c>
      <c r="AH53" s="119">
        <f>AB53</f>
        <v>2012</v>
      </c>
      <c r="AI53" s="119">
        <f>AC53</f>
        <v>2015</v>
      </c>
      <c r="AJ53" s="119">
        <f>AD53</f>
        <v>2020</v>
      </c>
      <c r="AK53" s="119"/>
      <c r="AL53" s="119">
        <f>Z53</f>
        <v>2008</v>
      </c>
      <c r="AM53" s="119">
        <f>AA53</f>
        <v>2010</v>
      </c>
      <c r="AN53" s="119">
        <f>AB53</f>
        <v>2012</v>
      </c>
      <c r="AO53" s="119">
        <f>AC53</f>
        <v>2015</v>
      </c>
      <c r="AP53" s="119">
        <f>AD53</f>
        <v>2020</v>
      </c>
      <c r="AQ53" s="178"/>
      <c r="AR53" s="186">
        <v>2008</v>
      </c>
      <c r="AS53" s="186">
        <v>2010</v>
      </c>
      <c r="AT53" s="186">
        <v>2012</v>
      </c>
      <c r="AU53" s="186">
        <v>2015</v>
      </c>
      <c r="AV53" s="179">
        <v>2020</v>
      </c>
      <c r="AW53" s="119"/>
      <c r="AX53" s="119">
        <f>AR53</f>
        <v>2008</v>
      </c>
      <c r="AY53" s="119">
        <f>AS53</f>
        <v>2010</v>
      </c>
      <c r="AZ53" s="119">
        <f>AT53</f>
        <v>2012</v>
      </c>
      <c r="BA53" s="119">
        <f>AU53</f>
        <v>2015</v>
      </c>
      <c r="BB53" s="119">
        <f>AV53</f>
        <v>2020</v>
      </c>
      <c r="BC53" s="119"/>
      <c r="BD53" s="119">
        <f>AR53</f>
        <v>2008</v>
      </c>
      <c r="BE53" s="119">
        <f>AS53</f>
        <v>2010</v>
      </c>
      <c r="BF53" s="119">
        <f>AT53</f>
        <v>2012</v>
      </c>
      <c r="BG53" s="119">
        <f>AU53</f>
        <v>2015</v>
      </c>
      <c r="BH53" s="119">
        <f>AV53</f>
        <v>2020</v>
      </c>
    </row>
    <row r="54" spans="1:60" x14ac:dyDescent="0.2">
      <c r="A54" s="113" t="str">
        <f>A6</f>
        <v>Males and females</v>
      </c>
      <c r="F54" s="187"/>
      <c r="G54" s="187"/>
      <c r="H54" s="187"/>
      <c r="I54" s="187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Y54" s="113" t="str">
        <f>Y6</f>
        <v>Males and females</v>
      </c>
      <c r="AD54" s="187"/>
      <c r="AE54" s="187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13" t="str">
        <f>AQ6</f>
        <v>Males and females</v>
      </c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</row>
    <row r="55" spans="1:60" x14ac:dyDescent="0.2">
      <c r="A55" s="90" t="str">
        <f>A7</f>
        <v>15+</v>
      </c>
      <c r="B55" s="188">
        <f>SUM(B69,B83)</f>
        <v>1091.4118992738524</v>
      </c>
      <c r="C55" s="188">
        <f t="shared" ref="C55:F55" si="43">SUM(C69,C83)</f>
        <v>1100.0037861102892</v>
      </c>
      <c r="D55" s="188">
        <f t="shared" si="43"/>
        <v>916.42301941602898</v>
      </c>
      <c r="E55" s="188">
        <f t="shared" si="43"/>
        <v>787.47393586094222</v>
      </c>
      <c r="F55" s="188">
        <f t="shared" si="43"/>
        <v>647.93759918436888</v>
      </c>
      <c r="G55" s="187"/>
      <c r="H55" s="188">
        <f>SUM(H69,H83)</f>
        <v>362.47383711398129</v>
      </c>
      <c r="I55" s="188">
        <f t="shared" ref="I55:L55" si="44">SUM(I69,I83)</f>
        <v>367.09230695546</v>
      </c>
      <c r="J55" s="188">
        <f t="shared" si="44"/>
        <v>309.04252665358638</v>
      </c>
      <c r="K55" s="188">
        <f t="shared" si="44"/>
        <v>265.71661758383789</v>
      </c>
      <c r="L55" s="188">
        <f t="shared" si="44"/>
        <v>217.36047114432725</v>
      </c>
      <c r="M55" s="187"/>
      <c r="N55" s="188">
        <f>SUM(N69,N83)</f>
        <v>728.93806215987115</v>
      </c>
      <c r="O55" s="188">
        <f t="shared" ref="O55:R55" si="45">SUM(O69,O83)</f>
        <v>732.91147915482918</v>
      </c>
      <c r="P55" s="188">
        <f t="shared" si="45"/>
        <v>607.3804927624426</v>
      </c>
      <c r="Q55" s="188">
        <f t="shared" si="45"/>
        <v>521.75731827710433</v>
      </c>
      <c r="R55" s="188">
        <f t="shared" si="45"/>
        <v>430.57712804004166</v>
      </c>
      <c r="S55" s="187"/>
      <c r="T55" s="188">
        <f>SUM(T69,T83)</f>
        <v>0</v>
      </c>
      <c r="U55" s="188">
        <f t="shared" ref="U55:X55" si="46">SUM(U69,U83)</f>
        <v>0</v>
      </c>
      <c r="V55" s="188">
        <f t="shared" si="46"/>
        <v>0</v>
      </c>
      <c r="W55" s="188">
        <f t="shared" si="46"/>
        <v>0</v>
      </c>
      <c r="X55" s="188">
        <f t="shared" si="46"/>
        <v>0</v>
      </c>
      <c r="Y55" s="90" t="str">
        <f>Y7</f>
        <v>15+</v>
      </c>
      <c r="Z55" s="188">
        <f>SUM(Z69,Z83)</f>
        <v>1946.6117047650587</v>
      </c>
      <c r="AA55" s="188">
        <f t="shared" ref="AA55:AD55" si="47">SUM(AA69,AA83)</f>
        <v>1898.9657890695435</v>
      </c>
      <c r="AB55" s="188">
        <f t="shared" si="47"/>
        <v>1962.8308563745852</v>
      </c>
      <c r="AC55" s="188">
        <f t="shared" si="47"/>
        <v>2069.7042275623553</v>
      </c>
      <c r="AD55" s="188">
        <f t="shared" si="47"/>
        <v>2170.6375884387007</v>
      </c>
      <c r="AE55" s="187"/>
      <c r="AF55" s="188">
        <f>SUM(AF69,AF83)</f>
        <v>1824.1912882451829</v>
      </c>
      <c r="AG55" s="188">
        <f t="shared" ref="AG55:AJ55" si="48">SUM(AG69,AG83)</f>
        <v>1779.7966268394514</v>
      </c>
      <c r="AH55" s="188">
        <f t="shared" si="48"/>
        <v>1839.9843516955048</v>
      </c>
      <c r="AI55" s="188">
        <f t="shared" si="48"/>
        <v>1940.4817534613794</v>
      </c>
      <c r="AJ55" s="188">
        <f t="shared" si="48"/>
        <v>2035.5057599780253</v>
      </c>
      <c r="AK55" s="187"/>
      <c r="AL55" s="188">
        <f>SUM(AL69,AL83)</f>
        <v>122.42041651987563</v>
      </c>
      <c r="AM55" s="188">
        <f t="shared" ref="AM55:AP55" si="49">SUM(AM69,AM83)</f>
        <v>119.16916223009233</v>
      </c>
      <c r="AN55" s="188">
        <f t="shared" si="49"/>
        <v>122.84650467908108</v>
      </c>
      <c r="AO55" s="188">
        <f t="shared" si="49"/>
        <v>129.22247410097572</v>
      </c>
      <c r="AP55" s="188">
        <f t="shared" si="49"/>
        <v>135.13182846067508</v>
      </c>
      <c r="AQ55" s="90" t="str">
        <f>AQ7</f>
        <v>15+</v>
      </c>
      <c r="AR55" s="188">
        <f>SUM(AR69,AR83)</f>
        <v>1748.2863959610891</v>
      </c>
      <c r="AS55" s="188">
        <f t="shared" ref="AS55:AV55" si="50">SUM(AS69,AS83)</f>
        <v>1906.3674248201669</v>
      </c>
      <c r="AT55" s="188">
        <f t="shared" si="50"/>
        <v>2115.1681242093855</v>
      </c>
      <c r="AU55" s="188">
        <f t="shared" si="50"/>
        <v>2318.0908365767018</v>
      </c>
      <c r="AV55" s="188">
        <f t="shared" si="50"/>
        <v>2521.4978123769306</v>
      </c>
      <c r="AW55" s="187"/>
      <c r="AX55" s="188">
        <f>SUM(AX69,AX83)</f>
        <v>1717.00572023467</v>
      </c>
      <c r="AY55" s="188">
        <f t="shared" ref="AY55:BB55" si="51">SUM(AY69,AY83)</f>
        <v>1871.5654118320501</v>
      </c>
      <c r="AZ55" s="188">
        <f t="shared" si="51"/>
        <v>2075.3669628743173</v>
      </c>
      <c r="BA55" s="188">
        <f t="shared" si="51"/>
        <v>2274.1381911334825</v>
      </c>
      <c r="BB55" s="188">
        <f t="shared" si="51"/>
        <v>2472.9509757013893</v>
      </c>
      <c r="BC55" s="187"/>
      <c r="BD55" s="188">
        <f>SUM(BD69,BD83)</f>
        <v>31.280675726418963</v>
      </c>
      <c r="BE55" s="188">
        <f t="shared" ref="BE55:BH55" si="52">SUM(BE69,BE83)</f>
        <v>34.676945501519299</v>
      </c>
      <c r="BF55" s="188">
        <f t="shared" si="52"/>
        <v>39.483123423895734</v>
      </c>
      <c r="BG55" s="188">
        <f t="shared" si="52"/>
        <v>43.95264544321995</v>
      </c>
      <c r="BH55" s="188">
        <f t="shared" si="52"/>
        <v>48.546836675541741</v>
      </c>
    </row>
    <row r="56" spans="1:60" x14ac:dyDescent="0.2">
      <c r="A56" s="90" t="str">
        <f t="shared" ref="A56:A66" si="53">A8</f>
        <v>15-19</v>
      </c>
      <c r="B56" s="188">
        <f t="shared" ref="B56:F66" si="54">SUM(B70,B84)</f>
        <v>33.922484918096792</v>
      </c>
      <c r="C56" s="188">
        <f t="shared" si="54"/>
        <v>33.428963380218356</v>
      </c>
      <c r="D56" s="188">
        <f t="shared" si="54"/>
        <v>25.618579168305843</v>
      </c>
      <c r="E56" s="188">
        <f t="shared" si="54"/>
        <v>27.576564899958772</v>
      </c>
      <c r="F56" s="188">
        <f t="shared" si="54"/>
        <v>31.444379921686618</v>
      </c>
      <c r="G56" s="187"/>
      <c r="H56" s="188">
        <f t="shared" ref="H56:L66" si="55">SUM(H70,H84)</f>
        <v>7.8573198535721822</v>
      </c>
      <c r="I56" s="188">
        <f t="shared" si="55"/>
        <v>7.5672034937247652</v>
      </c>
      <c r="J56" s="188">
        <f t="shared" si="55"/>
        <v>5.7747610908860949</v>
      </c>
      <c r="K56" s="188">
        <f t="shared" si="55"/>
        <v>6.3040880162625772</v>
      </c>
      <c r="L56" s="188">
        <f t="shared" si="55"/>
        <v>7.2506410354839996</v>
      </c>
      <c r="M56" s="187"/>
      <c r="N56" s="188">
        <f t="shared" ref="N56:R66" si="56">SUM(N70,N84)</f>
        <v>26.065165064524606</v>
      </c>
      <c r="O56" s="188">
        <f t="shared" si="56"/>
        <v>25.861759886493594</v>
      </c>
      <c r="P56" s="188">
        <f t="shared" si="56"/>
        <v>19.843818077419751</v>
      </c>
      <c r="Q56" s="188">
        <f t="shared" si="56"/>
        <v>21.272476883696193</v>
      </c>
      <c r="R56" s="188">
        <f t="shared" si="56"/>
        <v>24.193738886202624</v>
      </c>
      <c r="S56" s="187"/>
      <c r="T56" s="188">
        <f t="shared" ref="T56:X66" si="57">SUM(T70,T84)</f>
        <v>0</v>
      </c>
      <c r="U56" s="188">
        <f t="shared" si="57"/>
        <v>0</v>
      </c>
      <c r="V56" s="188">
        <f t="shared" si="57"/>
        <v>0</v>
      </c>
      <c r="W56" s="188">
        <f t="shared" si="57"/>
        <v>0</v>
      </c>
      <c r="X56" s="188">
        <f t="shared" si="57"/>
        <v>0</v>
      </c>
      <c r="Y56" s="90" t="str">
        <f t="shared" ref="Y56:Y66" si="58">Y8</f>
        <v>15-19</v>
      </c>
      <c r="Z56" s="188">
        <f t="shared" ref="Z56:AD66" si="59">SUM(Z70,Z84)</f>
        <v>28.669275921467221</v>
      </c>
      <c r="AA56" s="188">
        <f t="shared" si="59"/>
        <v>24.94017830051537</v>
      </c>
      <c r="AB56" s="188">
        <f t="shared" si="59"/>
        <v>22.096171672766943</v>
      </c>
      <c r="AC56" s="188">
        <f t="shared" si="59"/>
        <v>24.369923731987864</v>
      </c>
      <c r="AD56" s="188">
        <f t="shared" si="59"/>
        <v>28.847750118738247</v>
      </c>
      <c r="AE56" s="187"/>
      <c r="AF56" s="188">
        <f t="shared" ref="AF56:AJ66" si="60">SUM(AF70,AF84)</f>
        <v>27.131107622890386</v>
      </c>
      <c r="AG56" s="188">
        <f t="shared" si="60"/>
        <v>23.604856528669352</v>
      </c>
      <c r="AH56" s="188">
        <f t="shared" si="60"/>
        <v>20.910693259755835</v>
      </c>
      <c r="AI56" s="188">
        <f t="shared" si="60"/>
        <v>23.061501302502187</v>
      </c>
      <c r="AJ56" s="188">
        <f t="shared" si="60"/>
        <v>27.298051224460476</v>
      </c>
      <c r="AK56" s="187"/>
      <c r="AL56" s="188">
        <f t="shared" ref="AL56:AP66" si="61">SUM(AL70,AL84)</f>
        <v>1.538168298576831</v>
      </c>
      <c r="AM56" s="188">
        <f t="shared" si="61"/>
        <v>1.3353217718460186</v>
      </c>
      <c r="AN56" s="188">
        <f t="shared" si="61"/>
        <v>1.185478413011108</v>
      </c>
      <c r="AO56" s="188">
        <f t="shared" si="61"/>
        <v>1.3084224294856792</v>
      </c>
      <c r="AP56" s="188">
        <f t="shared" si="61"/>
        <v>1.5496988942777667</v>
      </c>
      <c r="AQ56" s="90" t="str">
        <f t="shared" ref="AQ56:AQ66" si="62">AQ8</f>
        <v>15-19</v>
      </c>
      <c r="AR56" s="188">
        <f t="shared" ref="AR56:AV66" si="63">SUM(AR70,AR84)</f>
        <v>0.22323916043599393</v>
      </c>
      <c r="AS56" s="188">
        <f t="shared" si="63"/>
        <v>0.23185831926626108</v>
      </c>
      <c r="AT56" s="188">
        <f t="shared" si="63"/>
        <v>0.31924915892721956</v>
      </c>
      <c r="AU56" s="188">
        <f t="shared" si="63"/>
        <v>0.32851136805335357</v>
      </c>
      <c r="AV56" s="188">
        <f t="shared" si="63"/>
        <v>0.36386995957513524</v>
      </c>
      <c r="AW56" s="187"/>
      <c r="AX56" s="188">
        <f t="shared" ref="AX56:BB66" si="64">SUM(AX70,AX84)</f>
        <v>0.18942213461700935</v>
      </c>
      <c r="AY56" s="188">
        <f t="shared" si="64"/>
        <v>7.0679138418197798E-2</v>
      </c>
      <c r="AZ56" s="188">
        <f t="shared" si="64"/>
        <v>8.014133599071727E-4</v>
      </c>
      <c r="BA56" s="188">
        <f t="shared" si="64"/>
        <v>0.32647088949339453</v>
      </c>
      <c r="BB56" s="188">
        <f t="shared" si="64"/>
        <v>0.3602016521563422</v>
      </c>
      <c r="BC56" s="187"/>
      <c r="BD56" s="188">
        <f t="shared" ref="BD56:BH66" si="65">SUM(BD70,BD84)</f>
        <v>3.3817025818984561E-2</v>
      </c>
      <c r="BE56" s="188">
        <f t="shared" si="65"/>
        <v>3.6111694250642229E-2</v>
      </c>
      <c r="BF56" s="188">
        <f t="shared" si="65"/>
        <v>4.0983439475890718E-4</v>
      </c>
      <c r="BG56" s="188">
        <f t="shared" si="65"/>
        <v>2.0404785599590159E-3</v>
      </c>
      <c r="BH56" s="188">
        <f t="shared" si="65"/>
        <v>3.6683074187930289E-3</v>
      </c>
    </row>
    <row r="57" spans="1:60" x14ac:dyDescent="0.2">
      <c r="A57" s="90" t="str">
        <f t="shared" si="53"/>
        <v>20-24</v>
      </c>
      <c r="B57" s="188">
        <f t="shared" si="54"/>
        <v>69.997446885450401</v>
      </c>
      <c r="C57" s="188">
        <f t="shared" si="54"/>
        <v>73.885251785075525</v>
      </c>
      <c r="D57" s="188">
        <f t="shared" si="54"/>
        <v>60.82748778551305</v>
      </c>
      <c r="E57" s="188">
        <f t="shared" si="54"/>
        <v>52.336025748722321</v>
      </c>
      <c r="F57" s="188">
        <f t="shared" si="54"/>
        <v>47.838308330484821</v>
      </c>
      <c r="G57" s="187"/>
      <c r="H57" s="188">
        <f t="shared" si="55"/>
        <v>17.50666245872462</v>
      </c>
      <c r="I57" s="188">
        <f t="shared" si="55"/>
        <v>18.316843567871658</v>
      </c>
      <c r="J57" s="188">
        <f t="shared" si="55"/>
        <v>14.976024192054551</v>
      </c>
      <c r="K57" s="188">
        <f t="shared" si="55"/>
        <v>12.905149968073884</v>
      </c>
      <c r="L57" s="188">
        <f t="shared" si="55"/>
        <v>11.781306690276619</v>
      </c>
      <c r="M57" s="187"/>
      <c r="N57" s="188">
        <f t="shared" si="56"/>
        <v>52.490784426725781</v>
      </c>
      <c r="O57" s="188">
        <f t="shared" si="56"/>
        <v>55.568408217203867</v>
      </c>
      <c r="P57" s="188">
        <f t="shared" si="56"/>
        <v>45.851463593458497</v>
      </c>
      <c r="Q57" s="188">
        <f t="shared" si="56"/>
        <v>39.430875780648435</v>
      </c>
      <c r="R57" s="188">
        <f t="shared" si="56"/>
        <v>36.057001640208199</v>
      </c>
      <c r="S57" s="187"/>
      <c r="T57" s="188">
        <f t="shared" si="57"/>
        <v>0</v>
      </c>
      <c r="U57" s="188">
        <f t="shared" si="57"/>
        <v>0</v>
      </c>
      <c r="V57" s="188">
        <f t="shared" si="57"/>
        <v>0</v>
      </c>
      <c r="W57" s="188">
        <f t="shared" si="57"/>
        <v>0</v>
      </c>
      <c r="X57" s="188">
        <f t="shared" si="57"/>
        <v>0</v>
      </c>
      <c r="Y57" s="90" t="str">
        <f t="shared" si="58"/>
        <v>20-24</v>
      </c>
      <c r="Z57" s="188">
        <f t="shared" si="59"/>
        <v>200.63056393547677</v>
      </c>
      <c r="AA57" s="188">
        <f t="shared" si="59"/>
        <v>200.10878986052779</v>
      </c>
      <c r="AB57" s="188">
        <f t="shared" si="59"/>
        <v>192.82988811096317</v>
      </c>
      <c r="AC57" s="188">
        <f t="shared" si="59"/>
        <v>182.24243827723632</v>
      </c>
      <c r="AD57" s="188">
        <f t="shared" si="59"/>
        <v>183.10832552939812</v>
      </c>
      <c r="AE57" s="187"/>
      <c r="AF57" s="188">
        <f t="shared" si="60"/>
        <v>184.4013377657671</v>
      </c>
      <c r="AG57" s="188">
        <f t="shared" si="60"/>
        <v>183.88709709012173</v>
      </c>
      <c r="AH57" s="188">
        <f t="shared" si="60"/>
        <v>177.34938200988924</v>
      </c>
      <c r="AI57" s="188">
        <f t="shared" si="60"/>
        <v>167.58221623961009</v>
      </c>
      <c r="AJ57" s="188">
        <f t="shared" si="60"/>
        <v>168.42784713146324</v>
      </c>
      <c r="AK57" s="187"/>
      <c r="AL57" s="188">
        <f t="shared" si="61"/>
        <v>16.229226169709651</v>
      </c>
      <c r="AM57" s="188">
        <f t="shared" si="61"/>
        <v>16.221692770406051</v>
      </c>
      <c r="AN57" s="188">
        <f t="shared" si="61"/>
        <v>15.480506101073939</v>
      </c>
      <c r="AO57" s="188">
        <f t="shared" si="61"/>
        <v>14.660222037626259</v>
      </c>
      <c r="AP57" s="188">
        <f t="shared" si="61"/>
        <v>14.680478397934866</v>
      </c>
      <c r="AQ57" s="90" t="str">
        <f t="shared" si="62"/>
        <v>20-24</v>
      </c>
      <c r="AR57" s="188">
        <f t="shared" si="63"/>
        <v>100.04998917907284</v>
      </c>
      <c r="AS57" s="188">
        <f t="shared" si="63"/>
        <v>94.987958354396682</v>
      </c>
      <c r="AT57" s="188">
        <f t="shared" si="63"/>
        <v>103.98462410352381</v>
      </c>
      <c r="AU57" s="188">
        <f t="shared" si="63"/>
        <v>110.10453597404138</v>
      </c>
      <c r="AV57" s="188">
        <f t="shared" si="63"/>
        <v>122.21236614011708</v>
      </c>
      <c r="AW57" s="187"/>
      <c r="AX57" s="188">
        <f t="shared" si="64"/>
        <v>99.830703255982527</v>
      </c>
      <c r="AY57" s="188">
        <f t="shared" si="64"/>
        <v>94.78083623451991</v>
      </c>
      <c r="AZ57" s="188">
        <f t="shared" si="64"/>
        <v>103.75807484517797</v>
      </c>
      <c r="BA57" s="188">
        <f t="shared" si="64"/>
        <v>109.86373714713562</v>
      </c>
      <c r="BB57" s="188">
        <f t="shared" si="64"/>
        <v>121.94555113721529</v>
      </c>
      <c r="BC57" s="187"/>
      <c r="BD57" s="188">
        <f t="shared" si="65"/>
        <v>0.21928592309030701</v>
      </c>
      <c r="BE57" s="188">
        <f t="shared" si="65"/>
        <v>0.20712211987677406</v>
      </c>
      <c r="BF57" s="188">
        <f t="shared" si="65"/>
        <v>0.2265492583458453</v>
      </c>
      <c r="BG57" s="188">
        <f t="shared" si="65"/>
        <v>0.24079882690576235</v>
      </c>
      <c r="BH57" s="188">
        <f t="shared" si="65"/>
        <v>0.26681500290179178</v>
      </c>
    </row>
    <row r="58" spans="1:60" x14ac:dyDescent="0.2">
      <c r="A58" s="90" t="str">
        <f t="shared" si="53"/>
        <v>25-29</v>
      </c>
      <c r="B58" s="188">
        <f t="shared" si="54"/>
        <v>83.10566032859262</v>
      </c>
      <c r="C58" s="188">
        <f t="shared" si="54"/>
        <v>92.922114197332945</v>
      </c>
      <c r="D58" s="188">
        <f t="shared" si="54"/>
        <v>81.756122550300972</v>
      </c>
      <c r="E58" s="188">
        <f t="shared" si="54"/>
        <v>81.088950586198422</v>
      </c>
      <c r="F58" s="188">
        <f t="shared" si="54"/>
        <v>71.085865926883031</v>
      </c>
      <c r="G58" s="187"/>
      <c r="H58" s="188">
        <f t="shared" si="55"/>
        <v>23.608107087454297</v>
      </c>
      <c r="I58" s="188">
        <f t="shared" si="55"/>
        <v>26.378552793035944</v>
      </c>
      <c r="J58" s="188">
        <f t="shared" si="55"/>
        <v>23.222779194804581</v>
      </c>
      <c r="K58" s="188">
        <f t="shared" si="55"/>
        <v>23.044303745971408</v>
      </c>
      <c r="L58" s="188">
        <f t="shared" si="55"/>
        <v>20.194793417876976</v>
      </c>
      <c r="M58" s="187"/>
      <c r="N58" s="188">
        <f t="shared" si="56"/>
        <v>59.49755324113832</v>
      </c>
      <c r="O58" s="188">
        <f t="shared" si="56"/>
        <v>66.543561404296995</v>
      </c>
      <c r="P58" s="188">
        <f t="shared" si="56"/>
        <v>58.533343355496399</v>
      </c>
      <c r="Q58" s="188">
        <f t="shared" si="56"/>
        <v>58.04464684022701</v>
      </c>
      <c r="R58" s="188">
        <f t="shared" si="56"/>
        <v>50.891072509006051</v>
      </c>
      <c r="S58" s="187"/>
      <c r="T58" s="188">
        <f t="shared" si="57"/>
        <v>0</v>
      </c>
      <c r="U58" s="188">
        <f t="shared" si="57"/>
        <v>0</v>
      </c>
      <c r="V58" s="188">
        <f t="shared" si="57"/>
        <v>0</v>
      </c>
      <c r="W58" s="188">
        <f t="shared" si="57"/>
        <v>0</v>
      </c>
      <c r="X58" s="188">
        <f t="shared" si="57"/>
        <v>0</v>
      </c>
      <c r="Y58" s="90" t="str">
        <f t="shared" si="58"/>
        <v>25-29</v>
      </c>
      <c r="Z58" s="188">
        <f t="shared" si="59"/>
        <v>253.52682972521137</v>
      </c>
      <c r="AA58" s="188">
        <f t="shared" si="59"/>
        <v>234.83645593614608</v>
      </c>
      <c r="AB58" s="188">
        <f t="shared" si="59"/>
        <v>239.38100582652388</v>
      </c>
      <c r="AC58" s="188">
        <f t="shared" si="59"/>
        <v>250.47379611646011</v>
      </c>
      <c r="AD58" s="188">
        <f t="shared" si="59"/>
        <v>242.75774055369266</v>
      </c>
      <c r="AE58" s="187"/>
      <c r="AF58" s="188">
        <f t="shared" si="60"/>
        <v>233.96361796129568</v>
      </c>
      <c r="AG58" s="188">
        <f t="shared" si="60"/>
        <v>216.69951214512702</v>
      </c>
      <c r="AH58" s="188">
        <f t="shared" si="60"/>
        <v>220.99938766367791</v>
      </c>
      <c r="AI58" s="188">
        <f t="shared" si="60"/>
        <v>231.32962388195671</v>
      </c>
      <c r="AJ58" s="188">
        <f t="shared" si="60"/>
        <v>224.27741219211396</v>
      </c>
      <c r="AK58" s="187"/>
      <c r="AL58" s="188">
        <f t="shared" si="61"/>
        <v>19.563211763915717</v>
      </c>
      <c r="AM58" s="188">
        <f t="shared" si="61"/>
        <v>18.13694379101905</v>
      </c>
      <c r="AN58" s="188">
        <f t="shared" si="61"/>
        <v>18.381618162845992</v>
      </c>
      <c r="AO58" s="188">
        <f t="shared" si="61"/>
        <v>19.144172234503415</v>
      </c>
      <c r="AP58" s="188">
        <f t="shared" si="61"/>
        <v>18.480328361578685</v>
      </c>
      <c r="AQ58" s="90" t="str">
        <f t="shared" si="62"/>
        <v>25-29</v>
      </c>
      <c r="AR58" s="188">
        <f t="shared" si="63"/>
        <v>268.657509946196</v>
      </c>
      <c r="AS58" s="188">
        <f t="shared" si="63"/>
        <v>278.23442986652105</v>
      </c>
      <c r="AT58" s="188">
        <f t="shared" si="63"/>
        <v>292.29787162317513</v>
      </c>
      <c r="AU58" s="188">
        <f t="shared" si="63"/>
        <v>322.87025329734149</v>
      </c>
      <c r="AV58" s="188">
        <f t="shared" si="63"/>
        <v>330.34739351942437</v>
      </c>
      <c r="AW58" s="187"/>
      <c r="AX58" s="188">
        <f t="shared" si="64"/>
        <v>266.3288913677211</v>
      </c>
      <c r="AY58" s="188">
        <f t="shared" si="64"/>
        <v>275.82018573820613</v>
      </c>
      <c r="AZ58" s="188">
        <f t="shared" si="64"/>
        <v>289.76922026464791</v>
      </c>
      <c r="BA58" s="188">
        <f t="shared" si="64"/>
        <v>320.08257546262871</v>
      </c>
      <c r="BB58" s="188">
        <f t="shared" si="64"/>
        <v>327.50130630655138</v>
      </c>
      <c r="BC58" s="187"/>
      <c r="BD58" s="188">
        <f t="shared" si="65"/>
        <v>2.3286185784749271</v>
      </c>
      <c r="BE58" s="188">
        <f t="shared" si="65"/>
        <v>2.414244128314877</v>
      </c>
      <c r="BF58" s="188">
        <f t="shared" si="65"/>
        <v>2.5286513585272092</v>
      </c>
      <c r="BG58" s="188">
        <f t="shared" si="65"/>
        <v>2.7876778347128019</v>
      </c>
      <c r="BH58" s="188">
        <f t="shared" si="65"/>
        <v>2.8460872128729875</v>
      </c>
    </row>
    <row r="59" spans="1:60" x14ac:dyDescent="0.2">
      <c r="A59" s="90" t="str">
        <f t="shared" si="53"/>
        <v>30-34</v>
      </c>
      <c r="B59" s="188">
        <f t="shared" si="54"/>
        <v>88.294623576316411</v>
      </c>
      <c r="C59" s="188">
        <f t="shared" si="54"/>
        <v>89.184182813705448</v>
      </c>
      <c r="D59" s="188">
        <f t="shared" si="54"/>
        <v>78.82086492460455</v>
      </c>
      <c r="E59" s="188">
        <f t="shared" si="54"/>
        <v>73.409248466261431</v>
      </c>
      <c r="F59" s="188">
        <f t="shared" si="54"/>
        <v>62.433211012240555</v>
      </c>
      <c r="G59" s="187"/>
      <c r="H59" s="188">
        <f t="shared" si="55"/>
        <v>28.30985950772898</v>
      </c>
      <c r="I59" s="188">
        <f t="shared" si="55"/>
        <v>28.523912034677551</v>
      </c>
      <c r="J59" s="188">
        <f t="shared" si="55"/>
        <v>25.261997348079788</v>
      </c>
      <c r="K59" s="188">
        <f t="shared" si="55"/>
        <v>23.527246978251746</v>
      </c>
      <c r="L59" s="188">
        <f t="shared" si="55"/>
        <v>20.017532858379102</v>
      </c>
      <c r="M59" s="187"/>
      <c r="N59" s="188">
        <f t="shared" si="56"/>
        <v>59.984764068587438</v>
      </c>
      <c r="O59" s="188">
        <f t="shared" si="56"/>
        <v>60.660270779027904</v>
      </c>
      <c r="P59" s="188">
        <f t="shared" si="56"/>
        <v>53.558867576524761</v>
      </c>
      <c r="Q59" s="188">
        <f t="shared" si="56"/>
        <v>49.882001488009664</v>
      </c>
      <c r="R59" s="188">
        <f t="shared" si="56"/>
        <v>42.41567815386145</v>
      </c>
      <c r="S59" s="187"/>
      <c r="T59" s="188">
        <f t="shared" si="57"/>
        <v>0</v>
      </c>
      <c r="U59" s="188">
        <f t="shared" si="57"/>
        <v>0</v>
      </c>
      <c r="V59" s="188">
        <f t="shared" si="57"/>
        <v>0</v>
      </c>
      <c r="W59" s="188">
        <f t="shared" si="57"/>
        <v>0</v>
      </c>
      <c r="X59" s="188">
        <f t="shared" si="57"/>
        <v>0</v>
      </c>
      <c r="Y59" s="90" t="str">
        <f t="shared" si="58"/>
        <v>30-34</v>
      </c>
      <c r="Z59" s="188">
        <f t="shared" si="59"/>
        <v>252.02853262692997</v>
      </c>
      <c r="AA59" s="188">
        <f t="shared" si="59"/>
        <v>241.95757229192009</v>
      </c>
      <c r="AB59" s="188">
        <f t="shared" si="59"/>
        <v>250.36416862690376</v>
      </c>
      <c r="AC59" s="188">
        <f t="shared" si="59"/>
        <v>260.01917178438288</v>
      </c>
      <c r="AD59" s="188">
        <f t="shared" si="59"/>
        <v>277.87154542964436</v>
      </c>
      <c r="AE59" s="187"/>
      <c r="AF59" s="188">
        <f t="shared" si="60"/>
        <v>233.37617479742303</v>
      </c>
      <c r="AG59" s="188">
        <f t="shared" si="60"/>
        <v>224.1436906659363</v>
      </c>
      <c r="AH59" s="188">
        <f t="shared" si="60"/>
        <v>231.98013090632361</v>
      </c>
      <c r="AI59" s="188">
        <f t="shared" si="60"/>
        <v>240.99879756210669</v>
      </c>
      <c r="AJ59" s="188">
        <f t="shared" si="60"/>
        <v>257.66322853004982</v>
      </c>
      <c r="AK59" s="187"/>
      <c r="AL59" s="188">
        <f t="shared" si="61"/>
        <v>18.65235782950694</v>
      </c>
      <c r="AM59" s="188">
        <f t="shared" si="61"/>
        <v>17.813881625983782</v>
      </c>
      <c r="AN59" s="188">
        <f t="shared" si="61"/>
        <v>18.384037720580174</v>
      </c>
      <c r="AO59" s="188">
        <f t="shared" si="61"/>
        <v>19.02037422227616</v>
      </c>
      <c r="AP59" s="188">
        <f t="shared" si="61"/>
        <v>20.208316899594564</v>
      </c>
      <c r="AQ59" s="90" t="str">
        <f t="shared" si="62"/>
        <v>30-34</v>
      </c>
      <c r="AR59" s="188">
        <f t="shared" si="63"/>
        <v>280.69384379675364</v>
      </c>
      <c r="AS59" s="188">
        <f t="shared" si="63"/>
        <v>298.74624489437451</v>
      </c>
      <c r="AT59" s="188">
        <f t="shared" si="63"/>
        <v>315.83096644849167</v>
      </c>
      <c r="AU59" s="188">
        <f t="shared" si="63"/>
        <v>342.31857974935576</v>
      </c>
      <c r="AV59" s="188">
        <f t="shared" si="63"/>
        <v>384.08524355811511</v>
      </c>
      <c r="AW59" s="187"/>
      <c r="AX59" s="188">
        <f t="shared" si="64"/>
        <v>275.62991148902091</v>
      </c>
      <c r="AY59" s="188">
        <f t="shared" si="64"/>
        <v>293.35345054546065</v>
      </c>
      <c r="AZ59" s="188">
        <f t="shared" si="64"/>
        <v>310.17909296528001</v>
      </c>
      <c r="BA59" s="188">
        <f t="shared" si="64"/>
        <v>336.2348278556392</v>
      </c>
      <c r="BB59" s="188">
        <f t="shared" si="64"/>
        <v>377.23616137901718</v>
      </c>
      <c r="BC59" s="187"/>
      <c r="BD59" s="188">
        <f t="shared" si="65"/>
        <v>5.063932307732685</v>
      </c>
      <c r="BE59" s="188">
        <f t="shared" si="65"/>
        <v>5.3927943489138421</v>
      </c>
      <c r="BF59" s="188">
        <f t="shared" si="65"/>
        <v>5.6518734832116824</v>
      </c>
      <c r="BG59" s="188">
        <f t="shared" si="65"/>
        <v>6.0837518937165616</v>
      </c>
      <c r="BH59" s="188">
        <f t="shared" si="65"/>
        <v>6.8490821790979144</v>
      </c>
    </row>
    <row r="60" spans="1:60" x14ac:dyDescent="0.2">
      <c r="A60" s="90" t="str">
        <f t="shared" si="53"/>
        <v>35-39</v>
      </c>
      <c r="B60" s="188">
        <f t="shared" si="54"/>
        <v>116.40573165092457</v>
      </c>
      <c r="C60" s="188">
        <f t="shared" si="54"/>
        <v>111.62087650319086</v>
      </c>
      <c r="D60" s="188">
        <f t="shared" si="54"/>
        <v>87.010674497835979</v>
      </c>
      <c r="E60" s="188">
        <f t="shared" si="54"/>
        <v>72.169455639072808</v>
      </c>
      <c r="F60" s="188">
        <f t="shared" si="54"/>
        <v>56.078787071994824</v>
      </c>
      <c r="G60" s="187"/>
      <c r="H60" s="188">
        <f t="shared" si="55"/>
        <v>35.263117567908004</v>
      </c>
      <c r="I60" s="188">
        <f t="shared" si="55"/>
        <v>33.826936328651151</v>
      </c>
      <c r="J60" s="188">
        <f t="shared" si="55"/>
        <v>26.372888660399127</v>
      </c>
      <c r="K60" s="188">
        <f t="shared" si="55"/>
        <v>21.873558995262968</v>
      </c>
      <c r="L60" s="188">
        <f t="shared" si="55"/>
        <v>16.999346797068803</v>
      </c>
      <c r="M60" s="187"/>
      <c r="N60" s="188">
        <f t="shared" si="56"/>
        <v>81.142614083016582</v>
      </c>
      <c r="O60" s="188">
        <f t="shared" si="56"/>
        <v>77.793940174539699</v>
      </c>
      <c r="P60" s="188">
        <f t="shared" si="56"/>
        <v>60.637785837436844</v>
      </c>
      <c r="Q60" s="188">
        <f t="shared" si="56"/>
        <v>50.29589664380984</v>
      </c>
      <c r="R60" s="188">
        <f t="shared" si="56"/>
        <v>39.079440274926021</v>
      </c>
      <c r="S60" s="187"/>
      <c r="T60" s="188">
        <f t="shared" si="57"/>
        <v>0</v>
      </c>
      <c r="U60" s="188">
        <f t="shared" si="57"/>
        <v>0</v>
      </c>
      <c r="V60" s="188">
        <f t="shared" si="57"/>
        <v>0</v>
      </c>
      <c r="W60" s="188">
        <f t="shared" si="57"/>
        <v>0</v>
      </c>
      <c r="X60" s="188">
        <f t="shared" si="57"/>
        <v>0</v>
      </c>
      <c r="Y60" s="90" t="str">
        <f t="shared" si="58"/>
        <v>35-39</v>
      </c>
      <c r="Z60" s="188">
        <f t="shared" si="59"/>
        <v>292.69516984616689</v>
      </c>
      <c r="AA60" s="188">
        <f t="shared" si="59"/>
        <v>264.43124011815416</v>
      </c>
      <c r="AB60" s="188">
        <f t="shared" si="59"/>
        <v>249.36383456629306</v>
      </c>
      <c r="AC60" s="188">
        <f t="shared" si="59"/>
        <v>265.62693121403328</v>
      </c>
      <c r="AD60" s="188">
        <f t="shared" si="59"/>
        <v>281.01300955525153</v>
      </c>
      <c r="AE60" s="187"/>
      <c r="AF60" s="188">
        <f t="shared" si="60"/>
        <v>274.90708265744615</v>
      </c>
      <c r="AG60" s="188">
        <f t="shared" si="60"/>
        <v>248.33674178769135</v>
      </c>
      <c r="AH60" s="188">
        <f t="shared" si="60"/>
        <v>234.22524163699583</v>
      </c>
      <c r="AI60" s="188">
        <f t="shared" si="60"/>
        <v>249.52613818829445</v>
      </c>
      <c r="AJ60" s="188">
        <f t="shared" si="60"/>
        <v>264.00561865600736</v>
      </c>
      <c r="AK60" s="187"/>
      <c r="AL60" s="188">
        <f t="shared" si="61"/>
        <v>17.788087188720716</v>
      </c>
      <c r="AM60" s="188">
        <f t="shared" si="61"/>
        <v>16.094498330462777</v>
      </c>
      <c r="AN60" s="188">
        <f t="shared" si="61"/>
        <v>15.138592929297266</v>
      </c>
      <c r="AO60" s="188">
        <f t="shared" si="61"/>
        <v>16.100793025738767</v>
      </c>
      <c r="AP60" s="188">
        <f t="shared" si="61"/>
        <v>17.007390899244211</v>
      </c>
      <c r="AQ60" s="90" t="str">
        <f t="shared" si="62"/>
        <v>35-39</v>
      </c>
      <c r="AR60" s="188">
        <f t="shared" si="63"/>
        <v>271.17009850290862</v>
      </c>
      <c r="AS60" s="188">
        <f t="shared" si="63"/>
        <v>299.350883378655</v>
      </c>
      <c r="AT60" s="188">
        <f t="shared" si="63"/>
        <v>309.54249093587089</v>
      </c>
      <c r="AU60" s="188">
        <f t="shared" si="63"/>
        <v>347.30661314689394</v>
      </c>
      <c r="AV60" s="188">
        <f t="shared" si="63"/>
        <v>383.85620337275361</v>
      </c>
      <c r="AW60" s="187"/>
      <c r="AX60" s="188">
        <f t="shared" si="64"/>
        <v>266.39031937491359</v>
      </c>
      <c r="AY60" s="188">
        <f t="shared" si="64"/>
        <v>294.09970734798696</v>
      </c>
      <c r="AZ60" s="188">
        <f t="shared" si="64"/>
        <v>304.18685308252333</v>
      </c>
      <c r="BA60" s="188">
        <f t="shared" si="64"/>
        <v>341.32613291295013</v>
      </c>
      <c r="BB60" s="188">
        <f t="shared" si="64"/>
        <v>377.26357305597628</v>
      </c>
      <c r="BC60" s="187"/>
      <c r="BD60" s="188">
        <f t="shared" si="65"/>
        <v>4.7797791279950284</v>
      </c>
      <c r="BE60" s="188">
        <f t="shared" si="65"/>
        <v>5.2511760306679776</v>
      </c>
      <c r="BF60" s="188">
        <f t="shared" si="65"/>
        <v>5.3556378533475719</v>
      </c>
      <c r="BG60" s="188">
        <f t="shared" si="65"/>
        <v>5.9804802339438368</v>
      </c>
      <c r="BH60" s="188">
        <f t="shared" si="65"/>
        <v>6.5926303167773872</v>
      </c>
    </row>
    <row r="61" spans="1:60" x14ac:dyDescent="0.2">
      <c r="A61" s="90" t="str">
        <f t="shared" si="53"/>
        <v>40-44</v>
      </c>
      <c r="B61" s="188">
        <f t="shared" si="54"/>
        <v>156.26741886428681</v>
      </c>
      <c r="C61" s="188">
        <f t="shared" si="54"/>
        <v>138.06633532257501</v>
      </c>
      <c r="D61" s="188">
        <f t="shared" si="54"/>
        <v>102.04230405027101</v>
      </c>
      <c r="E61" s="188">
        <f t="shared" si="54"/>
        <v>72.607670352464169</v>
      </c>
      <c r="F61" s="188">
        <f t="shared" si="54"/>
        <v>53.870397558877769</v>
      </c>
      <c r="G61" s="187"/>
      <c r="H61" s="188">
        <f t="shared" si="55"/>
        <v>49.7957894254127</v>
      </c>
      <c r="I61" s="188">
        <f t="shared" si="55"/>
        <v>43.898270250594351</v>
      </c>
      <c r="J61" s="188">
        <f t="shared" si="55"/>
        <v>32.409044993954737</v>
      </c>
      <c r="K61" s="188">
        <f t="shared" si="55"/>
        <v>23.036152368803652</v>
      </c>
      <c r="L61" s="188">
        <f t="shared" si="55"/>
        <v>17.053911147098564</v>
      </c>
      <c r="M61" s="187"/>
      <c r="N61" s="188">
        <f t="shared" si="56"/>
        <v>106.47162943887409</v>
      </c>
      <c r="O61" s="188">
        <f t="shared" si="56"/>
        <v>94.168065071980649</v>
      </c>
      <c r="P61" s="188">
        <f t="shared" si="56"/>
        <v>69.633259056316291</v>
      </c>
      <c r="Q61" s="188">
        <f t="shared" si="56"/>
        <v>49.571517983660513</v>
      </c>
      <c r="R61" s="188">
        <f t="shared" si="56"/>
        <v>36.816486411779202</v>
      </c>
      <c r="S61" s="187"/>
      <c r="T61" s="188">
        <f t="shared" si="57"/>
        <v>0</v>
      </c>
      <c r="U61" s="188">
        <f t="shared" si="57"/>
        <v>0</v>
      </c>
      <c r="V61" s="188">
        <f t="shared" si="57"/>
        <v>0</v>
      </c>
      <c r="W61" s="188">
        <f t="shared" si="57"/>
        <v>0</v>
      </c>
      <c r="X61" s="188">
        <f t="shared" si="57"/>
        <v>0</v>
      </c>
      <c r="Y61" s="90" t="str">
        <f t="shared" si="58"/>
        <v>40-44</v>
      </c>
      <c r="Z61" s="188">
        <f t="shared" si="59"/>
        <v>297.53049844792429</v>
      </c>
      <c r="AA61" s="188">
        <f t="shared" si="59"/>
        <v>279.21152782576593</v>
      </c>
      <c r="AB61" s="188">
        <f t="shared" si="59"/>
        <v>264.15997152705989</v>
      </c>
      <c r="AC61" s="188">
        <f t="shared" si="59"/>
        <v>265.769688987834</v>
      </c>
      <c r="AD61" s="188">
        <f t="shared" si="59"/>
        <v>285.38300501207038</v>
      </c>
      <c r="AE61" s="187"/>
      <c r="AF61" s="188">
        <f t="shared" si="60"/>
        <v>281.6051488677208</v>
      </c>
      <c r="AG61" s="188">
        <f t="shared" si="60"/>
        <v>264.27565335337636</v>
      </c>
      <c r="AH61" s="188">
        <f t="shared" si="60"/>
        <v>250.06064702096575</v>
      </c>
      <c r="AI61" s="188">
        <f t="shared" si="60"/>
        <v>251.59948400746447</v>
      </c>
      <c r="AJ61" s="188">
        <f t="shared" si="60"/>
        <v>270.1868670204085</v>
      </c>
      <c r="AK61" s="187"/>
      <c r="AL61" s="188">
        <f t="shared" si="61"/>
        <v>15.925349580203488</v>
      </c>
      <c r="AM61" s="188">
        <f t="shared" si="61"/>
        <v>14.935874472389486</v>
      </c>
      <c r="AN61" s="188">
        <f t="shared" si="61"/>
        <v>14.099324506094138</v>
      </c>
      <c r="AO61" s="188">
        <f t="shared" si="61"/>
        <v>14.170204980369528</v>
      </c>
      <c r="AP61" s="188">
        <f t="shared" si="61"/>
        <v>15.196137991661878</v>
      </c>
      <c r="AQ61" s="90" t="str">
        <f t="shared" si="62"/>
        <v>40-44</v>
      </c>
      <c r="AR61" s="188">
        <f t="shared" si="63"/>
        <v>254.53008268778893</v>
      </c>
      <c r="AS61" s="188">
        <f t="shared" si="63"/>
        <v>277.04113685165908</v>
      </c>
      <c r="AT61" s="188">
        <f t="shared" si="63"/>
        <v>302.03972442266905</v>
      </c>
      <c r="AU61" s="188">
        <f t="shared" si="63"/>
        <v>315.32964065970185</v>
      </c>
      <c r="AV61" s="188">
        <f t="shared" si="63"/>
        <v>349.0545974290518</v>
      </c>
      <c r="AW61" s="187"/>
      <c r="AX61" s="188">
        <f t="shared" si="64"/>
        <v>250.24828407721705</v>
      </c>
      <c r="AY61" s="188">
        <f t="shared" si="64"/>
        <v>272.4224484468516</v>
      </c>
      <c r="AZ61" s="188">
        <f t="shared" si="64"/>
        <v>297.01618494130969</v>
      </c>
      <c r="BA61" s="188">
        <f t="shared" si="64"/>
        <v>310.0976851562209</v>
      </c>
      <c r="BB61" s="188">
        <f t="shared" si="64"/>
        <v>343.26501484324086</v>
      </c>
      <c r="BC61" s="187"/>
      <c r="BD61" s="188">
        <f t="shared" si="65"/>
        <v>4.2817986105719035</v>
      </c>
      <c r="BE61" s="188">
        <f t="shared" si="65"/>
        <v>4.6186884048075676</v>
      </c>
      <c r="BF61" s="188">
        <f t="shared" si="65"/>
        <v>5.0235394813593235</v>
      </c>
      <c r="BG61" s="188">
        <f t="shared" si="65"/>
        <v>5.2319555034809255</v>
      </c>
      <c r="BH61" s="188">
        <f t="shared" si="65"/>
        <v>5.7895825858109662</v>
      </c>
    </row>
    <row r="62" spans="1:60" x14ac:dyDescent="0.2">
      <c r="A62" s="90" t="str">
        <f t="shared" si="53"/>
        <v>45-49</v>
      </c>
      <c r="B62" s="188">
        <f t="shared" si="54"/>
        <v>192.10532237663983</v>
      </c>
      <c r="C62" s="188">
        <f t="shared" si="54"/>
        <v>181.7014990686323</v>
      </c>
      <c r="D62" s="188">
        <f t="shared" si="54"/>
        <v>125.84366969436242</v>
      </c>
      <c r="E62" s="188">
        <f t="shared" si="54"/>
        <v>94.413771810554039</v>
      </c>
      <c r="F62" s="188">
        <f t="shared" si="54"/>
        <v>69.482068956144474</v>
      </c>
      <c r="G62" s="187"/>
      <c r="H62" s="188">
        <f t="shared" si="55"/>
        <v>63.114524104301118</v>
      </c>
      <c r="I62" s="188">
        <f t="shared" si="55"/>
        <v>59.680357878773279</v>
      </c>
      <c r="J62" s="188">
        <f t="shared" si="55"/>
        <v>41.135830568231285</v>
      </c>
      <c r="K62" s="188">
        <f t="shared" si="55"/>
        <v>30.734675124538327</v>
      </c>
      <c r="L62" s="188">
        <f t="shared" si="55"/>
        <v>22.525760365918362</v>
      </c>
      <c r="M62" s="187"/>
      <c r="N62" s="188">
        <f t="shared" si="56"/>
        <v>128.99079827233871</v>
      </c>
      <c r="O62" s="188">
        <f t="shared" si="56"/>
        <v>122.02114118985901</v>
      </c>
      <c r="P62" s="188">
        <f t="shared" si="56"/>
        <v>84.707839126131134</v>
      </c>
      <c r="Q62" s="188">
        <f t="shared" si="56"/>
        <v>63.679096686015725</v>
      </c>
      <c r="R62" s="188">
        <f t="shared" si="56"/>
        <v>46.956308590226101</v>
      </c>
      <c r="S62" s="187"/>
      <c r="T62" s="188">
        <f t="shared" si="57"/>
        <v>0</v>
      </c>
      <c r="U62" s="188">
        <f t="shared" si="57"/>
        <v>0</v>
      </c>
      <c r="V62" s="188">
        <f t="shared" si="57"/>
        <v>0</v>
      </c>
      <c r="W62" s="188">
        <f t="shared" si="57"/>
        <v>0</v>
      </c>
      <c r="X62" s="188">
        <f t="shared" si="57"/>
        <v>0</v>
      </c>
      <c r="Y62" s="90" t="str">
        <f t="shared" si="58"/>
        <v>45-49</v>
      </c>
      <c r="Z62" s="188">
        <f t="shared" si="59"/>
        <v>259.3931665564873</v>
      </c>
      <c r="AA62" s="188">
        <f t="shared" si="59"/>
        <v>259.85569110569543</v>
      </c>
      <c r="AB62" s="188">
        <f t="shared" si="59"/>
        <v>276.06033600610709</v>
      </c>
      <c r="AC62" s="188">
        <f t="shared" si="59"/>
        <v>283.54672387522641</v>
      </c>
      <c r="AD62" s="188">
        <f t="shared" si="59"/>
        <v>287.849736988811</v>
      </c>
      <c r="AE62" s="187"/>
      <c r="AF62" s="188">
        <f t="shared" si="60"/>
        <v>247.30603323034916</v>
      </c>
      <c r="AG62" s="188">
        <f t="shared" si="60"/>
        <v>247.7788871489098</v>
      </c>
      <c r="AH62" s="188">
        <f t="shared" si="60"/>
        <v>263.21646229283618</v>
      </c>
      <c r="AI62" s="188">
        <f t="shared" si="60"/>
        <v>270.34872282364341</v>
      </c>
      <c r="AJ62" s="188">
        <f t="shared" si="60"/>
        <v>274.44279780539426</v>
      </c>
      <c r="AK62" s="187"/>
      <c r="AL62" s="188">
        <f t="shared" si="61"/>
        <v>12.087133326138117</v>
      </c>
      <c r="AM62" s="188">
        <f t="shared" si="61"/>
        <v>12.076803956785602</v>
      </c>
      <c r="AN62" s="188">
        <f t="shared" si="61"/>
        <v>12.84387371327092</v>
      </c>
      <c r="AO62" s="188">
        <f t="shared" si="61"/>
        <v>13.198001051582985</v>
      </c>
      <c r="AP62" s="188">
        <f t="shared" si="61"/>
        <v>13.40693918341676</v>
      </c>
      <c r="AQ62" s="90" t="str">
        <f t="shared" si="62"/>
        <v>45-49</v>
      </c>
      <c r="AR62" s="188">
        <f t="shared" si="63"/>
        <v>233.19851106687287</v>
      </c>
      <c r="AS62" s="188">
        <f t="shared" si="63"/>
        <v>255.42780982567223</v>
      </c>
      <c r="AT62" s="188">
        <f t="shared" si="63"/>
        <v>278.84899429953055</v>
      </c>
      <c r="AU62" s="188">
        <f t="shared" si="63"/>
        <v>292.33350431421957</v>
      </c>
      <c r="AV62" s="188">
        <f t="shared" si="63"/>
        <v>302.44819405504461</v>
      </c>
      <c r="AW62" s="187"/>
      <c r="AX62" s="188">
        <f t="shared" si="64"/>
        <v>228.81453920689103</v>
      </c>
      <c r="AY62" s="188">
        <f t="shared" si="64"/>
        <v>250.65558136759938</v>
      </c>
      <c r="AZ62" s="188">
        <f t="shared" si="64"/>
        <v>273.711876568962</v>
      </c>
      <c r="BA62" s="188">
        <f t="shared" si="64"/>
        <v>286.97795838324782</v>
      </c>
      <c r="BB62" s="188">
        <f t="shared" si="64"/>
        <v>296.93591992657696</v>
      </c>
      <c r="BC62" s="187"/>
      <c r="BD62" s="188">
        <f t="shared" si="65"/>
        <v>4.3839718599818829</v>
      </c>
      <c r="BE62" s="188">
        <f t="shared" si="65"/>
        <v>4.7722284580728216</v>
      </c>
      <c r="BF62" s="188">
        <f t="shared" si="65"/>
        <v>5.1371177305685114</v>
      </c>
      <c r="BG62" s="188">
        <f t="shared" si="65"/>
        <v>5.3555459309717897</v>
      </c>
      <c r="BH62" s="188">
        <f t="shared" si="65"/>
        <v>5.5122741284676167</v>
      </c>
    </row>
    <row r="63" spans="1:60" x14ac:dyDescent="0.2">
      <c r="A63" s="90" t="str">
        <f t="shared" si="53"/>
        <v>50-54</v>
      </c>
      <c r="B63" s="188">
        <f t="shared" si="54"/>
        <v>185.40604857322711</v>
      </c>
      <c r="C63" s="188">
        <f t="shared" si="54"/>
        <v>192.72292557560411</v>
      </c>
      <c r="D63" s="188">
        <f t="shared" si="54"/>
        <v>162.16719193834749</v>
      </c>
      <c r="E63" s="188">
        <f t="shared" si="54"/>
        <v>133.41410305220273</v>
      </c>
      <c r="F63" s="188">
        <f t="shared" si="54"/>
        <v>106.3528116102037</v>
      </c>
      <c r="G63" s="187"/>
      <c r="H63" s="188">
        <f t="shared" si="55"/>
        <v>66.691082872087563</v>
      </c>
      <c r="I63" s="188">
        <f t="shared" si="55"/>
        <v>69.308339401755902</v>
      </c>
      <c r="J63" s="188">
        <f t="shared" si="55"/>
        <v>58.294203339386414</v>
      </c>
      <c r="K63" s="188">
        <f t="shared" si="55"/>
        <v>47.904759864066669</v>
      </c>
      <c r="L63" s="188">
        <f t="shared" si="55"/>
        <v>38.151642732729172</v>
      </c>
      <c r="M63" s="187"/>
      <c r="N63" s="188">
        <f t="shared" si="56"/>
        <v>118.71496570113956</v>
      </c>
      <c r="O63" s="188">
        <f t="shared" si="56"/>
        <v>123.41458617384822</v>
      </c>
      <c r="P63" s="188">
        <f t="shared" si="56"/>
        <v>103.87298859896106</v>
      </c>
      <c r="Q63" s="188">
        <f t="shared" si="56"/>
        <v>85.509343188136071</v>
      </c>
      <c r="R63" s="188">
        <f t="shared" si="56"/>
        <v>68.201168877474544</v>
      </c>
      <c r="S63" s="187"/>
      <c r="T63" s="188">
        <f t="shared" si="57"/>
        <v>0</v>
      </c>
      <c r="U63" s="188">
        <f t="shared" si="57"/>
        <v>0</v>
      </c>
      <c r="V63" s="188">
        <f t="shared" si="57"/>
        <v>0</v>
      </c>
      <c r="W63" s="188">
        <f t="shared" si="57"/>
        <v>0</v>
      </c>
      <c r="X63" s="188">
        <f t="shared" si="57"/>
        <v>0</v>
      </c>
      <c r="Y63" s="90" t="str">
        <f t="shared" si="58"/>
        <v>50-54</v>
      </c>
      <c r="Z63" s="188">
        <f t="shared" si="59"/>
        <v>200.15705088001573</v>
      </c>
      <c r="AA63" s="188">
        <f t="shared" si="59"/>
        <v>218.54573674510601</v>
      </c>
      <c r="AB63" s="188">
        <f t="shared" si="59"/>
        <v>239.21960647496348</v>
      </c>
      <c r="AC63" s="188">
        <f t="shared" si="59"/>
        <v>257.81605841504751</v>
      </c>
      <c r="AD63" s="188">
        <f t="shared" si="59"/>
        <v>271.65581059286012</v>
      </c>
      <c r="AE63" s="187"/>
      <c r="AF63" s="188">
        <f t="shared" si="60"/>
        <v>190.04078964826027</v>
      </c>
      <c r="AG63" s="188">
        <f t="shared" si="60"/>
        <v>207.46488432579588</v>
      </c>
      <c r="AH63" s="188">
        <f t="shared" si="60"/>
        <v>227.09664617165495</v>
      </c>
      <c r="AI63" s="188">
        <f t="shared" si="60"/>
        <v>244.71475666454</v>
      </c>
      <c r="AJ63" s="188">
        <f t="shared" si="60"/>
        <v>257.79476785525156</v>
      </c>
      <c r="AK63" s="187"/>
      <c r="AL63" s="188">
        <f t="shared" si="61"/>
        <v>10.116261231755457</v>
      </c>
      <c r="AM63" s="188">
        <f t="shared" si="61"/>
        <v>11.080852419310158</v>
      </c>
      <c r="AN63" s="188">
        <f t="shared" si="61"/>
        <v>12.122960303308531</v>
      </c>
      <c r="AO63" s="188">
        <f t="shared" si="61"/>
        <v>13.101301750507519</v>
      </c>
      <c r="AP63" s="188">
        <f t="shared" si="61"/>
        <v>13.861042737608585</v>
      </c>
      <c r="AQ63" s="90" t="str">
        <f t="shared" si="62"/>
        <v>50-54</v>
      </c>
      <c r="AR63" s="188">
        <f t="shared" si="63"/>
        <v>172.51190054675715</v>
      </c>
      <c r="AS63" s="188">
        <f t="shared" si="63"/>
        <v>201.44733767928977</v>
      </c>
      <c r="AT63" s="188">
        <f t="shared" si="63"/>
        <v>243.89220158668905</v>
      </c>
      <c r="AU63" s="188">
        <f t="shared" si="63"/>
        <v>263.09583853274978</v>
      </c>
      <c r="AV63" s="188">
        <f t="shared" si="63"/>
        <v>278.2843777969361</v>
      </c>
      <c r="AW63" s="187"/>
      <c r="AX63" s="188">
        <f t="shared" si="64"/>
        <v>168.88787751101148</v>
      </c>
      <c r="AY63" s="188">
        <f t="shared" si="64"/>
        <v>197.35794837642953</v>
      </c>
      <c r="AZ63" s="188">
        <f t="shared" si="64"/>
        <v>238.9340888070729</v>
      </c>
      <c r="BA63" s="188">
        <f t="shared" si="64"/>
        <v>257.81671276903228</v>
      </c>
      <c r="BB63" s="188">
        <f t="shared" si="64"/>
        <v>272.79729732120262</v>
      </c>
      <c r="BC63" s="187"/>
      <c r="BD63" s="188">
        <f t="shared" si="65"/>
        <v>3.6240230357456578</v>
      </c>
      <c r="BE63" s="188">
        <f t="shared" si="65"/>
        <v>4.0893893028602495</v>
      </c>
      <c r="BF63" s="188">
        <f t="shared" si="65"/>
        <v>4.958112779616183</v>
      </c>
      <c r="BG63" s="188">
        <f t="shared" si="65"/>
        <v>5.2791257637175608</v>
      </c>
      <c r="BH63" s="188">
        <f t="shared" si="65"/>
        <v>5.4870804757334763</v>
      </c>
    </row>
    <row r="64" spans="1:60" x14ac:dyDescent="0.2">
      <c r="A64" s="90" t="str">
        <f t="shared" si="53"/>
        <v>55-59</v>
      </c>
      <c r="B64" s="188">
        <f t="shared" si="54"/>
        <v>118.1352024705036</v>
      </c>
      <c r="C64" s="188">
        <f t="shared" si="54"/>
        <v>125.51688761373863</v>
      </c>
      <c r="D64" s="188">
        <f t="shared" si="54"/>
        <v>135.69347634171973</v>
      </c>
      <c r="E64" s="188">
        <f t="shared" si="54"/>
        <v>127.61999627132217</v>
      </c>
      <c r="F64" s="188">
        <f t="shared" si="54"/>
        <v>103.83680807778796</v>
      </c>
      <c r="G64" s="187"/>
      <c r="H64" s="188">
        <f t="shared" si="55"/>
        <v>47.020085047969616</v>
      </c>
      <c r="I64" s="188">
        <f t="shared" si="55"/>
        <v>49.942017947737568</v>
      </c>
      <c r="J64" s="188">
        <f t="shared" si="55"/>
        <v>53.996980542501134</v>
      </c>
      <c r="K64" s="188">
        <f t="shared" si="55"/>
        <v>50.765369807184982</v>
      </c>
      <c r="L64" s="188">
        <f t="shared" si="55"/>
        <v>41.29898124275995</v>
      </c>
      <c r="M64" s="187"/>
      <c r="N64" s="188">
        <f t="shared" si="56"/>
        <v>71.115117422534013</v>
      </c>
      <c r="O64" s="188">
        <f t="shared" si="56"/>
        <v>75.574869666001078</v>
      </c>
      <c r="P64" s="188">
        <f t="shared" si="56"/>
        <v>81.696495799218582</v>
      </c>
      <c r="Q64" s="188">
        <f t="shared" si="56"/>
        <v>76.854626464137169</v>
      </c>
      <c r="R64" s="188">
        <f t="shared" si="56"/>
        <v>62.537826835028014</v>
      </c>
      <c r="S64" s="187"/>
      <c r="T64" s="188">
        <f t="shared" si="57"/>
        <v>0</v>
      </c>
      <c r="U64" s="188">
        <f t="shared" si="57"/>
        <v>0</v>
      </c>
      <c r="V64" s="188">
        <f t="shared" si="57"/>
        <v>0</v>
      </c>
      <c r="W64" s="188">
        <f t="shared" si="57"/>
        <v>0</v>
      </c>
      <c r="X64" s="188">
        <f t="shared" si="57"/>
        <v>0</v>
      </c>
      <c r="Y64" s="90" t="str">
        <f t="shared" si="58"/>
        <v>55-59</v>
      </c>
      <c r="Z64" s="188">
        <f t="shared" si="59"/>
        <v>122.81319674265731</v>
      </c>
      <c r="AA64" s="188">
        <f t="shared" si="59"/>
        <v>127.76576484388534</v>
      </c>
      <c r="AB64" s="188">
        <f t="shared" si="59"/>
        <v>167.56934646025536</v>
      </c>
      <c r="AC64" s="188">
        <f t="shared" si="59"/>
        <v>201.55893986495374</v>
      </c>
      <c r="AD64" s="188">
        <f t="shared" si="59"/>
        <v>218.03560485524812</v>
      </c>
      <c r="AE64" s="187"/>
      <c r="AF64" s="188">
        <f t="shared" si="60"/>
        <v>115.33146461461402</v>
      </c>
      <c r="AG64" s="188">
        <f t="shared" si="60"/>
        <v>119.93869463814224</v>
      </c>
      <c r="AH64" s="188">
        <f t="shared" si="60"/>
        <v>157.20305952301629</v>
      </c>
      <c r="AI64" s="188">
        <f t="shared" si="60"/>
        <v>189.09467188304029</v>
      </c>
      <c r="AJ64" s="188">
        <f t="shared" si="60"/>
        <v>204.52603798057652</v>
      </c>
      <c r="AK64" s="187"/>
      <c r="AL64" s="188">
        <f t="shared" si="61"/>
        <v>7.4817321280432685</v>
      </c>
      <c r="AM64" s="188">
        <f t="shared" si="61"/>
        <v>7.8270702057431016</v>
      </c>
      <c r="AN64" s="188">
        <f t="shared" si="61"/>
        <v>10.366286937239055</v>
      </c>
      <c r="AO64" s="188">
        <f t="shared" si="61"/>
        <v>12.464267981913423</v>
      </c>
      <c r="AP64" s="188">
        <f t="shared" si="61"/>
        <v>13.509566874671609</v>
      </c>
      <c r="AQ64" s="90" t="str">
        <f t="shared" si="62"/>
        <v>55-59</v>
      </c>
      <c r="AR64" s="188">
        <f t="shared" si="63"/>
        <v>115.94160078683907</v>
      </c>
      <c r="AS64" s="188">
        <f t="shared" si="63"/>
        <v>135.51634754237602</v>
      </c>
      <c r="AT64" s="188">
        <f t="shared" si="63"/>
        <v>177.65217719802493</v>
      </c>
      <c r="AU64" s="188">
        <f t="shared" si="63"/>
        <v>208.31606386372408</v>
      </c>
      <c r="AV64" s="188">
        <f t="shared" si="63"/>
        <v>226.8625870669639</v>
      </c>
      <c r="AW64" s="187"/>
      <c r="AX64" s="188">
        <f t="shared" si="64"/>
        <v>112.73432150536409</v>
      </c>
      <c r="AY64" s="188">
        <f t="shared" si="64"/>
        <v>131.84828185573497</v>
      </c>
      <c r="AZ64" s="188">
        <f t="shared" si="64"/>
        <v>173.0031356627903</v>
      </c>
      <c r="BA64" s="188">
        <f t="shared" si="64"/>
        <v>202.93168009516813</v>
      </c>
      <c r="BB64" s="188">
        <f t="shared" si="64"/>
        <v>221.04132666504691</v>
      </c>
      <c r="BC64" s="187"/>
      <c r="BD64" s="188">
        <f t="shared" si="65"/>
        <v>3.2072792814749906</v>
      </c>
      <c r="BE64" s="188">
        <f t="shared" si="65"/>
        <v>3.6680656866410524</v>
      </c>
      <c r="BF64" s="188">
        <f t="shared" si="65"/>
        <v>4.6490415352346357</v>
      </c>
      <c r="BG64" s="188">
        <f t="shared" si="65"/>
        <v>5.3843837685559581</v>
      </c>
      <c r="BH64" s="188">
        <f t="shared" si="65"/>
        <v>5.8212604019169705</v>
      </c>
    </row>
    <row r="65" spans="1:60" x14ac:dyDescent="0.2">
      <c r="A65" s="90" t="str">
        <f t="shared" si="53"/>
        <v>60-64</v>
      </c>
      <c r="B65" s="188">
        <f t="shared" si="54"/>
        <v>35.823218463615042</v>
      </c>
      <c r="C65" s="188">
        <f t="shared" si="54"/>
        <v>44.494263253571226</v>
      </c>
      <c r="D65" s="188">
        <f t="shared" si="54"/>
        <v>41.613632960941956</v>
      </c>
      <c r="E65" s="188">
        <f t="shared" si="54"/>
        <v>40.934965671055551</v>
      </c>
      <c r="F65" s="188">
        <f t="shared" si="54"/>
        <v>35.667541570413341</v>
      </c>
      <c r="G65" s="187"/>
      <c r="H65" s="188">
        <f t="shared" si="55"/>
        <v>16.931856207862616</v>
      </c>
      <c r="I65" s="188">
        <f t="shared" si="55"/>
        <v>21.062717164219428</v>
      </c>
      <c r="J65" s="188">
        <f t="shared" si="55"/>
        <v>19.717624343517112</v>
      </c>
      <c r="K65" s="188">
        <f t="shared" si="55"/>
        <v>19.381394399502241</v>
      </c>
      <c r="L65" s="188">
        <f t="shared" si="55"/>
        <v>16.879614538550584</v>
      </c>
      <c r="M65" s="187"/>
      <c r="N65" s="188">
        <f t="shared" si="56"/>
        <v>18.891362255752426</v>
      </c>
      <c r="O65" s="188">
        <f t="shared" si="56"/>
        <v>23.431546089351805</v>
      </c>
      <c r="P65" s="188">
        <f t="shared" si="56"/>
        <v>21.89600861742484</v>
      </c>
      <c r="Q65" s="188">
        <f t="shared" si="56"/>
        <v>21.553571271553317</v>
      </c>
      <c r="R65" s="188">
        <f t="shared" si="56"/>
        <v>18.787927031862754</v>
      </c>
      <c r="S65" s="187"/>
      <c r="T65" s="188">
        <f t="shared" si="57"/>
        <v>0</v>
      </c>
      <c r="U65" s="188">
        <f t="shared" si="57"/>
        <v>0</v>
      </c>
      <c r="V65" s="188">
        <f t="shared" si="57"/>
        <v>0</v>
      </c>
      <c r="W65" s="188">
        <f t="shared" si="57"/>
        <v>0</v>
      </c>
      <c r="X65" s="188">
        <f t="shared" si="57"/>
        <v>0</v>
      </c>
      <c r="Y65" s="90" t="str">
        <f t="shared" si="58"/>
        <v>60-64</v>
      </c>
      <c r="Z65" s="188">
        <f t="shared" si="59"/>
        <v>31.343339667083313</v>
      </c>
      <c r="AA65" s="188">
        <f t="shared" si="59"/>
        <v>37.400907742954743</v>
      </c>
      <c r="AB65" s="188">
        <f t="shared" si="59"/>
        <v>50.777770478130293</v>
      </c>
      <c r="AC65" s="188">
        <f t="shared" si="59"/>
        <v>66.266094080470012</v>
      </c>
      <c r="AD65" s="188">
        <f t="shared" si="59"/>
        <v>80.260766484007178</v>
      </c>
      <c r="AE65" s="187"/>
      <c r="AF65" s="188">
        <f t="shared" si="60"/>
        <v>29.203027553951088</v>
      </c>
      <c r="AG65" s="188">
        <f t="shared" si="60"/>
        <v>34.871395449563813</v>
      </c>
      <c r="AH65" s="188">
        <f t="shared" si="60"/>
        <v>47.209555911882788</v>
      </c>
      <c r="AI65" s="188">
        <f t="shared" si="60"/>
        <v>61.600974211672487</v>
      </c>
      <c r="AJ65" s="188">
        <f t="shared" si="60"/>
        <v>74.607227360463867</v>
      </c>
      <c r="AK65" s="187"/>
      <c r="AL65" s="188">
        <f t="shared" si="61"/>
        <v>2.1403121131322234</v>
      </c>
      <c r="AM65" s="188">
        <f t="shared" si="61"/>
        <v>2.5295122933909324</v>
      </c>
      <c r="AN65" s="188">
        <f t="shared" si="61"/>
        <v>3.5682145662475118</v>
      </c>
      <c r="AO65" s="188">
        <f t="shared" si="61"/>
        <v>4.6651198687975111</v>
      </c>
      <c r="AP65" s="188">
        <f t="shared" si="61"/>
        <v>5.6535391235433075</v>
      </c>
      <c r="AQ65" s="90" t="str">
        <f t="shared" si="62"/>
        <v>60-64</v>
      </c>
      <c r="AR65" s="188">
        <f t="shared" si="63"/>
        <v>38.517441869301649</v>
      </c>
      <c r="AS65" s="188">
        <f t="shared" si="63"/>
        <v>53.191829003474027</v>
      </c>
      <c r="AT65" s="188">
        <f t="shared" si="63"/>
        <v>71.393596560927747</v>
      </c>
      <c r="AU65" s="188">
        <f t="shared" si="63"/>
        <v>92.303940248474447</v>
      </c>
      <c r="AV65" s="188">
        <f t="shared" si="63"/>
        <v>113.97169194557949</v>
      </c>
      <c r="AW65" s="187"/>
      <c r="AX65" s="188">
        <f t="shared" si="64"/>
        <v>35.940957081944205</v>
      </c>
      <c r="AY65" s="188">
        <f t="shared" si="64"/>
        <v>49.626732053099445</v>
      </c>
      <c r="AZ65" s="188">
        <f t="shared" si="64"/>
        <v>66.596362264723197</v>
      </c>
      <c r="BA65" s="188">
        <f t="shared" si="64"/>
        <v>86.098448390329622</v>
      </c>
      <c r="BB65" s="188">
        <f t="shared" si="64"/>
        <v>106.3052407990122</v>
      </c>
      <c r="BC65" s="187"/>
      <c r="BD65" s="188">
        <f t="shared" si="65"/>
        <v>2.5764847873574377</v>
      </c>
      <c r="BE65" s="188">
        <f t="shared" si="65"/>
        <v>3.5650969503745911</v>
      </c>
      <c r="BF65" s="188">
        <f t="shared" si="65"/>
        <v>4.7972342962045555</v>
      </c>
      <c r="BG65" s="188">
        <f t="shared" si="65"/>
        <v>6.2054918581448213</v>
      </c>
      <c r="BH65" s="188">
        <f t="shared" si="65"/>
        <v>7.6664511465673009</v>
      </c>
    </row>
    <row r="66" spans="1:60" x14ac:dyDescent="0.2">
      <c r="A66" s="90" t="str">
        <f t="shared" si="53"/>
        <v>65+</v>
      </c>
      <c r="B66" s="188">
        <f t="shared" si="54"/>
        <v>11.948741166199174</v>
      </c>
      <c r="C66" s="188">
        <f t="shared" si="54"/>
        <v>16.460486596644937</v>
      </c>
      <c r="D66" s="188">
        <f t="shared" si="54"/>
        <v>15.029015503825972</v>
      </c>
      <c r="E66" s="188">
        <f t="shared" si="54"/>
        <v>11.903183363129848</v>
      </c>
      <c r="F66" s="188">
        <f t="shared" si="54"/>
        <v>9.8474191476518342</v>
      </c>
      <c r="G66" s="187"/>
      <c r="H66" s="188">
        <f t="shared" si="55"/>
        <v>6.3754329809595625</v>
      </c>
      <c r="I66" s="188">
        <f t="shared" si="55"/>
        <v>8.5871560944185141</v>
      </c>
      <c r="J66" s="188">
        <f t="shared" si="55"/>
        <v>7.8803923797716067</v>
      </c>
      <c r="K66" s="188">
        <f t="shared" si="55"/>
        <v>6.2399183159193861</v>
      </c>
      <c r="L66" s="188">
        <f t="shared" si="55"/>
        <v>5.2069403181851044</v>
      </c>
      <c r="M66" s="187"/>
      <c r="N66" s="188">
        <f t="shared" si="56"/>
        <v>5.5733081852396102</v>
      </c>
      <c r="O66" s="188">
        <f t="shared" si="56"/>
        <v>7.8733305022264224</v>
      </c>
      <c r="P66" s="188">
        <f t="shared" si="56"/>
        <v>7.1486231240543656</v>
      </c>
      <c r="Q66" s="188">
        <f t="shared" si="56"/>
        <v>5.6632650472104613</v>
      </c>
      <c r="R66" s="188">
        <f t="shared" si="56"/>
        <v>4.6404788294667298</v>
      </c>
      <c r="S66" s="187"/>
      <c r="T66" s="188">
        <f t="shared" si="57"/>
        <v>0</v>
      </c>
      <c r="U66" s="188">
        <f t="shared" si="57"/>
        <v>0</v>
      </c>
      <c r="V66" s="188">
        <f t="shared" si="57"/>
        <v>0</v>
      </c>
      <c r="W66" s="188">
        <f t="shared" si="57"/>
        <v>0</v>
      </c>
      <c r="X66" s="188">
        <f t="shared" si="57"/>
        <v>0</v>
      </c>
      <c r="Y66" s="90" t="str">
        <f t="shared" si="58"/>
        <v>65+</v>
      </c>
      <c r="Z66" s="188">
        <f t="shared" si="59"/>
        <v>7.8240804156386137</v>
      </c>
      <c r="AA66" s="188">
        <f t="shared" si="59"/>
        <v>9.9119242988728669</v>
      </c>
      <c r="AB66" s="188">
        <f t="shared" si="59"/>
        <v>11.008756624618567</v>
      </c>
      <c r="AC66" s="188">
        <f t="shared" si="59"/>
        <v>12.01446121472337</v>
      </c>
      <c r="AD66" s="188">
        <f t="shared" si="59"/>
        <v>13.854293318978709</v>
      </c>
      <c r="AE66" s="187"/>
      <c r="AF66" s="188">
        <f t="shared" si="60"/>
        <v>6.9255035254653912</v>
      </c>
      <c r="AG66" s="188">
        <f t="shared" si="60"/>
        <v>8.7952137061175186</v>
      </c>
      <c r="AH66" s="188">
        <f t="shared" si="60"/>
        <v>9.7331452985061144</v>
      </c>
      <c r="AI66" s="188">
        <f t="shared" si="60"/>
        <v>10.624866696548906</v>
      </c>
      <c r="AJ66" s="188">
        <f t="shared" si="60"/>
        <v>12.275904221835862</v>
      </c>
      <c r="AK66" s="187"/>
      <c r="AL66" s="188">
        <f t="shared" si="61"/>
        <v>0.89857689017322329</v>
      </c>
      <c r="AM66" s="188">
        <f t="shared" si="61"/>
        <v>1.1167105927553487</v>
      </c>
      <c r="AN66" s="188">
        <f t="shared" si="61"/>
        <v>1.2756113261124509</v>
      </c>
      <c r="AO66" s="188">
        <f t="shared" si="61"/>
        <v>1.389594518174466</v>
      </c>
      <c r="AP66" s="188">
        <f t="shared" si="61"/>
        <v>1.5783890971428471</v>
      </c>
      <c r="AQ66" s="90" t="str">
        <f t="shared" si="62"/>
        <v>65+</v>
      </c>
      <c r="AR66" s="188">
        <f t="shared" si="63"/>
        <v>12.792178418162218</v>
      </c>
      <c r="AS66" s="188">
        <f t="shared" si="63"/>
        <v>12.19158910448219</v>
      </c>
      <c r="AT66" s="188">
        <f t="shared" si="63"/>
        <v>19.366227871555463</v>
      </c>
      <c r="AU66" s="188">
        <f t="shared" si="63"/>
        <v>23.78335542214678</v>
      </c>
      <c r="AV66" s="188">
        <f t="shared" si="63"/>
        <v>30.011287533369462</v>
      </c>
      <c r="AW66" s="187"/>
      <c r="AX66" s="188">
        <f t="shared" si="64"/>
        <v>12.010493229987055</v>
      </c>
      <c r="AY66" s="188">
        <f t="shared" si="64"/>
        <v>11.529560727743291</v>
      </c>
      <c r="AZ66" s="188">
        <f t="shared" si="64"/>
        <v>18.211272058470012</v>
      </c>
      <c r="BA66" s="188">
        <f t="shared" si="64"/>
        <v>22.381962071636803</v>
      </c>
      <c r="BB66" s="188">
        <f t="shared" si="64"/>
        <v>28.299382615392936</v>
      </c>
      <c r="BC66" s="187"/>
      <c r="BD66" s="188">
        <f t="shared" si="65"/>
        <v>0.78168518817516097</v>
      </c>
      <c r="BE66" s="188">
        <f t="shared" si="65"/>
        <v>0.66202837673890058</v>
      </c>
      <c r="BF66" s="188">
        <f t="shared" si="65"/>
        <v>1.1549558130854503</v>
      </c>
      <c r="BG66" s="188">
        <f t="shared" si="65"/>
        <v>1.4013933505099772</v>
      </c>
      <c r="BH66" s="188">
        <f t="shared" si="65"/>
        <v>1.7119049179765302</v>
      </c>
    </row>
    <row r="67" spans="1:60" x14ac:dyDescent="0.2">
      <c r="B67" s="188"/>
      <c r="C67" s="188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93"/>
      <c r="U67" s="93"/>
      <c r="V67" s="93"/>
      <c r="W67" s="93"/>
      <c r="X67" s="93"/>
      <c r="Z67" s="188"/>
      <c r="AA67" s="188"/>
      <c r="AB67" s="187"/>
      <c r="AC67" s="187"/>
      <c r="AD67" s="187"/>
      <c r="AE67" s="187"/>
      <c r="AF67" s="187"/>
      <c r="AG67" s="187"/>
      <c r="AH67" s="187"/>
      <c r="AI67" s="187"/>
      <c r="AJ67" s="187"/>
      <c r="AK67" s="187"/>
      <c r="AL67" s="187"/>
      <c r="AM67" s="187"/>
      <c r="AN67" s="187"/>
      <c r="AO67" s="187"/>
      <c r="AP67" s="187"/>
      <c r="AR67" s="188"/>
      <c r="AS67" s="188"/>
      <c r="AT67" s="187"/>
      <c r="AU67" s="187"/>
      <c r="AV67" s="187"/>
      <c r="AW67" s="187"/>
      <c r="AX67" s="187"/>
      <c r="AY67" s="187"/>
      <c r="AZ67" s="187"/>
      <c r="BA67" s="187"/>
      <c r="BB67" s="187"/>
      <c r="BC67" s="187"/>
      <c r="BD67" s="187"/>
      <c r="BE67" s="187"/>
      <c r="BF67" s="187"/>
      <c r="BG67" s="187"/>
      <c r="BH67" s="187"/>
    </row>
    <row r="68" spans="1:60" x14ac:dyDescent="0.2">
      <c r="A68" s="113" t="str">
        <f>A20</f>
        <v>Males</v>
      </c>
      <c r="B68" s="93"/>
      <c r="C68" s="93"/>
      <c r="D68" s="93"/>
      <c r="E68" s="93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93"/>
      <c r="U68" s="93"/>
      <c r="V68" s="93"/>
      <c r="W68" s="93"/>
      <c r="X68" s="93"/>
      <c r="Y68" s="113" t="str">
        <f>Y20</f>
        <v>Males</v>
      </c>
      <c r="Z68" s="93"/>
      <c r="AA68" s="93"/>
      <c r="AB68" s="93"/>
      <c r="AC68" s="93"/>
      <c r="AD68" s="188"/>
      <c r="AE68" s="188"/>
      <c r="AF68" s="188"/>
      <c r="AG68" s="188"/>
      <c r="AH68" s="188"/>
      <c r="AI68" s="188"/>
      <c r="AJ68" s="188"/>
      <c r="AK68" s="188"/>
      <c r="AL68" s="188"/>
      <c r="AM68" s="188"/>
      <c r="AN68" s="188"/>
      <c r="AO68" s="188"/>
      <c r="AP68" s="188"/>
      <c r="AQ68" s="113" t="str">
        <f>AQ20</f>
        <v>Males</v>
      </c>
      <c r="AR68" s="93"/>
      <c r="AS68" s="93"/>
      <c r="AT68" s="93"/>
      <c r="AU68" s="93"/>
      <c r="AV68" s="188"/>
      <c r="AW68" s="188"/>
      <c r="AX68" s="188"/>
      <c r="AY68" s="188"/>
      <c r="AZ68" s="188"/>
      <c r="BA68" s="188"/>
      <c r="BB68" s="188"/>
      <c r="BC68" s="188"/>
      <c r="BD68" s="188"/>
      <c r="BE68" s="188"/>
      <c r="BF68" s="188"/>
      <c r="BG68" s="188"/>
      <c r="BH68" s="188"/>
    </row>
    <row r="69" spans="1:60" x14ac:dyDescent="0.2">
      <c r="A69" s="90" t="str">
        <f>A21</f>
        <v>15+</v>
      </c>
      <c r="B69" s="188">
        <f>SUM(B70:B80)</f>
        <v>668.34829787442732</v>
      </c>
      <c r="C69" s="188">
        <f t="shared" ref="C69:F69" si="66">SUM(C70:C80)</f>
        <v>679.97434318708918</v>
      </c>
      <c r="D69" s="188">
        <f t="shared" si="66"/>
        <v>576.0987188576471</v>
      </c>
      <c r="E69" s="188">
        <f t="shared" si="66"/>
        <v>506.60924483387572</v>
      </c>
      <c r="F69" s="188">
        <f t="shared" si="66"/>
        <v>424.17079532170612</v>
      </c>
      <c r="G69" s="188"/>
      <c r="H69" s="188">
        <f>SUM(H70:H80)</f>
        <v>216.57689663424574</v>
      </c>
      <c r="I69" s="188">
        <f t="shared" ref="I69:L69" si="67">SUM(I70:I80)</f>
        <v>222.01749682244036</v>
      </c>
      <c r="J69" s="188">
        <f t="shared" si="67"/>
        <v>189.97263257060061</v>
      </c>
      <c r="K69" s="188">
        <f t="shared" si="67"/>
        <v>168.03119397716577</v>
      </c>
      <c r="L69" s="188">
        <f t="shared" si="67"/>
        <v>140.23377379308036</v>
      </c>
      <c r="M69" s="188"/>
      <c r="N69" s="188">
        <f>SUM(N70:N80)</f>
        <v>451.77140124018155</v>
      </c>
      <c r="O69" s="188">
        <f t="shared" ref="O69:R69" si="68">SUM(O70:O80)</f>
        <v>457.95684636464887</v>
      </c>
      <c r="P69" s="188">
        <f t="shared" si="68"/>
        <v>386.12608628704652</v>
      </c>
      <c r="Q69" s="188">
        <f t="shared" si="68"/>
        <v>338.57805085670992</v>
      </c>
      <c r="R69" s="188">
        <f t="shared" si="68"/>
        <v>283.93702152862579</v>
      </c>
      <c r="S69" s="188"/>
      <c r="T69" s="188">
        <f>SUM(T70:T80)</f>
        <v>0</v>
      </c>
      <c r="U69" s="188">
        <f t="shared" ref="U69:X69" si="69">SUM(U70:U80)</f>
        <v>0</v>
      </c>
      <c r="V69" s="188">
        <f t="shared" si="69"/>
        <v>0</v>
      </c>
      <c r="W69" s="188">
        <f t="shared" si="69"/>
        <v>0</v>
      </c>
      <c r="X69" s="188">
        <f t="shared" si="69"/>
        <v>0</v>
      </c>
      <c r="Y69" s="90" t="str">
        <f>Y21</f>
        <v>15+</v>
      </c>
      <c r="Z69" s="188">
        <f>SUM(Z70:Z80)</f>
        <v>1110.8221091376672</v>
      </c>
      <c r="AA69" s="188">
        <f t="shared" ref="AA69:AD69" si="70">SUM(AA70:AA80)</f>
        <v>1081.2462760791657</v>
      </c>
      <c r="AB69" s="188">
        <f t="shared" si="70"/>
        <v>1129.3696341240161</v>
      </c>
      <c r="AC69" s="188">
        <f t="shared" si="70"/>
        <v>1196.947412591609</v>
      </c>
      <c r="AD69" s="188">
        <f t="shared" si="70"/>
        <v>1263.8735341848089</v>
      </c>
      <c r="AE69" s="188"/>
      <c r="AF69" s="188">
        <f>SUM(AF70:AF80)</f>
        <v>1048.6925402059803</v>
      </c>
      <c r="AG69" s="188">
        <f t="shared" ref="AG69:AJ69" si="71">SUM(AG70:AG80)</f>
        <v>1020.9879008290815</v>
      </c>
      <c r="AH69" s="188">
        <f t="shared" si="71"/>
        <v>1066.4680897558023</v>
      </c>
      <c r="AI69" s="188">
        <f t="shared" si="71"/>
        <v>1130.4132844970143</v>
      </c>
      <c r="AJ69" s="188">
        <f t="shared" si="71"/>
        <v>1193.6123831216405</v>
      </c>
      <c r="AK69" s="188"/>
      <c r="AL69" s="188">
        <f>SUM(AL70:AL80)</f>
        <v>62.12956893168694</v>
      </c>
      <c r="AM69" s="188">
        <f t="shared" ref="AM69:AP69" si="72">SUM(AM70:AM80)</f>
        <v>60.258375250084285</v>
      </c>
      <c r="AN69" s="188">
        <f t="shared" si="72"/>
        <v>62.90154436821414</v>
      </c>
      <c r="AO69" s="188">
        <f t="shared" si="72"/>
        <v>66.534128094594536</v>
      </c>
      <c r="AP69" s="188">
        <f t="shared" si="72"/>
        <v>70.261151063168086</v>
      </c>
      <c r="AQ69" s="90" t="str">
        <f>AQ21</f>
        <v>15+</v>
      </c>
      <c r="AR69" s="188">
        <f>SUM(AR70:AR80)</f>
        <v>858.87759298790547</v>
      </c>
      <c r="AS69" s="188">
        <f t="shared" ref="AS69:AV69" si="73">SUM(AS70:AS80)</f>
        <v>924.03238073374484</v>
      </c>
      <c r="AT69" s="188">
        <f t="shared" si="73"/>
        <v>1006.6636470183364</v>
      </c>
      <c r="AU69" s="188">
        <f t="shared" si="73"/>
        <v>1087.2593425745151</v>
      </c>
      <c r="AV69" s="188">
        <f t="shared" si="73"/>
        <v>1172.5296704934854</v>
      </c>
      <c r="AW69" s="188"/>
      <c r="AX69" s="188">
        <f>SUM(AX70:AX80)</f>
        <v>837.25747303433036</v>
      </c>
      <c r="AY69" s="188">
        <f t="shared" ref="AY69:BB69" si="74">SUM(AY70:AY80)</f>
        <v>900.46119959493876</v>
      </c>
      <c r="AZ69" s="188">
        <f t="shared" si="74"/>
        <v>980.19920817165428</v>
      </c>
      <c r="BA69" s="188">
        <f t="shared" si="74"/>
        <v>1058.1193206787443</v>
      </c>
      <c r="BB69" s="188">
        <f t="shared" si="74"/>
        <v>1140.618907885826</v>
      </c>
      <c r="BC69" s="188"/>
      <c r="BD69" s="188">
        <f>SUM(BD70:BD80)</f>
        <v>21.620119953575205</v>
      </c>
      <c r="BE69" s="188">
        <f t="shared" ref="BE69:BH69" si="75">SUM(BE70:BE80)</f>
        <v>23.571181138806118</v>
      </c>
      <c r="BF69" s="188">
        <f t="shared" si="75"/>
        <v>26.464438846682153</v>
      </c>
      <c r="BG69" s="188">
        <f t="shared" si="75"/>
        <v>29.140021895771127</v>
      </c>
      <c r="BH69" s="188">
        <f t="shared" si="75"/>
        <v>31.910762607659223</v>
      </c>
    </row>
    <row r="70" spans="1:60" x14ac:dyDescent="0.2">
      <c r="A70" s="90" t="str">
        <f t="shared" ref="A70:A80" si="76">A22</f>
        <v>15-19</v>
      </c>
      <c r="B70" s="188">
        <v>21.970306906103936</v>
      </c>
      <c r="C70" s="188">
        <v>20.026076119996116</v>
      </c>
      <c r="D70" s="188">
        <v>15.121179094017016</v>
      </c>
      <c r="E70" s="188">
        <v>17.089485140563891</v>
      </c>
      <c r="F70" s="187">
        <v>20.063648634933156</v>
      </c>
      <c r="G70" s="188"/>
      <c r="H70" s="188">
        <v>5.926181505924986</v>
      </c>
      <c r="I70" s="188">
        <v>5.4017609070647374</v>
      </c>
      <c r="J70" s="188">
        <v>4.0787280675207782</v>
      </c>
      <c r="K70" s="188">
        <v>4.6096697076419106</v>
      </c>
      <c r="L70" s="187">
        <v>5.4118921208641293</v>
      </c>
      <c r="M70" s="188"/>
      <c r="N70" s="188">
        <v>16.044125400178949</v>
      </c>
      <c r="O70" s="188">
        <v>14.624315212931378</v>
      </c>
      <c r="P70" s="188">
        <v>11.04245102649624</v>
      </c>
      <c r="Q70" s="188">
        <v>12.479815432921979</v>
      </c>
      <c r="R70" s="187">
        <v>14.651756514069028</v>
      </c>
      <c r="S70" s="188"/>
      <c r="T70" s="188">
        <v>0</v>
      </c>
      <c r="U70" s="188">
        <v>0</v>
      </c>
      <c r="V70" s="188">
        <v>0</v>
      </c>
      <c r="W70" s="188">
        <v>0</v>
      </c>
      <c r="X70" s="187">
        <v>0</v>
      </c>
      <c r="Y70" s="90" t="str">
        <f t="shared" ref="Y70:Y80" si="77">Y22</f>
        <v>15-19</v>
      </c>
      <c r="Z70" s="188">
        <v>17.840683082880268</v>
      </c>
      <c r="AA70" s="188">
        <v>14.680133047335039</v>
      </c>
      <c r="AB70" s="188">
        <v>13.72560965822832</v>
      </c>
      <c r="AC70" s="188">
        <v>15.436484788467865</v>
      </c>
      <c r="AD70" s="187">
        <v>18.541508530812692</v>
      </c>
      <c r="AE70" s="188"/>
      <c r="AF70" s="188">
        <v>16.8611671563519</v>
      </c>
      <c r="AG70" s="188">
        <v>13.874168165612016</v>
      </c>
      <c r="AH70" s="188">
        <v>12.972040867641711</v>
      </c>
      <c r="AI70" s="188">
        <v>14.588974970800006</v>
      </c>
      <c r="AJ70" s="187">
        <v>17.523528875034817</v>
      </c>
      <c r="AK70" s="188"/>
      <c r="AL70" s="188">
        <v>0.9795159265283645</v>
      </c>
      <c r="AM70" s="188">
        <v>0.80596488172302239</v>
      </c>
      <c r="AN70" s="188">
        <v>0.75356879058660964</v>
      </c>
      <c r="AO70" s="188">
        <v>0.84750981766786149</v>
      </c>
      <c r="AP70" s="187">
        <v>1.0179796557778724</v>
      </c>
      <c r="AQ70" s="90" t="str">
        <f t="shared" ref="AQ70:AQ80" si="78">AQ22</f>
        <v>15-19</v>
      </c>
      <c r="AR70" s="188">
        <v>0.10001001101580378</v>
      </c>
      <c r="AS70" s="188">
        <v>0.10679083266884004</v>
      </c>
      <c r="AT70" s="188">
        <v>1.2112477546660798E-3</v>
      </c>
      <c r="AU70" s="188">
        <v>6.0300709682370914E-3</v>
      </c>
      <c r="AV70" s="187">
        <v>1.0842834254153347E-2</v>
      </c>
      <c r="AW70" s="188"/>
      <c r="AX70" s="188">
        <v>6.6192985196819223E-2</v>
      </c>
      <c r="AY70" s="188">
        <v>7.0679138418197798E-2</v>
      </c>
      <c r="AZ70" s="188">
        <v>8.014133599071727E-4</v>
      </c>
      <c r="BA70" s="188">
        <v>3.9895924082780755E-3</v>
      </c>
      <c r="BB70" s="187">
        <v>7.1745268353603188E-3</v>
      </c>
      <c r="BC70" s="188"/>
      <c r="BD70" s="188">
        <v>3.3817025818984561E-2</v>
      </c>
      <c r="BE70" s="188">
        <v>3.6111694250642229E-2</v>
      </c>
      <c r="BF70" s="188">
        <v>4.0983439475890718E-4</v>
      </c>
      <c r="BG70" s="188">
        <v>2.0404785599590159E-3</v>
      </c>
      <c r="BH70" s="187">
        <v>3.6683074187930289E-3</v>
      </c>
    </row>
    <row r="71" spans="1:60" x14ac:dyDescent="0.2">
      <c r="A71" s="90" t="str">
        <f t="shared" si="76"/>
        <v>20-24</v>
      </c>
      <c r="B71" s="188">
        <v>42.835372944962316</v>
      </c>
      <c r="C71" s="188">
        <v>48.066292311616593</v>
      </c>
      <c r="D71" s="188">
        <v>41.397068793006476</v>
      </c>
      <c r="E71" s="188">
        <v>35.270255608267561</v>
      </c>
      <c r="F71" s="187">
        <v>32.498817128536295</v>
      </c>
      <c r="G71" s="188"/>
      <c r="H71" s="188">
        <v>9.7684866793085128</v>
      </c>
      <c r="I71" s="188">
        <v>10.961327650529908</v>
      </c>
      <c r="J71" s="188">
        <v>9.4404947503411645</v>
      </c>
      <c r="K71" s="188">
        <v>8.0432844087857056</v>
      </c>
      <c r="L71" s="187">
        <v>7.4112487352797149</v>
      </c>
      <c r="M71" s="188"/>
      <c r="N71" s="188">
        <v>33.0668862656538</v>
      </c>
      <c r="O71" s="188">
        <v>37.104964661086683</v>
      </c>
      <c r="P71" s="188">
        <v>31.956574042665309</v>
      </c>
      <c r="Q71" s="188">
        <v>27.226971199481849</v>
      </c>
      <c r="R71" s="187">
        <v>25.087568393256582</v>
      </c>
      <c r="S71" s="188"/>
      <c r="T71" s="188">
        <v>0</v>
      </c>
      <c r="U71" s="188">
        <v>0</v>
      </c>
      <c r="V71" s="188">
        <v>0</v>
      </c>
      <c r="W71" s="188">
        <v>0</v>
      </c>
      <c r="X71" s="187">
        <v>0</v>
      </c>
      <c r="Y71" s="90" t="str">
        <f t="shared" si="77"/>
        <v>20-24</v>
      </c>
      <c r="Z71" s="188">
        <v>117.60066097337621</v>
      </c>
      <c r="AA71" s="188">
        <v>116.00972577437592</v>
      </c>
      <c r="AB71" s="188">
        <v>117.37387172072432</v>
      </c>
      <c r="AC71" s="188">
        <v>109.8328571099937</v>
      </c>
      <c r="AD71" s="187">
        <v>112.18324785696579</v>
      </c>
      <c r="AE71" s="188"/>
      <c r="AF71" s="188">
        <v>109.40519835653062</v>
      </c>
      <c r="AG71" s="188">
        <v>107.92518380300695</v>
      </c>
      <c r="AH71" s="188">
        <v>109.19423291573709</v>
      </c>
      <c r="AI71" s="188">
        <v>102.17877037651678</v>
      </c>
      <c r="AJ71" s="187">
        <v>104.36530258032673</v>
      </c>
      <c r="AK71" s="188"/>
      <c r="AL71" s="188">
        <v>8.1954626168455889</v>
      </c>
      <c r="AM71" s="188">
        <v>8.0845419713689743</v>
      </c>
      <c r="AN71" s="188">
        <v>8.1796388049872402</v>
      </c>
      <c r="AO71" s="188">
        <v>7.6540867334769196</v>
      </c>
      <c r="AP71" s="187">
        <v>7.8179452766390698</v>
      </c>
      <c r="AQ71" s="90" t="str">
        <f t="shared" si="78"/>
        <v>20-24</v>
      </c>
      <c r="AR71" s="188">
        <v>35.953966081661484</v>
      </c>
      <c r="AS71" s="188">
        <v>35.412981914007489</v>
      </c>
      <c r="AT71" s="188">
        <v>39.05605948626922</v>
      </c>
      <c r="AU71" s="188">
        <v>40.227887281738759</v>
      </c>
      <c r="AV71" s="187">
        <v>45.244935014497926</v>
      </c>
      <c r="AW71" s="188"/>
      <c r="AX71" s="188">
        <v>35.894388197223741</v>
      </c>
      <c r="AY71" s="188">
        <v>35.354282498596831</v>
      </c>
      <c r="AZ71" s="188">
        <v>38.991316542918099</v>
      </c>
      <c r="BA71" s="188">
        <v>40.161217830179162</v>
      </c>
      <c r="BB71" s="187">
        <v>45.169897221289091</v>
      </c>
      <c r="BC71" s="188"/>
      <c r="BD71" s="188">
        <v>5.9577884437741695E-2</v>
      </c>
      <c r="BE71" s="188">
        <v>5.8699415410650713E-2</v>
      </c>
      <c r="BF71" s="188">
        <v>6.4742943351118576E-2</v>
      </c>
      <c r="BG71" s="188">
        <v>6.6669451559595388E-2</v>
      </c>
      <c r="BH71" s="187">
        <v>7.5037793208839618E-2</v>
      </c>
    </row>
    <row r="72" spans="1:60" x14ac:dyDescent="0.2">
      <c r="A72" s="90" t="str">
        <f t="shared" si="76"/>
        <v>25-29</v>
      </c>
      <c r="B72" s="188">
        <v>54.132987761997782</v>
      </c>
      <c r="C72" s="188">
        <v>59.30277365778997</v>
      </c>
      <c r="D72" s="188">
        <v>53.119400404129237</v>
      </c>
      <c r="E72" s="188">
        <v>53.434184420591016</v>
      </c>
      <c r="F72" s="187">
        <v>46.384829749714591</v>
      </c>
      <c r="G72" s="188"/>
      <c r="H72" s="188">
        <v>15.657402965414564</v>
      </c>
      <c r="I72" s="188">
        <v>17.15271266465906</v>
      </c>
      <c r="J72" s="188">
        <v>15.364227768456015</v>
      </c>
      <c r="K72" s="188">
        <v>15.455258797856304</v>
      </c>
      <c r="L72" s="187">
        <v>13.416311066916181</v>
      </c>
      <c r="M72" s="188"/>
      <c r="N72" s="188">
        <v>38.47558479658322</v>
      </c>
      <c r="O72" s="188">
        <v>42.150060993130907</v>
      </c>
      <c r="P72" s="188">
        <v>37.755172635673226</v>
      </c>
      <c r="Q72" s="188">
        <v>37.978925622734714</v>
      </c>
      <c r="R72" s="187">
        <v>32.968518682798404</v>
      </c>
      <c r="S72" s="188"/>
      <c r="T72" s="188">
        <v>0</v>
      </c>
      <c r="U72" s="188">
        <v>0</v>
      </c>
      <c r="V72" s="188">
        <v>0</v>
      </c>
      <c r="W72" s="188">
        <v>0</v>
      </c>
      <c r="X72" s="187">
        <v>0</v>
      </c>
      <c r="Y72" s="90" t="str">
        <f t="shared" si="77"/>
        <v>25-29</v>
      </c>
      <c r="Z72" s="188">
        <v>149.16941523155822</v>
      </c>
      <c r="AA72" s="188">
        <v>137.65111832560171</v>
      </c>
      <c r="AB72" s="188">
        <v>143.78119393240843</v>
      </c>
      <c r="AC72" s="188">
        <v>153.35525074005449</v>
      </c>
      <c r="AD72" s="187">
        <v>151.04532202229836</v>
      </c>
      <c r="AE72" s="188"/>
      <c r="AF72" s="188">
        <v>139.54207798178672</v>
      </c>
      <c r="AG72" s="188">
        <v>128.76718250907044</v>
      </c>
      <c r="AH72" s="188">
        <v>134.50166828917818</v>
      </c>
      <c r="AI72" s="188">
        <v>143.4577811169944</v>
      </c>
      <c r="AJ72" s="187">
        <v>141.29698663959073</v>
      </c>
      <c r="AK72" s="188"/>
      <c r="AL72" s="188">
        <v>9.6273372497715179</v>
      </c>
      <c r="AM72" s="188">
        <v>8.8839358165312774</v>
      </c>
      <c r="AN72" s="188">
        <v>9.2795256432302509</v>
      </c>
      <c r="AO72" s="188">
        <v>9.8974696230601076</v>
      </c>
      <c r="AP72" s="187">
        <v>9.7483353827076193</v>
      </c>
      <c r="AQ72" s="90" t="str">
        <f t="shared" si="78"/>
        <v>25-29</v>
      </c>
      <c r="AR72" s="188">
        <v>114.08059700644398</v>
      </c>
      <c r="AS72" s="188">
        <v>119.54710801660832</v>
      </c>
      <c r="AT72" s="188">
        <v>121.54440566346231</v>
      </c>
      <c r="AU72" s="188">
        <v>131.36556483935448</v>
      </c>
      <c r="AV72" s="187">
        <v>131.1628482279871</v>
      </c>
      <c r="AW72" s="188"/>
      <c r="AX72" s="188">
        <v>112.96810261144897</v>
      </c>
      <c r="AY72" s="188">
        <v>118.38128469844733</v>
      </c>
      <c r="AZ72" s="188">
        <v>120.35910614116368</v>
      </c>
      <c r="BA72" s="188">
        <v>130.08456385999412</v>
      </c>
      <c r="BB72" s="187">
        <v>129.88383705598</v>
      </c>
      <c r="BC72" s="188"/>
      <c r="BD72" s="188">
        <v>1.1124943949950061</v>
      </c>
      <c r="BE72" s="188">
        <v>1.1658233181609874</v>
      </c>
      <c r="BF72" s="188">
        <v>1.1852995222986344</v>
      </c>
      <c r="BG72" s="188">
        <v>1.2810009793603585</v>
      </c>
      <c r="BH72" s="187">
        <v>1.2790111720071109</v>
      </c>
    </row>
    <row r="73" spans="1:60" x14ac:dyDescent="0.2">
      <c r="A73" s="90" t="str">
        <f t="shared" si="76"/>
        <v>30-34</v>
      </c>
      <c r="B73" s="188">
        <v>59.746194470013975</v>
      </c>
      <c r="C73" s="188">
        <v>55.826048413105191</v>
      </c>
      <c r="D73" s="188">
        <v>52.687517039427384</v>
      </c>
      <c r="E73" s="188">
        <v>49.043992638223799</v>
      </c>
      <c r="F73" s="187">
        <v>42.215560181056873</v>
      </c>
      <c r="G73" s="188"/>
      <c r="H73" s="188">
        <v>19.460449413601172</v>
      </c>
      <c r="I73" s="188">
        <v>18.183578385321248</v>
      </c>
      <c r="J73" s="188">
        <v>17.161250414897957</v>
      </c>
      <c r="K73" s="188">
        <v>15.974514770585094</v>
      </c>
      <c r="L73" s="187">
        <v>13.750439228926275</v>
      </c>
      <c r="M73" s="188"/>
      <c r="N73" s="188">
        <v>40.285745056412807</v>
      </c>
      <c r="O73" s="188">
        <v>37.642470027783951</v>
      </c>
      <c r="P73" s="188">
        <v>35.526266624529427</v>
      </c>
      <c r="Q73" s="188">
        <v>33.069477867638696</v>
      </c>
      <c r="R73" s="187">
        <v>28.465120952130594</v>
      </c>
      <c r="S73" s="188"/>
      <c r="T73" s="188">
        <v>0</v>
      </c>
      <c r="U73" s="188">
        <v>0</v>
      </c>
      <c r="V73" s="188">
        <v>0</v>
      </c>
      <c r="W73" s="188">
        <v>0</v>
      </c>
      <c r="X73" s="187">
        <v>0</v>
      </c>
      <c r="Y73" s="90" t="str">
        <f t="shared" si="77"/>
        <v>30-34</v>
      </c>
      <c r="Z73" s="188">
        <v>143.97550755975615</v>
      </c>
      <c r="AA73" s="188">
        <v>143.04692062923695</v>
      </c>
      <c r="AB73" s="188">
        <v>150.54112992034914</v>
      </c>
      <c r="AC73" s="188">
        <v>160.10889854017847</v>
      </c>
      <c r="AD73" s="187">
        <v>177.21576862141688</v>
      </c>
      <c r="AE73" s="188"/>
      <c r="AF73" s="188">
        <v>134.51151244341474</v>
      </c>
      <c r="AG73" s="188">
        <v>133.6439199496856</v>
      </c>
      <c r="AH73" s="188">
        <v>140.64555798795368</v>
      </c>
      <c r="AI73" s="188">
        <v>149.58441151968711</v>
      </c>
      <c r="AJ73" s="187">
        <v>165.5667550636862</v>
      </c>
      <c r="AK73" s="188"/>
      <c r="AL73" s="188">
        <v>9.4639951163413958</v>
      </c>
      <c r="AM73" s="188">
        <v>9.4030006795513597</v>
      </c>
      <c r="AN73" s="188">
        <v>9.8955719323954607</v>
      </c>
      <c r="AO73" s="188">
        <v>10.524487020491364</v>
      </c>
      <c r="AP73" s="187">
        <v>11.649013557730687</v>
      </c>
      <c r="AQ73" s="90" t="str">
        <f t="shared" si="78"/>
        <v>30-34</v>
      </c>
      <c r="AR73" s="188">
        <v>126.29229797022987</v>
      </c>
      <c r="AS73" s="188">
        <v>134.62703095765789</v>
      </c>
      <c r="AT73" s="188">
        <v>139.10335304022348</v>
      </c>
      <c r="AU73" s="188">
        <v>148.01810882159774</v>
      </c>
      <c r="AV73" s="187">
        <v>167.58267119752625</v>
      </c>
      <c r="AW73" s="188"/>
      <c r="AX73" s="188">
        <v>122.95073277336256</v>
      </c>
      <c r="AY73" s="188">
        <v>131.06497700319039</v>
      </c>
      <c r="AZ73" s="188">
        <v>135.42281890028266</v>
      </c>
      <c r="BA73" s="188">
        <v>144.10171770063747</v>
      </c>
      <c r="BB73" s="187">
        <v>163.14861509949301</v>
      </c>
      <c r="BC73" s="188"/>
      <c r="BD73" s="188">
        <v>3.3415651968673079</v>
      </c>
      <c r="BE73" s="188">
        <v>3.5620539544675016</v>
      </c>
      <c r="BF73" s="188">
        <v>3.6805341399408</v>
      </c>
      <c r="BG73" s="188">
        <v>3.9163911209602649</v>
      </c>
      <c r="BH73" s="187">
        <v>4.434056098033226</v>
      </c>
    </row>
    <row r="74" spans="1:60" x14ac:dyDescent="0.2">
      <c r="A74" s="90" t="str">
        <f t="shared" si="76"/>
        <v>35-39</v>
      </c>
      <c r="B74" s="188">
        <v>72.389274390689224</v>
      </c>
      <c r="C74" s="188">
        <v>71.644104598988108</v>
      </c>
      <c r="D74" s="188">
        <v>56.546565915153813</v>
      </c>
      <c r="E74" s="188">
        <v>46.727112769454443</v>
      </c>
      <c r="F74" s="187">
        <v>36.765389039064232</v>
      </c>
      <c r="G74" s="188"/>
      <c r="H74" s="188">
        <v>22.092351099930109</v>
      </c>
      <c r="I74" s="188">
        <v>21.864916566985048</v>
      </c>
      <c r="J74" s="188">
        <v>17.257326348768249</v>
      </c>
      <c r="K74" s="188">
        <v>14.26057413503738</v>
      </c>
      <c r="L74" s="187">
        <v>11.220343143702051</v>
      </c>
      <c r="M74" s="188"/>
      <c r="N74" s="188">
        <v>50.296923290759125</v>
      </c>
      <c r="O74" s="188">
        <v>49.779188032003056</v>
      </c>
      <c r="P74" s="188">
        <v>39.289239566385561</v>
      </c>
      <c r="Q74" s="188">
        <v>32.466538634417063</v>
      </c>
      <c r="R74" s="187">
        <v>25.545045895362183</v>
      </c>
      <c r="S74" s="188"/>
      <c r="T74" s="188">
        <v>0</v>
      </c>
      <c r="U74" s="188">
        <v>0</v>
      </c>
      <c r="V74" s="188">
        <v>0</v>
      </c>
      <c r="W74" s="188">
        <v>0</v>
      </c>
      <c r="X74" s="187">
        <v>0</v>
      </c>
      <c r="Y74" s="90" t="str">
        <f t="shared" si="77"/>
        <v>35-39</v>
      </c>
      <c r="Z74" s="188">
        <v>168.36341500024318</v>
      </c>
      <c r="AA74" s="188">
        <v>149.22804572146893</v>
      </c>
      <c r="AB74" s="188">
        <v>145.3653492467291</v>
      </c>
      <c r="AC74" s="188">
        <v>157.84177384899948</v>
      </c>
      <c r="AD74" s="187">
        <v>170.08164787734725</v>
      </c>
      <c r="AE74" s="188"/>
      <c r="AF74" s="188">
        <v>158.73056855159768</v>
      </c>
      <c r="AG74" s="188">
        <v>140.68998106739087</v>
      </c>
      <c r="AH74" s="188">
        <v>137.0482794654304</v>
      </c>
      <c r="AI74" s="188">
        <v>148.81088905475639</v>
      </c>
      <c r="AJ74" s="187">
        <v>160.35047022072709</v>
      </c>
      <c r="AK74" s="188"/>
      <c r="AL74" s="188">
        <v>9.632846448645493</v>
      </c>
      <c r="AM74" s="188">
        <v>8.53806465407804</v>
      </c>
      <c r="AN74" s="188">
        <v>8.3170697812987289</v>
      </c>
      <c r="AO74" s="188">
        <v>9.0308847942430752</v>
      </c>
      <c r="AP74" s="187">
        <v>9.7311776566201527</v>
      </c>
      <c r="AQ74" s="90" t="str">
        <f t="shared" si="78"/>
        <v>35-39</v>
      </c>
      <c r="AR74" s="188">
        <v>130.00931060906763</v>
      </c>
      <c r="AS74" s="188">
        <v>141.63984967954292</v>
      </c>
      <c r="AT74" s="188">
        <v>140.96708483811705</v>
      </c>
      <c r="AU74" s="188">
        <v>156.05411338154607</v>
      </c>
      <c r="AV74" s="187">
        <v>171.1889630835885</v>
      </c>
      <c r="AW74" s="188"/>
      <c r="AX74" s="188">
        <v>126.80367098267918</v>
      </c>
      <c r="AY74" s="188">
        <v>138.14739398786907</v>
      </c>
      <c r="AZ74" s="188">
        <v>137.49128574990962</v>
      </c>
      <c r="BA74" s="188">
        <v>152.20632202622306</v>
      </c>
      <c r="BB74" s="187">
        <v>166.96792004521947</v>
      </c>
      <c r="BC74" s="188"/>
      <c r="BD74" s="188">
        <v>3.2056396263884279</v>
      </c>
      <c r="BE74" s="188">
        <v>3.4924556916738441</v>
      </c>
      <c r="BF74" s="188">
        <v>3.4757990882074257</v>
      </c>
      <c r="BG74" s="188">
        <v>3.8477913553230336</v>
      </c>
      <c r="BH74" s="187">
        <v>4.2210430383690394</v>
      </c>
    </row>
    <row r="75" spans="1:60" x14ac:dyDescent="0.2">
      <c r="A75" s="90" t="str">
        <f t="shared" si="76"/>
        <v>40-44</v>
      </c>
      <c r="B75" s="188">
        <v>93.704921018490225</v>
      </c>
      <c r="C75" s="188">
        <v>86.025081460274208</v>
      </c>
      <c r="D75" s="188">
        <v>64.749495706932109</v>
      </c>
      <c r="E75" s="188">
        <v>46.877352399091471</v>
      </c>
      <c r="F75" s="187">
        <v>36.022235674570041</v>
      </c>
      <c r="G75" s="188"/>
      <c r="H75" s="188">
        <v>28.726825295106707</v>
      </c>
      <c r="I75" s="188">
        <v>26.372500122799597</v>
      </c>
      <c r="J75" s="188">
        <v>19.850090685545279</v>
      </c>
      <c r="K75" s="188">
        <v>14.37105615293013</v>
      </c>
      <c r="L75" s="187">
        <v>11.043233820019529</v>
      </c>
      <c r="M75" s="188"/>
      <c r="N75" s="188">
        <v>64.978095723383518</v>
      </c>
      <c r="O75" s="188">
        <v>59.652581337474615</v>
      </c>
      <c r="P75" s="188">
        <v>44.899405021386841</v>
      </c>
      <c r="Q75" s="188">
        <v>32.506296246161341</v>
      </c>
      <c r="R75" s="187">
        <v>24.979001854550507</v>
      </c>
      <c r="S75" s="188"/>
      <c r="T75" s="188">
        <v>0</v>
      </c>
      <c r="U75" s="188">
        <v>0</v>
      </c>
      <c r="V75" s="188">
        <v>0</v>
      </c>
      <c r="W75" s="188">
        <v>0</v>
      </c>
      <c r="X75" s="187">
        <v>0</v>
      </c>
      <c r="Y75" s="90" t="str">
        <f t="shared" si="77"/>
        <v>40-44</v>
      </c>
      <c r="Z75" s="188">
        <v>164.09838718909504</v>
      </c>
      <c r="AA75" s="188">
        <v>154.9023270474899</v>
      </c>
      <c r="AB75" s="188">
        <v>149.73668224901951</v>
      </c>
      <c r="AC75" s="188">
        <v>152.17875641282711</v>
      </c>
      <c r="AD75" s="187">
        <v>165.42214209784782</v>
      </c>
      <c r="AE75" s="188"/>
      <c r="AF75" s="188">
        <v>156.03959735584664</v>
      </c>
      <c r="AG75" s="188">
        <v>147.29512638226808</v>
      </c>
      <c r="AH75" s="188">
        <v>142.38323098553826</v>
      </c>
      <c r="AI75" s="188">
        <v>144.70535111932526</v>
      </c>
      <c r="AJ75" s="187">
        <v>157.29833296840684</v>
      </c>
      <c r="AK75" s="188"/>
      <c r="AL75" s="188">
        <v>8.0587898332483814</v>
      </c>
      <c r="AM75" s="188">
        <v>7.6072006652217956</v>
      </c>
      <c r="AN75" s="188">
        <v>7.3534512634812508</v>
      </c>
      <c r="AO75" s="188">
        <v>7.4734052935018527</v>
      </c>
      <c r="AP75" s="187">
        <v>8.1238091294409802</v>
      </c>
      <c r="AQ75" s="90" t="str">
        <f t="shared" si="78"/>
        <v>40-44</v>
      </c>
      <c r="AR75" s="188">
        <v>126.01269179241478</v>
      </c>
      <c r="AS75" s="188">
        <v>132.67959149223591</v>
      </c>
      <c r="AT75" s="188">
        <v>143.37582204404833</v>
      </c>
      <c r="AU75" s="188">
        <v>148.33089118808141</v>
      </c>
      <c r="AV75" s="187">
        <v>163.98362222758209</v>
      </c>
      <c r="AW75" s="188"/>
      <c r="AX75" s="188">
        <v>123.30009020573293</v>
      </c>
      <c r="AY75" s="188">
        <v>129.8235193902282</v>
      </c>
      <c r="AZ75" s="188">
        <v>140.28954114726304</v>
      </c>
      <c r="BA75" s="188">
        <v>145.13792831010065</v>
      </c>
      <c r="BB75" s="187">
        <v>160.4537346018306</v>
      </c>
      <c r="BC75" s="188"/>
      <c r="BD75" s="188">
        <v>2.7126015866818696</v>
      </c>
      <c r="BE75" s="188">
        <v>2.85607210200773</v>
      </c>
      <c r="BF75" s="188">
        <v>3.0862808967852815</v>
      </c>
      <c r="BG75" s="188">
        <v>3.1929628779807668</v>
      </c>
      <c r="BH75" s="187">
        <v>3.5298876257514915</v>
      </c>
    </row>
    <row r="76" spans="1:60" x14ac:dyDescent="0.2">
      <c r="A76" s="90" t="str">
        <f t="shared" si="76"/>
        <v>45-49</v>
      </c>
      <c r="B76" s="188">
        <v>115.30181592604359</v>
      </c>
      <c r="C76" s="188">
        <v>109.33182845391168</v>
      </c>
      <c r="D76" s="188">
        <v>79.086091683348073</v>
      </c>
      <c r="E76" s="188">
        <v>61.499061829076247</v>
      </c>
      <c r="F76" s="187">
        <v>46.838498328679577</v>
      </c>
      <c r="G76" s="188"/>
      <c r="H76" s="188">
        <v>35.170555457916208</v>
      </c>
      <c r="I76" s="188">
        <v>33.349530919839154</v>
      </c>
      <c r="J76" s="188">
        <v>24.123666078720824</v>
      </c>
      <c r="K76" s="188">
        <v>18.759060670682956</v>
      </c>
      <c r="L76" s="187">
        <v>14.287158175019892</v>
      </c>
      <c r="M76" s="188"/>
      <c r="N76" s="188">
        <v>80.131260468127394</v>
      </c>
      <c r="O76" s="188">
        <v>75.982297534072529</v>
      </c>
      <c r="P76" s="188">
        <v>54.962425604627256</v>
      </c>
      <c r="Q76" s="188">
        <v>42.740001158393298</v>
      </c>
      <c r="R76" s="187">
        <v>32.55134015365968</v>
      </c>
      <c r="S76" s="188"/>
      <c r="T76" s="188">
        <v>0</v>
      </c>
      <c r="U76" s="188">
        <v>0</v>
      </c>
      <c r="V76" s="188">
        <v>0</v>
      </c>
      <c r="W76" s="188">
        <v>0</v>
      </c>
      <c r="X76" s="187">
        <v>0</v>
      </c>
      <c r="Y76" s="90" t="str">
        <f t="shared" si="77"/>
        <v>45-49</v>
      </c>
      <c r="Z76" s="188">
        <v>139.47645471921948</v>
      </c>
      <c r="AA76" s="188">
        <v>142.31555594986082</v>
      </c>
      <c r="AB76" s="188">
        <v>150.05821621827403</v>
      </c>
      <c r="AC76" s="188">
        <v>153.64746661870106</v>
      </c>
      <c r="AD76" s="187">
        <v>155.27997647346041</v>
      </c>
      <c r="AE76" s="188"/>
      <c r="AF76" s="188">
        <v>133.76971424566429</v>
      </c>
      <c r="AG76" s="188">
        <v>136.49269012868396</v>
      </c>
      <c r="AH76" s="188">
        <v>143.91849594775999</v>
      </c>
      <c r="AI76" s="188">
        <v>147.36094259416896</v>
      </c>
      <c r="AJ76" s="187">
        <v>148.92665752037087</v>
      </c>
      <c r="AK76" s="188"/>
      <c r="AL76" s="188">
        <v>5.7067404735551852</v>
      </c>
      <c r="AM76" s="188">
        <v>5.8228658211768556</v>
      </c>
      <c r="AN76" s="188">
        <v>6.1397202705140401</v>
      </c>
      <c r="AO76" s="188">
        <v>6.2865240245320777</v>
      </c>
      <c r="AP76" s="187">
        <v>6.3533189530895484</v>
      </c>
      <c r="AQ76" s="90" t="str">
        <f t="shared" si="78"/>
        <v>45-49</v>
      </c>
      <c r="AR76" s="188">
        <v>120.1197293547369</v>
      </c>
      <c r="AS76" s="188">
        <v>129.44461559622746</v>
      </c>
      <c r="AT76" s="188">
        <v>136.0726920983779</v>
      </c>
      <c r="AU76" s="188">
        <v>140.49347155222273</v>
      </c>
      <c r="AV76" s="187">
        <v>143.29652519786003</v>
      </c>
      <c r="AW76" s="188"/>
      <c r="AX76" s="188">
        <v>117.05294273548799</v>
      </c>
      <c r="AY76" s="188">
        <v>126.13980543389869</v>
      </c>
      <c r="AZ76" s="188">
        <v>132.59867152271417</v>
      </c>
      <c r="BA76" s="188">
        <v>136.90652744386634</v>
      </c>
      <c r="BB76" s="187">
        <v>139.63803926200524</v>
      </c>
      <c r="BC76" s="188"/>
      <c r="BD76" s="188">
        <v>3.0667866192489188</v>
      </c>
      <c r="BE76" s="188">
        <v>3.3048101623287747</v>
      </c>
      <c r="BF76" s="188">
        <v>3.4740205756637477</v>
      </c>
      <c r="BG76" s="188">
        <v>3.5869441083564158</v>
      </c>
      <c r="BH76" s="187">
        <v>3.6584859358547694</v>
      </c>
    </row>
    <row r="77" spans="1:60" x14ac:dyDescent="0.2">
      <c r="A77" s="90" t="str">
        <f t="shared" si="76"/>
        <v>50-54</v>
      </c>
      <c r="B77" s="188">
        <v>111.27520275605481</v>
      </c>
      <c r="C77" s="188">
        <v>116.43002391638842</v>
      </c>
      <c r="D77" s="188">
        <v>99.298446084176007</v>
      </c>
      <c r="E77" s="188">
        <v>84.486604991419114</v>
      </c>
      <c r="F77" s="187">
        <v>69.243878653988489</v>
      </c>
      <c r="G77" s="188"/>
      <c r="H77" s="188">
        <v>39.173130960659876</v>
      </c>
      <c r="I77" s="188">
        <v>40.987832117041947</v>
      </c>
      <c r="J77" s="188">
        <v>34.956838880438383</v>
      </c>
      <c r="K77" s="188">
        <v>29.742505447101941</v>
      </c>
      <c r="L77" s="187">
        <v>24.376494465649984</v>
      </c>
      <c r="M77" s="188"/>
      <c r="N77" s="188">
        <v>72.102071795394934</v>
      </c>
      <c r="O77" s="188">
        <v>75.442191799346489</v>
      </c>
      <c r="P77" s="188">
        <v>64.34160720373761</v>
      </c>
      <c r="Q77" s="188">
        <v>54.74409954431718</v>
      </c>
      <c r="R77" s="187">
        <v>44.867384188338512</v>
      </c>
      <c r="S77" s="188"/>
      <c r="T77" s="188">
        <v>0</v>
      </c>
      <c r="U77" s="188">
        <v>0</v>
      </c>
      <c r="V77" s="188">
        <v>0</v>
      </c>
      <c r="W77" s="188">
        <v>0</v>
      </c>
      <c r="X77" s="187">
        <v>0</v>
      </c>
      <c r="Y77" s="90" t="str">
        <f t="shared" si="77"/>
        <v>50-54</v>
      </c>
      <c r="Z77" s="188">
        <v>113.3960574955765</v>
      </c>
      <c r="AA77" s="188">
        <v>121.59249637417638</v>
      </c>
      <c r="AB77" s="188">
        <v>133.48105449911949</v>
      </c>
      <c r="AC77" s="188">
        <v>141.58741797337134</v>
      </c>
      <c r="AD77" s="187">
        <v>145.63112009368126</v>
      </c>
      <c r="AE77" s="188"/>
      <c r="AF77" s="188">
        <v>108.44421929852143</v>
      </c>
      <c r="AG77" s="188">
        <v>116.28270261170104</v>
      </c>
      <c r="AH77" s="188">
        <v>127.65209448250005</v>
      </c>
      <c r="AI77" s="188">
        <v>135.40448983032255</v>
      </c>
      <c r="AJ77" s="187">
        <v>139.27159339268175</v>
      </c>
      <c r="AK77" s="188"/>
      <c r="AL77" s="188">
        <v>4.9518381970550793</v>
      </c>
      <c r="AM77" s="188">
        <v>5.3097937624753415</v>
      </c>
      <c r="AN77" s="188">
        <v>5.828960016619444</v>
      </c>
      <c r="AO77" s="188">
        <v>6.1829281430488319</v>
      </c>
      <c r="AP77" s="187">
        <v>6.3595267009995187</v>
      </c>
      <c r="AQ77" s="90" t="str">
        <f t="shared" si="78"/>
        <v>50-54</v>
      </c>
      <c r="AR77" s="188">
        <v>95.512739748368674</v>
      </c>
      <c r="AS77" s="188">
        <v>104.88647970943516</v>
      </c>
      <c r="AT77" s="188">
        <v>127.31949941670452</v>
      </c>
      <c r="AU77" s="188">
        <v>134.10597703520958</v>
      </c>
      <c r="AV77" s="187">
        <v>137.3260012523302</v>
      </c>
      <c r="AW77" s="188"/>
      <c r="AX77" s="188">
        <v>92.592908798161787</v>
      </c>
      <c r="AY77" s="188">
        <v>101.68009864647333</v>
      </c>
      <c r="AZ77" s="188">
        <v>123.42737975287275</v>
      </c>
      <c r="BA77" s="188">
        <v>130.00642315954263</v>
      </c>
      <c r="BB77" s="187">
        <v>133.12800670973192</v>
      </c>
      <c r="BC77" s="188"/>
      <c r="BD77" s="188">
        <v>2.9198309502068871</v>
      </c>
      <c r="BE77" s="188">
        <v>3.2063810629618299</v>
      </c>
      <c r="BF77" s="188">
        <v>3.892119663831775</v>
      </c>
      <c r="BG77" s="188">
        <v>4.0995538756669365</v>
      </c>
      <c r="BH77" s="187">
        <v>4.1979945425982796</v>
      </c>
    </row>
    <row r="78" spans="1:60" x14ac:dyDescent="0.2">
      <c r="A78" s="90" t="str">
        <f t="shared" si="76"/>
        <v>55-59</v>
      </c>
      <c r="B78" s="188">
        <v>68.012091171952278</v>
      </c>
      <c r="C78" s="188">
        <v>76.192899119068656</v>
      </c>
      <c r="D78" s="188">
        <v>80.959107437946358</v>
      </c>
      <c r="E78" s="188">
        <v>80.741803905128123</v>
      </c>
      <c r="F78" s="187">
        <v>67.11887912992232</v>
      </c>
      <c r="G78" s="188"/>
      <c r="H78" s="188">
        <v>26.951872424022827</v>
      </c>
      <c r="I78" s="188">
        <v>30.193746005149503</v>
      </c>
      <c r="J78" s="188">
        <v>32.082502271621657</v>
      </c>
      <c r="K78" s="188">
        <v>31.996398811217055</v>
      </c>
      <c r="L78" s="187">
        <v>26.597935178999514</v>
      </c>
      <c r="M78" s="188"/>
      <c r="N78" s="188">
        <v>41.060218747929468</v>
      </c>
      <c r="O78" s="188">
        <v>45.999153113919157</v>
      </c>
      <c r="P78" s="188">
        <v>48.876605166324701</v>
      </c>
      <c r="Q78" s="188">
        <v>48.74540509391106</v>
      </c>
      <c r="R78" s="187">
        <v>40.520943950922806</v>
      </c>
      <c r="S78" s="188"/>
      <c r="T78" s="188">
        <v>0</v>
      </c>
      <c r="U78" s="188">
        <v>0</v>
      </c>
      <c r="V78" s="188">
        <v>0</v>
      </c>
      <c r="W78" s="188">
        <v>0</v>
      </c>
      <c r="X78" s="187">
        <v>0</v>
      </c>
      <c r="Y78" s="90" t="str">
        <f t="shared" si="77"/>
        <v>55-59</v>
      </c>
      <c r="Z78" s="188">
        <v>72.790478327088792</v>
      </c>
      <c r="AA78" s="188">
        <v>72.824377516205331</v>
      </c>
      <c r="AB78" s="188">
        <v>88.796407596616632</v>
      </c>
      <c r="AC78" s="188">
        <v>107.12135329397736</v>
      </c>
      <c r="AD78" s="187">
        <v>114.12115272286486</v>
      </c>
      <c r="AE78" s="188"/>
      <c r="AF78" s="188">
        <v>68.801294834834081</v>
      </c>
      <c r="AG78" s="188">
        <v>68.83331603311845</v>
      </c>
      <c r="AH78" s="188">
        <v>83.930009776338608</v>
      </c>
      <c r="AI78" s="188">
        <v>101.25067814642075</v>
      </c>
      <c r="AJ78" s="187">
        <v>107.86683113473264</v>
      </c>
      <c r="AK78" s="188"/>
      <c r="AL78" s="188">
        <v>3.9891834922546994</v>
      </c>
      <c r="AM78" s="188">
        <v>3.9910614830868849</v>
      </c>
      <c r="AN78" s="188">
        <v>4.8663978202780056</v>
      </c>
      <c r="AO78" s="188">
        <v>5.8706751475565877</v>
      </c>
      <c r="AP78" s="187">
        <v>6.2543215881322256</v>
      </c>
      <c r="AQ78" s="90" t="str">
        <f t="shared" si="78"/>
        <v>55-59</v>
      </c>
      <c r="AR78" s="188">
        <v>71.997430500958913</v>
      </c>
      <c r="AS78" s="188">
        <v>80.286723364726001</v>
      </c>
      <c r="AT78" s="188">
        <v>97.623484965437029</v>
      </c>
      <c r="AU78" s="188">
        <v>111.25484280089452</v>
      </c>
      <c r="AV78" s="187">
        <v>119.13196814721282</v>
      </c>
      <c r="AW78" s="188"/>
      <c r="AX78" s="188">
        <v>69.435486947844097</v>
      </c>
      <c r="AY78" s="188">
        <v>77.429759529039274</v>
      </c>
      <c r="AZ78" s="188">
        <v>94.149691730122299</v>
      </c>
      <c r="BA78" s="188">
        <v>107.29594200979159</v>
      </c>
      <c r="BB78" s="187">
        <v>114.89276509261856</v>
      </c>
      <c r="BC78" s="188"/>
      <c r="BD78" s="188">
        <v>2.5619435531148169</v>
      </c>
      <c r="BE78" s="188">
        <v>2.8569638356867268</v>
      </c>
      <c r="BF78" s="188">
        <v>3.4737932353147438</v>
      </c>
      <c r="BG78" s="188">
        <v>3.9589007911029319</v>
      </c>
      <c r="BH78" s="187">
        <v>4.2392030545942614</v>
      </c>
    </row>
    <row r="79" spans="1:60" x14ac:dyDescent="0.2">
      <c r="A79" s="90" t="str">
        <f t="shared" si="76"/>
        <v>60-64</v>
      </c>
      <c r="B79" s="188">
        <v>22.058986538549966</v>
      </c>
      <c r="C79" s="188">
        <v>25.725899636040516</v>
      </c>
      <c r="D79" s="188">
        <v>23.105090180247199</v>
      </c>
      <c r="E79" s="188">
        <v>23.482130526076944</v>
      </c>
      <c r="F79" s="187">
        <v>20.863456754363423</v>
      </c>
      <c r="G79" s="188"/>
      <c r="H79" s="188">
        <v>10.261625462059436</v>
      </c>
      <c r="I79" s="188">
        <v>11.967431555445883</v>
      </c>
      <c r="J79" s="188">
        <v>10.748274288790256</v>
      </c>
      <c r="K79" s="188">
        <v>10.923637169620605</v>
      </c>
      <c r="L79" s="187">
        <v>9.7054628731438477</v>
      </c>
      <c r="M79" s="188"/>
      <c r="N79" s="188">
        <v>11.797361076490528</v>
      </c>
      <c r="O79" s="188">
        <v>13.758468080594636</v>
      </c>
      <c r="P79" s="188">
        <v>12.356815891456941</v>
      </c>
      <c r="Q79" s="188">
        <v>12.558493356456339</v>
      </c>
      <c r="R79" s="187">
        <v>11.157993881219575</v>
      </c>
      <c r="S79" s="188"/>
      <c r="T79" s="188">
        <v>0</v>
      </c>
      <c r="U79" s="188">
        <v>0</v>
      </c>
      <c r="V79" s="188">
        <v>0</v>
      </c>
      <c r="W79" s="188">
        <v>0</v>
      </c>
      <c r="X79" s="187">
        <v>0</v>
      </c>
      <c r="Y79" s="90" t="str">
        <f t="shared" si="77"/>
        <v>60-64</v>
      </c>
      <c r="Z79" s="188">
        <v>19.033134372987352</v>
      </c>
      <c r="AA79" s="188">
        <v>23.139563185511207</v>
      </c>
      <c r="AB79" s="188">
        <v>29.062611970564706</v>
      </c>
      <c r="AC79" s="188">
        <v>37.775985439184019</v>
      </c>
      <c r="AD79" s="187">
        <v>45.699503561805081</v>
      </c>
      <c r="AE79" s="188"/>
      <c r="AF79" s="188">
        <v>18.159098770843201</v>
      </c>
      <c r="AG79" s="188">
        <v>22.076986233291766</v>
      </c>
      <c r="AH79" s="188">
        <v>27.728037414140051</v>
      </c>
      <c r="AI79" s="188">
        <v>36.041367319946715</v>
      </c>
      <c r="AJ79" s="187">
        <v>43.600996459396789</v>
      </c>
      <c r="AK79" s="188"/>
      <c r="AL79" s="188">
        <v>0.87403560214415288</v>
      </c>
      <c r="AM79" s="188">
        <v>1.0625769522194444</v>
      </c>
      <c r="AN79" s="188">
        <v>1.3345745564246547</v>
      </c>
      <c r="AO79" s="188">
        <v>1.7346181192372983</v>
      </c>
      <c r="AP79" s="187">
        <v>2.0985071024082935</v>
      </c>
      <c r="AQ79" s="90" t="str">
        <f t="shared" si="78"/>
        <v>60-64</v>
      </c>
      <c r="AR79" s="188">
        <v>28.502879088462684</v>
      </c>
      <c r="AS79" s="188">
        <v>37.330537178448267</v>
      </c>
      <c r="AT79" s="188">
        <v>46.611297849188091</v>
      </c>
      <c r="AU79" s="188">
        <v>59.348884034739037</v>
      </c>
      <c r="AV79" s="187">
        <v>72.006039683831503</v>
      </c>
      <c r="AW79" s="188"/>
      <c r="AX79" s="188">
        <v>26.621847428232694</v>
      </c>
      <c r="AY79" s="188">
        <v>34.866929781336395</v>
      </c>
      <c r="AZ79" s="188">
        <v>43.535121181596431</v>
      </c>
      <c r="BA79" s="188">
        <v>55.432075117845166</v>
      </c>
      <c r="BB79" s="187">
        <v>67.253939495670267</v>
      </c>
      <c r="BC79" s="188"/>
      <c r="BD79" s="188">
        <v>1.881031660229987</v>
      </c>
      <c r="BE79" s="188">
        <v>2.463607397111879</v>
      </c>
      <c r="BF79" s="188">
        <v>3.0761766675916631</v>
      </c>
      <c r="BG79" s="188">
        <v>3.9168089168938671</v>
      </c>
      <c r="BH79" s="187">
        <v>4.7521001881612417</v>
      </c>
    </row>
    <row r="80" spans="1:60" x14ac:dyDescent="0.2">
      <c r="A80" s="90" t="str">
        <f t="shared" si="76"/>
        <v>65+</v>
      </c>
      <c r="B80" s="188">
        <v>6.9211439895691509</v>
      </c>
      <c r="C80" s="188">
        <v>11.403315499909841</v>
      </c>
      <c r="D80" s="188">
        <v>10.028756519263442</v>
      </c>
      <c r="E80" s="188">
        <v>7.9572606059831097</v>
      </c>
      <c r="F80" s="187">
        <v>6.1556020468771537</v>
      </c>
      <c r="G80" s="188"/>
      <c r="H80" s="188">
        <v>3.3880153703013169</v>
      </c>
      <c r="I80" s="188">
        <v>5.5821599276043257</v>
      </c>
      <c r="J80" s="188">
        <v>4.9092330155000692</v>
      </c>
      <c r="K80" s="188">
        <v>3.8952339057066752</v>
      </c>
      <c r="L80" s="187">
        <v>3.0132549845592425</v>
      </c>
      <c r="M80" s="188"/>
      <c r="N80" s="188">
        <v>3.5331286192678335</v>
      </c>
      <c r="O80" s="188">
        <v>5.8211555723055133</v>
      </c>
      <c r="P80" s="188">
        <v>5.1195235037633742</v>
      </c>
      <c r="Q80" s="188">
        <v>4.0620267002764345</v>
      </c>
      <c r="R80" s="187">
        <v>3.1423470623179108</v>
      </c>
      <c r="S80" s="188"/>
      <c r="T80" s="188">
        <v>0</v>
      </c>
      <c r="U80" s="188">
        <v>0</v>
      </c>
      <c r="V80" s="188">
        <v>0</v>
      </c>
      <c r="W80" s="188">
        <v>0</v>
      </c>
      <c r="X80" s="187">
        <v>0</v>
      </c>
      <c r="Y80" s="90" t="str">
        <f t="shared" si="77"/>
        <v>65+</v>
      </c>
      <c r="Z80" s="188">
        <v>5.0779151858860399</v>
      </c>
      <c r="AA80" s="188">
        <v>5.8560125079035359</v>
      </c>
      <c r="AB80" s="188">
        <v>7.4475071119826133</v>
      </c>
      <c r="AC80" s="188">
        <v>8.0611678258540653</v>
      </c>
      <c r="AD80" s="187">
        <v>8.6521443263082798</v>
      </c>
      <c r="AE80" s="188"/>
      <c r="AF80" s="188">
        <v>4.4280912105889678</v>
      </c>
      <c r="AG80" s="188">
        <v>5.1066439452522596</v>
      </c>
      <c r="AH80" s="188">
        <v>6.4944416235841498</v>
      </c>
      <c r="AI80" s="188">
        <v>7.0296284480755258</v>
      </c>
      <c r="AJ80" s="187">
        <v>7.5449282666861546</v>
      </c>
      <c r="AK80" s="188"/>
      <c r="AL80" s="188">
        <v>0.64982397529707225</v>
      </c>
      <c r="AM80" s="188">
        <v>0.74936856265127538</v>
      </c>
      <c r="AN80" s="188">
        <v>0.95306548839846261</v>
      </c>
      <c r="AO80" s="188">
        <v>1.03153937777854</v>
      </c>
      <c r="AP80" s="187">
        <v>1.1072160596221259</v>
      </c>
      <c r="AQ80" s="90" t="str">
        <f t="shared" si="78"/>
        <v>65+</v>
      </c>
      <c r="AR80" s="188">
        <v>10.295940824544813</v>
      </c>
      <c r="AS80" s="188">
        <v>8.0706719921866217</v>
      </c>
      <c r="AT80" s="188">
        <v>14.988736368753946</v>
      </c>
      <c r="AU80" s="188">
        <v>18.053571568162823</v>
      </c>
      <c r="AV80" s="187">
        <v>21.595253626814571</v>
      </c>
      <c r="AW80" s="188"/>
      <c r="AX80" s="188">
        <v>9.5711093689595526</v>
      </c>
      <c r="AY80" s="188">
        <v>7.5024694874410747</v>
      </c>
      <c r="AZ80" s="188">
        <v>13.933474089451744</v>
      </c>
      <c r="BA80" s="188">
        <v>16.782613628155822</v>
      </c>
      <c r="BB80" s="187">
        <v>20.07497877515241</v>
      </c>
      <c r="BC80" s="188"/>
      <c r="BD80" s="188">
        <v>0.72483145558525974</v>
      </c>
      <c r="BE80" s="188">
        <v>0.5682025047455489</v>
      </c>
      <c r="BF80" s="188">
        <v>1.0552622793022017</v>
      </c>
      <c r="BG80" s="188">
        <v>1.2709579400070001</v>
      </c>
      <c r="BH80" s="187">
        <v>1.5202748516621645</v>
      </c>
    </row>
    <row r="81" spans="1:60" x14ac:dyDescent="0.2"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7"/>
      <c r="P81" s="187"/>
      <c r="Q81" s="187"/>
      <c r="R81" s="187"/>
      <c r="S81" s="187"/>
      <c r="T81" s="93"/>
      <c r="U81" s="93"/>
      <c r="V81" s="93"/>
      <c r="W81" s="93"/>
      <c r="X81" s="93"/>
      <c r="Z81" s="187"/>
      <c r="AA81" s="187"/>
      <c r="AB81" s="187"/>
      <c r="AC81" s="187"/>
      <c r="AD81" s="187"/>
      <c r="AE81" s="187"/>
      <c r="AF81" s="187"/>
      <c r="AG81" s="187"/>
      <c r="AH81" s="187"/>
      <c r="AI81" s="187"/>
      <c r="AJ81" s="187"/>
      <c r="AK81" s="187"/>
      <c r="AL81" s="187"/>
      <c r="AM81" s="187"/>
      <c r="AN81" s="187"/>
      <c r="AO81" s="187"/>
      <c r="AP81" s="187"/>
      <c r="AR81" s="188"/>
      <c r="AS81" s="188"/>
      <c r="AT81" s="188"/>
      <c r="AU81" s="188"/>
      <c r="AV81" s="187"/>
      <c r="AW81" s="187"/>
      <c r="AX81" s="187"/>
      <c r="AY81" s="187"/>
      <c r="AZ81" s="187"/>
      <c r="BA81" s="187"/>
      <c r="BB81" s="187"/>
      <c r="BC81" s="187"/>
      <c r="BD81" s="187"/>
      <c r="BE81" s="187"/>
      <c r="BF81" s="187"/>
      <c r="BG81" s="187"/>
      <c r="BH81" s="187"/>
    </row>
    <row r="82" spans="1:60" x14ac:dyDescent="0.2">
      <c r="A82" s="113" t="str">
        <f>A34</f>
        <v>Females</v>
      </c>
      <c r="B82" s="187"/>
      <c r="C82" s="187"/>
      <c r="D82" s="187"/>
      <c r="E82" s="187"/>
      <c r="F82" s="187"/>
      <c r="G82" s="187"/>
      <c r="H82" s="187"/>
      <c r="I82" s="187"/>
      <c r="J82" s="187"/>
      <c r="K82" s="187"/>
      <c r="L82" s="187"/>
      <c r="M82" s="187"/>
      <c r="N82" s="187"/>
      <c r="O82" s="187"/>
      <c r="P82" s="187"/>
      <c r="Q82" s="187"/>
      <c r="R82" s="187"/>
      <c r="S82" s="187"/>
      <c r="T82" s="93"/>
      <c r="U82" s="93"/>
      <c r="V82" s="93"/>
      <c r="W82" s="93"/>
      <c r="X82" s="93"/>
      <c r="Y82" s="113" t="str">
        <f>Y34</f>
        <v>Females</v>
      </c>
      <c r="Z82" s="187"/>
      <c r="AA82" s="187"/>
      <c r="AB82" s="187"/>
      <c r="AC82" s="187"/>
      <c r="AD82" s="187"/>
      <c r="AE82" s="187"/>
      <c r="AF82" s="187"/>
      <c r="AG82" s="187"/>
      <c r="AH82" s="187"/>
      <c r="AI82" s="187"/>
      <c r="AJ82" s="187"/>
      <c r="AK82" s="187"/>
      <c r="AL82" s="187"/>
      <c r="AM82" s="187"/>
      <c r="AN82" s="187"/>
      <c r="AO82" s="187"/>
      <c r="AP82" s="187"/>
      <c r="AQ82" s="113" t="str">
        <f>AQ34</f>
        <v>Females</v>
      </c>
      <c r="AR82" s="93"/>
      <c r="AS82" s="93"/>
      <c r="AT82" s="93"/>
      <c r="AU82" s="93"/>
      <c r="AV82" s="187"/>
      <c r="AW82" s="187"/>
      <c r="AX82" s="187"/>
      <c r="AY82" s="187"/>
      <c r="AZ82" s="187"/>
      <c r="BA82" s="187"/>
      <c r="BB82" s="187"/>
      <c r="BC82" s="187"/>
      <c r="BD82" s="187"/>
      <c r="BE82" s="187"/>
      <c r="BF82" s="187"/>
      <c r="BG82" s="187"/>
      <c r="BH82" s="187"/>
    </row>
    <row r="83" spans="1:60" x14ac:dyDescent="0.2">
      <c r="A83" s="90" t="str">
        <f>A35</f>
        <v>15+</v>
      </c>
      <c r="B83" s="188">
        <f>SUM(B84:B94)</f>
        <v>423.06360139942507</v>
      </c>
      <c r="C83" s="188">
        <f t="shared" ref="C83:F83" si="79">SUM(C84:C94)</f>
        <v>420.02944292320001</v>
      </c>
      <c r="D83" s="188">
        <f t="shared" si="79"/>
        <v>340.32430055838188</v>
      </c>
      <c r="E83" s="188">
        <f t="shared" si="79"/>
        <v>280.86469102706656</v>
      </c>
      <c r="F83" s="188">
        <f t="shared" si="79"/>
        <v>223.76680386266278</v>
      </c>
      <c r="G83" s="188"/>
      <c r="H83" s="188">
        <f>SUM(H84:H94)</f>
        <v>145.89694047973552</v>
      </c>
      <c r="I83" s="188">
        <f t="shared" ref="I83:L83" si="80">SUM(I84:I94)</f>
        <v>145.07481013301967</v>
      </c>
      <c r="J83" s="188">
        <f t="shared" si="80"/>
        <v>119.0698940829858</v>
      </c>
      <c r="K83" s="188">
        <f t="shared" si="80"/>
        <v>97.685423606672089</v>
      </c>
      <c r="L83" s="188">
        <f t="shared" si="80"/>
        <v>77.126697351246889</v>
      </c>
      <c r="M83" s="188"/>
      <c r="N83" s="188">
        <f>SUM(N84:N94)</f>
        <v>277.16666091968955</v>
      </c>
      <c r="O83" s="188">
        <f t="shared" ref="O83:R83" si="81">SUM(O84:O94)</f>
        <v>274.95463279018031</v>
      </c>
      <c r="P83" s="188">
        <f t="shared" si="81"/>
        <v>221.25440647539608</v>
      </c>
      <c r="Q83" s="188">
        <f t="shared" si="81"/>
        <v>183.17926742039447</v>
      </c>
      <c r="R83" s="188">
        <f t="shared" si="81"/>
        <v>146.64010651141589</v>
      </c>
      <c r="S83" s="188"/>
      <c r="T83" s="188">
        <f>SUM(T84:T94)</f>
        <v>0</v>
      </c>
      <c r="U83" s="188">
        <f t="shared" ref="U83:X83" si="82">SUM(U84:U94)</f>
        <v>0</v>
      </c>
      <c r="V83" s="188">
        <f t="shared" si="82"/>
        <v>0</v>
      </c>
      <c r="W83" s="188">
        <f t="shared" si="82"/>
        <v>0</v>
      </c>
      <c r="X83" s="188">
        <f t="shared" si="82"/>
        <v>0</v>
      </c>
      <c r="Y83" s="90" t="str">
        <f>Y35</f>
        <v>15+</v>
      </c>
      <c r="Z83" s="188">
        <f>SUM(Z84:Z94)</f>
        <v>835.78959562739158</v>
      </c>
      <c r="AA83" s="188">
        <f t="shared" ref="AA83:AD83" si="83">SUM(AA84:AA94)</f>
        <v>817.71951299037789</v>
      </c>
      <c r="AB83" s="188">
        <f t="shared" si="83"/>
        <v>833.46122225056911</v>
      </c>
      <c r="AC83" s="188">
        <f t="shared" si="83"/>
        <v>872.7568149707464</v>
      </c>
      <c r="AD83" s="188">
        <f t="shared" si="83"/>
        <v>906.76405425389191</v>
      </c>
      <c r="AE83" s="188"/>
      <c r="AF83" s="188">
        <f>SUM(AF84:AF94)</f>
        <v>775.49874803920272</v>
      </c>
      <c r="AG83" s="188">
        <f t="shared" ref="AG83:AJ83" si="84">SUM(AG84:AG94)</f>
        <v>758.80872601036992</v>
      </c>
      <c r="AH83" s="188">
        <f t="shared" si="84"/>
        <v>773.5162619397023</v>
      </c>
      <c r="AI83" s="188">
        <f t="shared" si="84"/>
        <v>810.06846896436525</v>
      </c>
      <c r="AJ83" s="188">
        <f t="shared" si="84"/>
        <v>841.89337685638475</v>
      </c>
      <c r="AK83" s="188"/>
      <c r="AL83" s="188">
        <f>SUM(AL84:AL94)</f>
        <v>60.29084758818869</v>
      </c>
      <c r="AM83" s="188">
        <f t="shared" ref="AM83:AP83" si="85">SUM(AM84:AM94)</f>
        <v>58.910786980008034</v>
      </c>
      <c r="AN83" s="188">
        <f t="shared" si="85"/>
        <v>59.944960310866939</v>
      </c>
      <c r="AO83" s="188">
        <f t="shared" si="85"/>
        <v>62.688346006381188</v>
      </c>
      <c r="AP83" s="188">
        <f t="shared" si="85"/>
        <v>64.870677397506995</v>
      </c>
      <c r="AQ83" s="90" t="str">
        <f>AQ35</f>
        <v>15+</v>
      </c>
      <c r="AR83" s="188">
        <f>SUM(AR84:AR94)</f>
        <v>889.40880297318358</v>
      </c>
      <c r="AS83" s="188">
        <f t="shared" ref="AS83:AV83" si="86">SUM(AS84:AS94)</f>
        <v>982.33504408642204</v>
      </c>
      <c r="AT83" s="188">
        <f t="shared" si="86"/>
        <v>1108.5044771910491</v>
      </c>
      <c r="AU83" s="188">
        <f t="shared" si="86"/>
        <v>1230.8314940021869</v>
      </c>
      <c r="AV83" s="188">
        <f t="shared" si="86"/>
        <v>1348.9681418834455</v>
      </c>
      <c r="AW83" s="188"/>
      <c r="AX83" s="188">
        <f>SUM(AX84:AX94)</f>
        <v>879.74824720033962</v>
      </c>
      <c r="AY83" s="188">
        <f t="shared" ref="AY83:BB83" si="87">SUM(AY84:AY94)</f>
        <v>971.10421223711137</v>
      </c>
      <c r="AZ83" s="188">
        <f t="shared" si="87"/>
        <v>1095.1677547026629</v>
      </c>
      <c r="BA83" s="188">
        <f t="shared" si="87"/>
        <v>1216.0188704547381</v>
      </c>
      <c r="BB83" s="188">
        <f t="shared" si="87"/>
        <v>1332.3320678155631</v>
      </c>
      <c r="BC83" s="188"/>
      <c r="BD83" s="188">
        <f>SUM(BD84:BD94)</f>
        <v>9.6605557728437574</v>
      </c>
      <c r="BE83" s="188">
        <f t="shared" ref="BE83:BH83" si="88">SUM(BE84:BE94)</f>
        <v>11.105764362713181</v>
      </c>
      <c r="BF83" s="188">
        <f t="shared" si="88"/>
        <v>13.018684577213577</v>
      </c>
      <c r="BG83" s="188">
        <f t="shared" si="88"/>
        <v>14.812623547448824</v>
      </c>
      <c r="BH83" s="188">
        <f t="shared" si="88"/>
        <v>16.636074067882518</v>
      </c>
    </row>
    <row r="84" spans="1:60" x14ac:dyDescent="0.2">
      <c r="A84" s="90" t="str">
        <f t="shared" ref="A84:A94" si="89">A36</f>
        <v>15-19</v>
      </c>
      <c r="B84" s="188">
        <v>11.952178011992856</v>
      </c>
      <c r="C84" s="188">
        <v>13.402887260222242</v>
      </c>
      <c r="D84" s="188">
        <v>10.497400074288828</v>
      </c>
      <c r="E84" s="188">
        <v>10.487079759394881</v>
      </c>
      <c r="F84" s="187">
        <v>11.380731286753464</v>
      </c>
      <c r="G84" s="187"/>
      <c r="H84" s="188">
        <v>1.9311383476471966</v>
      </c>
      <c r="I84" s="188">
        <v>2.1654425866600273</v>
      </c>
      <c r="J84" s="188">
        <v>1.6960330233653167</v>
      </c>
      <c r="K84" s="188">
        <v>1.6944183086206663</v>
      </c>
      <c r="L84" s="187">
        <v>1.8387489146198699</v>
      </c>
      <c r="M84" s="187"/>
      <c r="N84" s="188">
        <v>10.021039664345659</v>
      </c>
      <c r="O84" s="188">
        <v>11.237444673562216</v>
      </c>
      <c r="P84" s="188">
        <v>8.8013670509235116</v>
      </c>
      <c r="Q84" s="188">
        <v>8.7926614507742151</v>
      </c>
      <c r="R84" s="187">
        <v>9.5419823721335941</v>
      </c>
      <c r="S84" s="187"/>
      <c r="T84" s="188">
        <v>0</v>
      </c>
      <c r="U84" s="188">
        <v>0</v>
      </c>
      <c r="V84" s="188">
        <v>0</v>
      </c>
      <c r="W84" s="188">
        <v>0</v>
      </c>
      <c r="X84" s="187">
        <v>0</v>
      </c>
      <c r="Y84" s="90" t="str">
        <f t="shared" ref="Y84:Y94" si="90">Y36</f>
        <v>15-19</v>
      </c>
      <c r="Z84" s="188">
        <v>10.828592838586953</v>
      </c>
      <c r="AA84" s="188">
        <v>10.260045253180333</v>
      </c>
      <c r="AB84" s="188">
        <v>8.3705620145386224</v>
      </c>
      <c r="AC84" s="188">
        <v>8.9334389435199988</v>
      </c>
      <c r="AD84" s="187">
        <v>10.306241587925554</v>
      </c>
      <c r="AE84" s="187"/>
      <c r="AF84" s="188">
        <v>10.269940466538486</v>
      </c>
      <c r="AG84" s="188">
        <v>9.7306883630573378</v>
      </c>
      <c r="AH84" s="188">
        <v>7.9386523921141237</v>
      </c>
      <c r="AI84" s="188">
        <v>8.4725263317021824</v>
      </c>
      <c r="AJ84" s="187">
        <v>9.7745223494256592</v>
      </c>
      <c r="AK84" s="187"/>
      <c r="AL84" s="188">
        <v>0.55865237204846663</v>
      </c>
      <c r="AM84" s="188">
        <v>0.52935689012299614</v>
      </c>
      <c r="AN84" s="188">
        <v>0.43190962242449843</v>
      </c>
      <c r="AO84" s="188">
        <v>0.46091261181781773</v>
      </c>
      <c r="AP84" s="187">
        <v>0.53171923849989433</v>
      </c>
      <c r="AQ84" s="90" t="str">
        <f t="shared" ref="AQ84:AQ94" si="91">AQ36</f>
        <v>15-19</v>
      </c>
      <c r="AR84" s="188">
        <v>0.12322914942019014</v>
      </c>
      <c r="AS84" s="188">
        <v>0.12506748659742103</v>
      </c>
      <c r="AT84" s="188">
        <v>0.31803791117255348</v>
      </c>
      <c r="AU84" s="188">
        <v>0.32248129708511647</v>
      </c>
      <c r="AV84" s="187">
        <v>0.3530271253209819</v>
      </c>
      <c r="AW84" s="187"/>
      <c r="AX84" s="188">
        <v>0.12322914942019014</v>
      </c>
      <c r="AY84" s="188">
        <v>0</v>
      </c>
      <c r="AZ84" s="188">
        <v>0</v>
      </c>
      <c r="BA84" s="188">
        <v>0.32248129708511647</v>
      </c>
      <c r="BB84" s="187">
        <v>0.3530271253209819</v>
      </c>
      <c r="BC84" s="187"/>
      <c r="BD84" s="188">
        <v>0</v>
      </c>
      <c r="BE84" s="188">
        <v>0</v>
      </c>
      <c r="BF84" s="188">
        <v>0</v>
      </c>
      <c r="BG84" s="188">
        <v>0</v>
      </c>
      <c r="BH84" s="187">
        <v>0</v>
      </c>
    </row>
    <row r="85" spans="1:60" x14ac:dyDescent="0.2">
      <c r="A85" s="90" t="str">
        <f t="shared" si="89"/>
        <v>20-24</v>
      </c>
      <c r="B85" s="188">
        <v>27.162073940488085</v>
      </c>
      <c r="C85" s="188">
        <v>25.818959473458939</v>
      </c>
      <c r="D85" s="188">
        <v>19.430418992506574</v>
      </c>
      <c r="E85" s="188">
        <v>17.065770140454763</v>
      </c>
      <c r="F85" s="187">
        <v>15.339491201948526</v>
      </c>
      <c r="G85" s="187"/>
      <c r="H85" s="188">
        <v>7.738175779416105</v>
      </c>
      <c r="I85" s="188">
        <v>7.3555159173417479</v>
      </c>
      <c r="J85" s="188">
        <v>5.5355294417133862</v>
      </c>
      <c r="K85" s="188">
        <v>4.8618655592881783</v>
      </c>
      <c r="L85" s="187">
        <v>4.370057954996903</v>
      </c>
      <c r="M85" s="187"/>
      <c r="N85" s="188">
        <v>19.423898161071982</v>
      </c>
      <c r="O85" s="188">
        <v>18.463443556117188</v>
      </c>
      <c r="P85" s="188">
        <v>13.894889550793188</v>
      </c>
      <c r="Q85" s="188">
        <v>12.203904581166585</v>
      </c>
      <c r="R85" s="187">
        <v>10.96943324695162</v>
      </c>
      <c r="S85" s="187"/>
      <c r="T85" s="188">
        <v>0</v>
      </c>
      <c r="U85" s="188">
        <v>0</v>
      </c>
      <c r="V85" s="188">
        <v>0</v>
      </c>
      <c r="W85" s="188">
        <v>0</v>
      </c>
      <c r="X85" s="187">
        <v>0</v>
      </c>
      <c r="Y85" s="90" t="str">
        <f t="shared" si="90"/>
        <v>20-24</v>
      </c>
      <c r="Z85" s="188">
        <v>83.029902962100564</v>
      </c>
      <c r="AA85" s="188">
        <v>84.099064086151856</v>
      </c>
      <c r="AB85" s="188">
        <v>75.456016390238844</v>
      </c>
      <c r="AC85" s="188">
        <v>72.409581167242635</v>
      </c>
      <c r="AD85" s="187">
        <v>70.925077672432323</v>
      </c>
      <c r="AE85" s="187"/>
      <c r="AF85" s="188">
        <v>74.996139409236491</v>
      </c>
      <c r="AG85" s="188">
        <v>75.961913287114783</v>
      </c>
      <c r="AH85" s="188">
        <v>68.155149094152151</v>
      </c>
      <c r="AI85" s="188">
        <v>65.403445863093296</v>
      </c>
      <c r="AJ85" s="187">
        <v>64.062544551136526</v>
      </c>
      <c r="AK85" s="187"/>
      <c r="AL85" s="188">
        <v>8.0337635528640625</v>
      </c>
      <c r="AM85" s="188">
        <v>8.1371507990370748</v>
      </c>
      <c r="AN85" s="188">
        <v>7.3008672960866994</v>
      </c>
      <c r="AO85" s="188">
        <v>7.0061353041493399</v>
      </c>
      <c r="AP85" s="187">
        <v>6.8625331212957974</v>
      </c>
      <c r="AQ85" s="90" t="str">
        <f t="shared" si="91"/>
        <v>20-24</v>
      </c>
      <c r="AR85" s="188">
        <v>64.096023097411347</v>
      </c>
      <c r="AS85" s="188">
        <v>59.5749764403892</v>
      </c>
      <c r="AT85" s="188">
        <v>64.928564617254594</v>
      </c>
      <c r="AU85" s="188">
        <v>69.876648692302624</v>
      </c>
      <c r="AV85" s="187">
        <v>76.967431125619157</v>
      </c>
      <c r="AW85" s="187"/>
      <c r="AX85" s="188">
        <v>63.936315058758787</v>
      </c>
      <c r="AY85" s="188">
        <v>59.426553735923072</v>
      </c>
      <c r="AZ85" s="188">
        <v>64.766758302259873</v>
      </c>
      <c r="BA85" s="188">
        <v>69.702519316956455</v>
      </c>
      <c r="BB85" s="187">
        <v>76.775653915926199</v>
      </c>
      <c r="BC85" s="187"/>
      <c r="BD85" s="188">
        <v>0.1597080386525653</v>
      </c>
      <c r="BE85" s="188">
        <v>0.14842270446612335</v>
      </c>
      <c r="BF85" s="188">
        <v>0.16180631499472672</v>
      </c>
      <c r="BG85" s="188">
        <v>0.17412937534616696</v>
      </c>
      <c r="BH85" s="187">
        <v>0.19177720969295214</v>
      </c>
    </row>
    <row r="86" spans="1:60" x14ac:dyDescent="0.2">
      <c r="A86" s="90" t="str">
        <f t="shared" si="89"/>
        <v>25-29</v>
      </c>
      <c r="B86" s="188">
        <v>28.972672566594831</v>
      </c>
      <c r="C86" s="188">
        <v>33.619340539542968</v>
      </c>
      <c r="D86" s="188">
        <v>28.636722146171739</v>
      </c>
      <c r="E86" s="188">
        <v>27.654766165607402</v>
      </c>
      <c r="F86" s="187">
        <v>24.701036177168444</v>
      </c>
      <c r="G86" s="187"/>
      <c r="H86" s="188">
        <v>7.950704122039733</v>
      </c>
      <c r="I86" s="188">
        <v>9.2258401283768823</v>
      </c>
      <c r="J86" s="188">
        <v>7.8585514263485647</v>
      </c>
      <c r="K86" s="188">
        <v>7.589044948115105</v>
      </c>
      <c r="L86" s="187">
        <v>6.778482350960795</v>
      </c>
      <c r="M86" s="187"/>
      <c r="N86" s="188">
        <v>21.021968444555103</v>
      </c>
      <c r="O86" s="188">
        <v>24.393500411166084</v>
      </c>
      <c r="P86" s="188">
        <v>20.778170719823173</v>
      </c>
      <c r="Q86" s="188">
        <v>20.065721217492296</v>
      </c>
      <c r="R86" s="187">
        <v>17.922553826207647</v>
      </c>
      <c r="S86" s="187"/>
      <c r="T86" s="188">
        <v>0</v>
      </c>
      <c r="U86" s="188">
        <v>0</v>
      </c>
      <c r="V86" s="188">
        <v>0</v>
      </c>
      <c r="W86" s="188">
        <v>0</v>
      </c>
      <c r="X86" s="187">
        <v>0</v>
      </c>
      <c r="Y86" s="90" t="str">
        <f t="shared" si="90"/>
        <v>25-29</v>
      </c>
      <c r="Z86" s="188">
        <v>104.35741449365315</v>
      </c>
      <c r="AA86" s="188">
        <v>97.185337610544352</v>
      </c>
      <c r="AB86" s="188">
        <v>95.599811894115447</v>
      </c>
      <c r="AC86" s="188">
        <v>97.118545376405621</v>
      </c>
      <c r="AD86" s="187">
        <v>91.712418531394292</v>
      </c>
      <c r="AE86" s="187"/>
      <c r="AF86" s="188">
        <v>94.421539979508964</v>
      </c>
      <c r="AG86" s="188">
        <v>87.932329636056579</v>
      </c>
      <c r="AH86" s="188">
        <v>86.497719374499709</v>
      </c>
      <c r="AI86" s="188">
        <v>87.87184276496231</v>
      </c>
      <c r="AJ86" s="187">
        <v>82.980425552523215</v>
      </c>
      <c r="AK86" s="187"/>
      <c r="AL86" s="188">
        <v>9.9358745141441993</v>
      </c>
      <c r="AM86" s="188">
        <v>9.2530079744877742</v>
      </c>
      <c r="AN86" s="188">
        <v>9.1020925196157414</v>
      </c>
      <c r="AO86" s="188">
        <v>9.2467026114433057</v>
      </c>
      <c r="AP86" s="187">
        <v>8.7319929788710677</v>
      </c>
      <c r="AQ86" s="90" t="str">
        <f t="shared" si="91"/>
        <v>25-29</v>
      </c>
      <c r="AR86" s="188">
        <v>154.57691293975205</v>
      </c>
      <c r="AS86" s="188">
        <v>158.68732184991271</v>
      </c>
      <c r="AT86" s="188">
        <v>170.7534659597128</v>
      </c>
      <c r="AU86" s="188">
        <v>191.50468845798702</v>
      </c>
      <c r="AV86" s="187">
        <v>199.18454529143727</v>
      </c>
      <c r="AW86" s="187"/>
      <c r="AX86" s="188">
        <v>153.36078875627214</v>
      </c>
      <c r="AY86" s="188">
        <v>157.4389010397588</v>
      </c>
      <c r="AZ86" s="188">
        <v>169.41011412348425</v>
      </c>
      <c r="BA86" s="188">
        <v>189.99801160263456</v>
      </c>
      <c r="BB86" s="187">
        <v>197.61746925057139</v>
      </c>
      <c r="BC86" s="187"/>
      <c r="BD86" s="188">
        <v>1.216124183479921</v>
      </c>
      <c r="BE86" s="188">
        <v>1.2484208101538898</v>
      </c>
      <c r="BF86" s="188">
        <v>1.3433518362285748</v>
      </c>
      <c r="BG86" s="188">
        <v>1.5066768553524434</v>
      </c>
      <c r="BH86" s="187">
        <v>1.5670760408658764</v>
      </c>
    </row>
    <row r="87" spans="1:60" x14ac:dyDescent="0.2">
      <c r="A87" s="90" t="str">
        <f t="shared" si="89"/>
        <v>30-34</v>
      </c>
      <c r="B87" s="188">
        <v>28.548429106302432</v>
      </c>
      <c r="C87" s="188">
        <v>33.358134400600257</v>
      </c>
      <c r="D87" s="188">
        <v>26.133347885177166</v>
      </c>
      <c r="E87" s="188">
        <v>24.365255828037625</v>
      </c>
      <c r="F87" s="187">
        <v>20.217650831183683</v>
      </c>
      <c r="G87" s="187"/>
      <c r="H87" s="188">
        <v>8.8494100941278067</v>
      </c>
      <c r="I87" s="188">
        <v>10.340333649356303</v>
      </c>
      <c r="J87" s="188">
        <v>8.1007469331818331</v>
      </c>
      <c r="K87" s="188">
        <v>7.5527322076666525</v>
      </c>
      <c r="L87" s="187">
        <v>6.2670936294528277</v>
      </c>
      <c r="M87" s="187"/>
      <c r="N87" s="188">
        <v>19.699019012174627</v>
      </c>
      <c r="O87" s="188">
        <v>23.017800751243954</v>
      </c>
      <c r="P87" s="188">
        <v>18.032600951995331</v>
      </c>
      <c r="Q87" s="188">
        <v>16.812523620370971</v>
      </c>
      <c r="R87" s="187">
        <v>13.950557201730856</v>
      </c>
      <c r="S87" s="187"/>
      <c r="T87" s="188">
        <v>0</v>
      </c>
      <c r="U87" s="188">
        <v>0</v>
      </c>
      <c r="V87" s="188">
        <v>0</v>
      </c>
      <c r="W87" s="188">
        <v>0</v>
      </c>
      <c r="X87" s="187">
        <v>0</v>
      </c>
      <c r="Y87" s="90" t="str">
        <f t="shared" si="90"/>
        <v>30-34</v>
      </c>
      <c r="Z87" s="188">
        <v>108.05302506717383</v>
      </c>
      <c r="AA87" s="188">
        <v>98.910651662683122</v>
      </c>
      <c r="AB87" s="188">
        <v>99.823038706554627</v>
      </c>
      <c r="AC87" s="188">
        <v>99.91027324420439</v>
      </c>
      <c r="AD87" s="187">
        <v>100.65577680822747</v>
      </c>
      <c r="AE87" s="187"/>
      <c r="AF87" s="188">
        <v>98.864662354008289</v>
      </c>
      <c r="AG87" s="188">
        <v>90.499770716250708</v>
      </c>
      <c r="AH87" s="188">
        <v>91.334572918369915</v>
      </c>
      <c r="AI87" s="188">
        <v>91.414386042419594</v>
      </c>
      <c r="AJ87" s="187">
        <v>92.096473466363605</v>
      </c>
      <c r="AK87" s="187"/>
      <c r="AL87" s="188">
        <v>9.1883627131655423</v>
      </c>
      <c r="AM87" s="188">
        <v>8.4108809464324228</v>
      </c>
      <c r="AN87" s="188">
        <v>8.4884657881847136</v>
      </c>
      <c r="AO87" s="188">
        <v>8.4958872017847948</v>
      </c>
      <c r="AP87" s="187">
        <v>8.5593033418638793</v>
      </c>
      <c r="AQ87" s="90" t="str">
        <f t="shared" si="91"/>
        <v>30-34</v>
      </c>
      <c r="AR87" s="188">
        <v>154.40154582652374</v>
      </c>
      <c r="AS87" s="188">
        <v>164.11921393671662</v>
      </c>
      <c r="AT87" s="188">
        <v>176.72761340826818</v>
      </c>
      <c r="AU87" s="188">
        <v>194.300470927758</v>
      </c>
      <c r="AV87" s="187">
        <v>216.50257236058886</v>
      </c>
      <c r="AW87" s="187"/>
      <c r="AX87" s="188">
        <v>152.67917871565837</v>
      </c>
      <c r="AY87" s="188">
        <v>162.28847354227025</v>
      </c>
      <c r="AZ87" s="188">
        <v>174.75627406499731</v>
      </c>
      <c r="BA87" s="188">
        <v>192.1331101550017</v>
      </c>
      <c r="BB87" s="187">
        <v>214.08754627952416</v>
      </c>
      <c r="BC87" s="187"/>
      <c r="BD87" s="188">
        <v>1.7223671108653775</v>
      </c>
      <c r="BE87" s="188">
        <v>1.8307403944463407</v>
      </c>
      <c r="BF87" s="188">
        <v>1.9713393432708828</v>
      </c>
      <c r="BG87" s="188">
        <v>2.1673607727562971</v>
      </c>
      <c r="BH87" s="187">
        <v>2.415026081064688</v>
      </c>
    </row>
    <row r="88" spans="1:60" x14ac:dyDescent="0.2">
      <c r="A88" s="90" t="str">
        <f t="shared" si="89"/>
        <v>35-39</v>
      </c>
      <c r="B88" s="188">
        <v>44.016457260235349</v>
      </c>
      <c r="C88" s="188">
        <v>39.976771904202742</v>
      </c>
      <c r="D88" s="188">
        <v>30.464108582682162</v>
      </c>
      <c r="E88" s="188">
        <v>25.442342869618368</v>
      </c>
      <c r="F88" s="187">
        <v>19.313398032930589</v>
      </c>
      <c r="G88" s="187"/>
      <c r="H88" s="188">
        <v>13.170766467977897</v>
      </c>
      <c r="I88" s="188">
        <v>11.962019761666104</v>
      </c>
      <c r="J88" s="188">
        <v>9.1155623116308764</v>
      </c>
      <c r="K88" s="188">
        <v>7.6129848602255867</v>
      </c>
      <c r="L88" s="187">
        <v>5.7790036533667513</v>
      </c>
      <c r="M88" s="187"/>
      <c r="N88" s="188">
        <v>30.845690792257454</v>
      </c>
      <c r="O88" s="188">
        <v>28.014752142536643</v>
      </c>
      <c r="P88" s="188">
        <v>21.348546271051283</v>
      </c>
      <c r="Q88" s="188">
        <v>17.829358009392781</v>
      </c>
      <c r="R88" s="187">
        <v>13.534394379563837</v>
      </c>
      <c r="S88" s="187"/>
      <c r="T88" s="188">
        <v>0</v>
      </c>
      <c r="U88" s="188">
        <v>0</v>
      </c>
      <c r="V88" s="188">
        <v>0</v>
      </c>
      <c r="W88" s="188">
        <v>0</v>
      </c>
      <c r="X88" s="187">
        <v>0</v>
      </c>
      <c r="Y88" s="90" t="str">
        <f t="shared" si="90"/>
        <v>35-39</v>
      </c>
      <c r="Z88" s="188">
        <v>124.3317548459237</v>
      </c>
      <c r="AA88" s="188">
        <v>115.20319439668521</v>
      </c>
      <c r="AB88" s="188">
        <v>103.99848531956397</v>
      </c>
      <c r="AC88" s="188">
        <v>107.78515736503378</v>
      </c>
      <c r="AD88" s="187">
        <v>110.93136167790429</v>
      </c>
      <c r="AE88" s="187"/>
      <c r="AF88" s="188">
        <v>116.17651410584847</v>
      </c>
      <c r="AG88" s="188">
        <v>107.64676072030048</v>
      </c>
      <c r="AH88" s="188">
        <v>97.176962171565435</v>
      </c>
      <c r="AI88" s="188">
        <v>100.71524913353808</v>
      </c>
      <c r="AJ88" s="187">
        <v>103.65514843528025</v>
      </c>
      <c r="AK88" s="187"/>
      <c r="AL88" s="188">
        <v>8.1552407400752234</v>
      </c>
      <c r="AM88" s="188">
        <v>7.5564336763847377</v>
      </c>
      <c r="AN88" s="188">
        <v>6.821523147998537</v>
      </c>
      <c r="AO88" s="188">
        <v>7.06990823149569</v>
      </c>
      <c r="AP88" s="187">
        <v>7.2762132426240571</v>
      </c>
      <c r="AQ88" s="90" t="str">
        <f t="shared" si="91"/>
        <v>35-39</v>
      </c>
      <c r="AR88" s="188">
        <v>141.16078789384099</v>
      </c>
      <c r="AS88" s="188">
        <v>157.71103369911205</v>
      </c>
      <c r="AT88" s="188">
        <v>168.57540609775387</v>
      </c>
      <c r="AU88" s="188">
        <v>191.25249976534786</v>
      </c>
      <c r="AV88" s="187">
        <v>212.66724028916508</v>
      </c>
      <c r="AW88" s="187"/>
      <c r="AX88" s="188">
        <v>139.58664839223439</v>
      </c>
      <c r="AY88" s="188">
        <v>155.9523133601179</v>
      </c>
      <c r="AZ88" s="188">
        <v>166.69556733261371</v>
      </c>
      <c r="BA88" s="188">
        <v>189.11981088672707</v>
      </c>
      <c r="BB88" s="187">
        <v>210.29565301075678</v>
      </c>
      <c r="BC88" s="187"/>
      <c r="BD88" s="188">
        <v>1.5741395016066007</v>
      </c>
      <c r="BE88" s="188">
        <v>1.758720338994133</v>
      </c>
      <c r="BF88" s="188">
        <v>1.8798387651401465</v>
      </c>
      <c r="BG88" s="188">
        <v>2.1326888786208036</v>
      </c>
      <c r="BH88" s="187">
        <v>2.3715872784083478</v>
      </c>
    </row>
    <row r="89" spans="1:60" x14ac:dyDescent="0.2">
      <c r="A89" s="90" t="str">
        <f t="shared" si="89"/>
        <v>40-44</v>
      </c>
      <c r="B89" s="188">
        <v>62.562497845796578</v>
      </c>
      <c r="C89" s="188">
        <v>52.041253862300799</v>
      </c>
      <c r="D89" s="188">
        <v>37.292808343338905</v>
      </c>
      <c r="E89" s="188">
        <v>25.730317953372698</v>
      </c>
      <c r="F89" s="187">
        <v>17.848161884307732</v>
      </c>
      <c r="G89" s="187"/>
      <c r="H89" s="188">
        <v>21.068964130305993</v>
      </c>
      <c r="I89" s="188">
        <v>17.525770127794758</v>
      </c>
      <c r="J89" s="188">
        <v>12.558954308409454</v>
      </c>
      <c r="K89" s="188">
        <v>8.6650962158735219</v>
      </c>
      <c r="L89" s="187">
        <v>6.0106773270790361</v>
      </c>
      <c r="M89" s="187"/>
      <c r="N89" s="188">
        <v>41.493533715490578</v>
      </c>
      <c r="O89" s="188">
        <v>34.515483734506034</v>
      </c>
      <c r="P89" s="188">
        <v>24.73385403492945</v>
      </c>
      <c r="Q89" s="188">
        <v>17.065221737499176</v>
      </c>
      <c r="R89" s="187">
        <v>11.837484557228693</v>
      </c>
      <c r="S89" s="187"/>
      <c r="T89" s="188">
        <v>0</v>
      </c>
      <c r="U89" s="188">
        <v>0</v>
      </c>
      <c r="V89" s="188">
        <v>0</v>
      </c>
      <c r="W89" s="188">
        <v>0</v>
      </c>
      <c r="X89" s="187">
        <v>0</v>
      </c>
      <c r="Y89" s="90" t="str">
        <f t="shared" si="90"/>
        <v>40-44</v>
      </c>
      <c r="Z89" s="188">
        <v>133.43211125882925</v>
      </c>
      <c r="AA89" s="188">
        <v>124.30920077827601</v>
      </c>
      <c r="AB89" s="188">
        <v>114.42328927804037</v>
      </c>
      <c r="AC89" s="188">
        <v>113.59093257500689</v>
      </c>
      <c r="AD89" s="187">
        <v>119.96086291422256</v>
      </c>
      <c r="AE89" s="187"/>
      <c r="AF89" s="188">
        <v>125.56555151187415</v>
      </c>
      <c r="AG89" s="188">
        <v>116.9805269711083</v>
      </c>
      <c r="AH89" s="188">
        <v>107.6774160354275</v>
      </c>
      <c r="AI89" s="188">
        <v>106.89413288813921</v>
      </c>
      <c r="AJ89" s="187">
        <v>112.88853405200165</v>
      </c>
      <c r="AK89" s="187"/>
      <c r="AL89" s="188">
        <v>7.8665597469551063</v>
      </c>
      <c r="AM89" s="188">
        <v>7.3286738071676902</v>
      </c>
      <c r="AN89" s="188">
        <v>6.7458732426128867</v>
      </c>
      <c r="AO89" s="188">
        <v>6.6967996868676751</v>
      </c>
      <c r="AP89" s="187">
        <v>7.0723288622208971</v>
      </c>
      <c r="AQ89" s="90" t="str">
        <f t="shared" si="91"/>
        <v>40-44</v>
      </c>
      <c r="AR89" s="188">
        <v>128.51739089537415</v>
      </c>
      <c r="AS89" s="188">
        <v>144.36154535942319</v>
      </c>
      <c r="AT89" s="188">
        <v>158.66390237862072</v>
      </c>
      <c r="AU89" s="188">
        <v>166.99874947162044</v>
      </c>
      <c r="AV89" s="187">
        <v>185.07097520146974</v>
      </c>
      <c r="AW89" s="187"/>
      <c r="AX89" s="188">
        <v>126.94819387148412</v>
      </c>
      <c r="AY89" s="188">
        <v>142.59892905662338</v>
      </c>
      <c r="AZ89" s="188">
        <v>156.72664379404665</v>
      </c>
      <c r="BA89" s="188">
        <v>164.95975684612029</v>
      </c>
      <c r="BB89" s="187">
        <v>182.81128024141026</v>
      </c>
      <c r="BC89" s="187"/>
      <c r="BD89" s="188">
        <v>1.5691970238900339</v>
      </c>
      <c r="BE89" s="188">
        <v>1.7626163027998376</v>
      </c>
      <c r="BF89" s="188">
        <v>1.937258584574042</v>
      </c>
      <c r="BG89" s="188">
        <v>2.0389926255001587</v>
      </c>
      <c r="BH89" s="187">
        <v>2.2596949600594747</v>
      </c>
    </row>
    <row r="90" spans="1:60" x14ac:dyDescent="0.2">
      <c r="A90" s="90" t="str">
        <f t="shared" si="89"/>
        <v>45-49</v>
      </c>
      <c r="B90" s="188">
        <v>76.803506450596231</v>
      </c>
      <c r="C90" s="188">
        <v>72.369670614720619</v>
      </c>
      <c r="D90" s="188">
        <v>46.757578011014346</v>
      </c>
      <c r="E90" s="188">
        <v>32.914709981477799</v>
      </c>
      <c r="F90" s="187">
        <v>22.643570627464889</v>
      </c>
      <c r="G90" s="187"/>
      <c r="H90" s="188">
        <v>27.94396864638491</v>
      </c>
      <c r="I90" s="188">
        <v>26.330826958934129</v>
      </c>
      <c r="J90" s="188">
        <v>17.012164489510464</v>
      </c>
      <c r="K90" s="188">
        <v>11.975614453855373</v>
      </c>
      <c r="L90" s="187">
        <v>8.2386021908984706</v>
      </c>
      <c r="M90" s="187"/>
      <c r="N90" s="188">
        <v>48.859537804211321</v>
      </c>
      <c r="O90" s="188">
        <v>46.038843655786486</v>
      </c>
      <c r="P90" s="188">
        <v>29.745413521503881</v>
      </c>
      <c r="Q90" s="188">
        <v>20.939095527622428</v>
      </c>
      <c r="R90" s="187">
        <v>14.404968436566421</v>
      </c>
      <c r="S90" s="187"/>
      <c r="T90" s="188">
        <v>0</v>
      </c>
      <c r="U90" s="188">
        <v>0</v>
      </c>
      <c r="V90" s="188">
        <v>0</v>
      </c>
      <c r="W90" s="188">
        <v>0</v>
      </c>
      <c r="X90" s="187">
        <v>0</v>
      </c>
      <c r="Y90" s="90" t="str">
        <f t="shared" si="90"/>
        <v>45-49</v>
      </c>
      <c r="Z90" s="188">
        <v>119.91671183726781</v>
      </c>
      <c r="AA90" s="188">
        <v>117.54013515583459</v>
      </c>
      <c r="AB90" s="188">
        <v>126.00211978783305</v>
      </c>
      <c r="AC90" s="188">
        <v>129.89925725652535</v>
      </c>
      <c r="AD90" s="187">
        <v>132.56976051535059</v>
      </c>
      <c r="AE90" s="187"/>
      <c r="AF90" s="188">
        <v>113.53631898468487</v>
      </c>
      <c r="AG90" s="188">
        <v>111.28619702022586</v>
      </c>
      <c r="AH90" s="188">
        <v>119.29796634507618</v>
      </c>
      <c r="AI90" s="188">
        <v>122.98778022947444</v>
      </c>
      <c r="AJ90" s="187">
        <v>125.51614028502338</v>
      </c>
      <c r="AK90" s="187"/>
      <c r="AL90" s="188">
        <v>6.3803928525829319</v>
      </c>
      <c r="AM90" s="188">
        <v>6.2539381356087462</v>
      </c>
      <c r="AN90" s="188">
        <v>6.7041534427568807</v>
      </c>
      <c r="AO90" s="188">
        <v>6.9114770270509069</v>
      </c>
      <c r="AP90" s="187">
        <v>7.0536202303272111</v>
      </c>
      <c r="AQ90" s="90" t="str">
        <f t="shared" si="91"/>
        <v>45-49</v>
      </c>
      <c r="AR90" s="188">
        <v>113.07878171213598</v>
      </c>
      <c r="AS90" s="188">
        <v>125.98319422944476</v>
      </c>
      <c r="AT90" s="188">
        <v>142.77630220115262</v>
      </c>
      <c r="AU90" s="188">
        <v>151.84003276199684</v>
      </c>
      <c r="AV90" s="187">
        <v>159.15166885718455</v>
      </c>
      <c r="AW90" s="187"/>
      <c r="AX90" s="188">
        <v>111.76159647140302</v>
      </c>
      <c r="AY90" s="188">
        <v>124.51577593370071</v>
      </c>
      <c r="AZ90" s="188">
        <v>141.11320504624786</v>
      </c>
      <c r="BA90" s="188">
        <v>150.07143093938149</v>
      </c>
      <c r="BB90" s="187">
        <v>157.29788066457172</v>
      </c>
      <c r="BC90" s="187"/>
      <c r="BD90" s="188">
        <v>1.3171852407329641</v>
      </c>
      <c r="BE90" s="188">
        <v>1.4674182957440471</v>
      </c>
      <c r="BF90" s="188">
        <v>1.663097154904764</v>
      </c>
      <c r="BG90" s="188">
        <v>1.7686018226153735</v>
      </c>
      <c r="BH90" s="187">
        <v>1.8537881926128472</v>
      </c>
    </row>
    <row r="91" spans="1:60" x14ac:dyDescent="0.2">
      <c r="A91" s="90" t="str">
        <f t="shared" si="89"/>
        <v>50-54</v>
      </c>
      <c r="B91" s="188">
        <v>74.130845817172315</v>
      </c>
      <c r="C91" s="188">
        <v>76.292901659215687</v>
      </c>
      <c r="D91" s="188">
        <v>62.868745854171486</v>
      </c>
      <c r="E91" s="188">
        <v>48.927498060783627</v>
      </c>
      <c r="F91" s="187">
        <v>37.108932956215206</v>
      </c>
      <c r="G91" s="187"/>
      <c r="H91" s="188">
        <v>27.517951911427684</v>
      </c>
      <c r="I91" s="188">
        <v>28.320507284713951</v>
      </c>
      <c r="J91" s="188">
        <v>23.337364458948031</v>
      </c>
      <c r="K91" s="188">
        <v>18.162254416964728</v>
      </c>
      <c r="L91" s="187">
        <v>13.775148267079187</v>
      </c>
      <c r="M91" s="187"/>
      <c r="N91" s="188">
        <v>46.612893905744635</v>
      </c>
      <c r="O91" s="188">
        <v>47.972394374501732</v>
      </c>
      <c r="P91" s="188">
        <v>39.531381395223455</v>
      </c>
      <c r="Q91" s="188">
        <v>30.765243643818895</v>
      </c>
      <c r="R91" s="187">
        <v>23.333784689136024</v>
      </c>
      <c r="S91" s="187"/>
      <c r="T91" s="188">
        <v>0</v>
      </c>
      <c r="U91" s="188">
        <v>0</v>
      </c>
      <c r="V91" s="188">
        <v>0</v>
      </c>
      <c r="W91" s="188">
        <v>0</v>
      </c>
      <c r="X91" s="187">
        <v>0</v>
      </c>
      <c r="Y91" s="90" t="str">
        <f t="shared" si="90"/>
        <v>50-54</v>
      </c>
      <c r="Z91" s="188">
        <v>86.760993384439232</v>
      </c>
      <c r="AA91" s="188">
        <v>96.953240370929649</v>
      </c>
      <c r="AB91" s="188">
        <v>105.73855197584399</v>
      </c>
      <c r="AC91" s="188">
        <v>116.22864044167615</v>
      </c>
      <c r="AD91" s="187">
        <v>126.02469049917889</v>
      </c>
      <c r="AE91" s="187"/>
      <c r="AF91" s="188">
        <v>81.596570349738855</v>
      </c>
      <c r="AG91" s="188">
        <v>91.182181714094824</v>
      </c>
      <c r="AH91" s="188">
        <v>99.444551689154906</v>
      </c>
      <c r="AI91" s="188">
        <v>109.31026683421746</v>
      </c>
      <c r="AJ91" s="187">
        <v>118.52317446256983</v>
      </c>
      <c r="AK91" s="187"/>
      <c r="AL91" s="188">
        <v>5.1644230347003779</v>
      </c>
      <c r="AM91" s="188">
        <v>5.7710586568348159</v>
      </c>
      <c r="AN91" s="188">
        <v>6.2940002866890863</v>
      </c>
      <c r="AO91" s="188">
        <v>6.9183736074586868</v>
      </c>
      <c r="AP91" s="187">
        <v>7.5015160366090656</v>
      </c>
      <c r="AQ91" s="90" t="str">
        <f t="shared" si="91"/>
        <v>50-54</v>
      </c>
      <c r="AR91" s="188">
        <v>76.999160798388473</v>
      </c>
      <c r="AS91" s="188">
        <v>96.560857969854624</v>
      </c>
      <c r="AT91" s="188">
        <v>116.57270216998455</v>
      </c>
      <c r="AU91" s="188">
        <v>128.98986149754023</v>
      </c>
      <c r="AV91" s="187">
        <v>140.9583765446059</v>
      </c>
      <c r="AW91" s="187"/>
      <c r="AX91" s="188">
        <v>76.294968712849709</v>
      </c>
      <c r="AY91" s="188">
        <v>95.677849729956222</v>
      </c>
      <c r="AZ91" s="188">
        <v>115.50670905420014</v>
      </c>
      <c r="BA91" s="188">
        <v>127.81028960948962</v>
      </c>
      <c r="BB91" s="187">
        <v>139.6692906114707</v>
      </c>
      <c r="BC91" s="187"/>
      <c r="BD91" s="188">
        <v>0.70419208553877055</v>
      </c>
      <c r="BE91" s="188">
        <v>0.88300823989842003</v>
      </c>
      <c r="BF91" s="188">
        <v>1.0659931157844085</v>
      </c>
      <c r="BG91" s="188">
        <v>1.1795718880506243</v>
      </c>
      <c r="BH91" s="187">
        <v>1.2890859331351963</v>
      </c>
    </row>
    <row r="92" spans="1:60" x14ac:dyDescent="0.2">
      <c r="A92" s="90" t="str">
        <f t="shared" si="89"/>
        <v>55-59</v>
      </c>
      <c r="B92" s="188">
        <v>50.123111298551322</v>
      </c>
      <c r="C92" s="188">
        <v>49.323988494669976</v>
      </c>
      <c r="D92" s="188">
        <v>54.734368903773372</v>
      </c>
      <c r="E92" s="188">
        <v>46.878192366194043</v>
      </c>
      <c r="F92" s="187">
        <v>36.717928947865651</v>
      </c>
      <c r="G92" s="187"/>
      <c r="H92" s="188">
        <v>20.068212623946785</v>
      </c>
      <c r="I92" s="188">
        <v>19.748271942588062</v>
      </c>
      <c r="J92" s="188">
        <v>21.914478270879478</v>
      </c>
      <c r="K92" s="188">
        <v>18.76897099596793</v>
      </c>
      <c r="L92" s="187">
        <v>14.701046063760439</v>
      </c>
      <c r="M92" s="187"/>
      <c r="N92" s="188">
        <v>30.054898674604537</v>
      </c>
      <c r="O92" s="188">
        <v>29.575716552081918</v>
      </c>
      <c r="P92" s="188">
        <v>32.819890632893888</v>
      </c>
      <c r="Q92" s="188">
        <v>28.109221370226116</v>
      </c>
      <c r="R92" s="187">
        <v>22.016882884105211</v>
      </c>
      <c r="S92" s="187"/>
      <c r="T92" s="188">
        <v>0</v>
      </c>
      <c r="U92" s="188">
        <v>0</v>
      </c>
      <c r="V92" s="188">
        <v>0</v>
      </c>
      <c r="W92" s="188">
        <v>0</v>
      </c>
      <c r="X92" s="187">
        <v>0</v>
      </c>
      <c r="Y92" s="90" t="str">
        <f t="shared" si="90"/>
        <v>55-59</v>
      </c>
      <c r="Z92" s="188">
        <v>50.022718415568512</v>
      </c>
      <c r="AA92" s="188">
        <v>54.941387327680005</v>
      </c>
      <c r="AB92" s="188">
        <v>78.772938863638728</v>
      </c>
      <c r="AC92" s="188">
        <v>94.437586570976393</v>
      </c>
      <c r="AD92" s="187">
        <v>103.91445213238326</v>
      </c>
      <c r="AE92" s="187"/>
      <c r="AF92" s="188">
        <v>46.530169779779939</v>
      </c>
      <c r="AG92" s="188">
        <v>51.105378605023787</v>
      </c>
      <c r="AH92" s="188">
        <v>73.273049746677671</v>
      </c>
      <c r="AI92" s="188">
        <v>87.843993736619538</v>
      </c>
      <c r="AJ92" s="187">
        <v>96.659206845843883</v>
      </c>
      <c r="AK92" s="187"/>
      <c r="AL92" s="188">
        <v>3.4925486357885691</v>
      </c>
      <c r="AM92" s="188">
        <v>3.8360087226562167</v>
      </c>
      <c r="AN92" s="188">
        <v>5.4998891169610493</v>
      </c>
      <c r="AO92" s="188">
        <v>6.5935928343568344</v>
      </c>
      <c r="AP92" s="187">
        <v>7.2552452865393828</v>
      </c>
      <c r="AQ92" s="90" t="str">
        <f t="shared" si="91"/>
        <v>55-59</v>
      </c>
      <c r="AR92" s="188">
        <v>43.944170285880162</v>
      </c>
      <c r="AS92" s="188">
        <v>55.229624177650017</v>
      </c>
      <c r="AT92" s="188">
        <v>80.0286922325879</v>
      </c>
      <c r="AU92" s="188">
        <v>97.06122106282956</v>
      </c>
      <c r="AV92" s="187">
        <v>107.73061891975107</v>
      </c>
      <c r="AW92" s="187"/>
      <c r="AX92" s="188">
        <v>43.298834557519996</v>
      </c>
      <c r="AY92" s="188">
        <v>54.418522326695687</v>
      </c>
      <c r="AZ92" s="188">
        <v>78.853443932668</v>
      </c>
      <c r="BA92" s="188">
        <v>95.635738085376531</v>
      </c>
      <c r="BB92" s="187">
        <v>106.14856157242835</v>
      </c>
      <c r="BC92" s="187"/>
      <c r="BD92" s="188">
        <v>0.64533572836017361</v>
      </c>
      <c r="BE92" s="188">
        <v>0.81110185095432563</v>
      </c>
      <c r="BF92" s="188">
        <v>1.1752482999198919</v>
      </c>
      <c r="BG92" s="188">
        <v>1.4254829774530267</v>
      </c>
      <c r="BH92" s="187">
        <v>1.5820573473227093</v>
      </c>
    </row>
    <row r="93" spans="1:60" x14ac:dyDescent="0.2">
      <c r="A93" s="90" t="str">
        <f t="shared" si="89"/>
        <v>60-64</v>
      </c>
      <c r="B93" s="188">
        <v>13.764231925065078</v>
      </c>
      <c r="C93" s="188">
        <v>18.76836361753071</v>
      </c>
      <c r="D93" s="188">
        <v>18.508542780694757</v>
      </c>
      <c r="E93" s="188">
        <v>17.452835144978611</v>
      </c>
      <c r="F93" s="187">
        <v>14.804084816049919</v>
      </c>
      <c r="G93" s="187"/>
      <c r="H93" s="188">
        <v>6.6702307458031802</v>
      </c>
      <c r="I93" s="188">
        <v>9.0952856087735459</v>
      </c>
      <c r="J93" s="188">
        <v>8.9693500547268563</v>
      </c>
      <c r="K93" s="188">
        <v>8.4577572298816346</v>
      </c>
      <c r="L93" s="187">
        <v>7.1741516654067379</v>
      </c>
      <c r="M93" s="187"/>
      <c r="N93" s="188">
        <v>7.0940011792618973</v>
      </c>
      <c r="O93" s="188">
        <v>9.6730780087571677</v>
      </c>
      <c r="P93" s="188">
        <v>9.5391927259679008</v>
      </c>
      <c r="Q93" s="188">
        <v>8.9950779150969762</v>
      </c>
      <c r="R93" s="187">
        <v>7.62993315064318</v>
      </c>
      <c r="S93" s="187"/>
      <c r="T93" s="188">
        <v>0</v>
      </c>
      <c r="U93" s="188">
        <v>0</v>
      </c>
      <c r="V93" s="188">
        <v>0</v>
      </c>
      <c r="W93" s="188">
        <v>0</v>
      </c>
      <c r="X93" s="187">
        <v>0</v>
      </c>
      <c r="Y93" s="90" t="str">
        <f t="shared" si="90"/>
        <v>60-64</v>
      </c>
      <c r="Z93" s="188">
        <v>12.31020529409596</v>
      </c>
      <c r="AA93" s="188">
        <v>14.261344557443534</v>
      </c>
      <c r="AB93" s="188">
        <v>21.71515850756559</v>
      </c>
      <c r="AC93" s="188">
        <v>28.490108641285989</v>
      </c>
      <c r="AD93" s="187">
        <v>34.561262922202097</v>
      </c>
      <c r="AE93" s="187"/>
      <c r="AF93" s="188">
        <v>11.043928783107889</v>
      </c>
      <c r="AG93" s="188">
        <v>12.794409216272046</v>
      </c>
      <c r="AH93" s="188">
        <v>19.481518497742734</v>
      </c>
      <c r="AI93" s="188">
        <v>25.559606891725771</v>
      </c>
      <c r="AJ93" s="187">
        <v>31.006230901067084</v>
      </c>
      <c r="AK93" s="187"/>
      <c r="AL93" s="188">
        <v>1.2662765109880707</v>
      </c>
      <c r="AM93" s="188">
        <v>1.4669353411714883</v>
      </c>
      <c r="AN93" s="188">
        <v>2.233640009822857</v>
      </c>
      <c r="AO93" s="188">
        <v>2.9305017495602126</v>
      </c>
      <c r="AP93" s="187">
        <v>3.5550320211350139</v>
      </c>
      <c r="AQ93" s="90" t="str">
        <f t="shared" si="91"/>
        <v>60-64</v>
      </c>
      <c r="AR93" s="188">
        <v>10.014562780838963</v>
      </c>
      <c r="AS93" s="188">
        <v>15.861291825025759</v>
      </c>
      <c r="AT93" s="188">
        <v>24.782298711739656</v>
      </c>
      <c r="AU93" s="188">
        <v>32.955056213735411</v>
      </c>
      <c r="AV93" s="187">
        <v>41.965652261747991</v>
      </c>
      <c r="AW93" s="187"/>
      <c r="AX93" s="188">
        <v>9.3191096537115143</v>
      </c>
      <c r="AY93" s="188">
        <v>14.759802271763046</v>
      </c>
      <c r="AZ93" s="188">
        <v>23.061241083126763</v>
      </c>
      <c r="BA93" s="188">
        <v>30.666373272484456</v>
      </c>
      <c r="BB93" s="187">
        <v>39.05130130334193</v>
      </c>
      <c r="BC93" s="187"/>
      <c r="BD93" s="188">
        <v>0.69545312712745089</v>
      </c>
      <c r="BE93" s="188">
        <v>1.1014895532627123</v>
      </c>
      <c r="BF93" s="188">
        <v>1.721057628612892</v>
      </c>
      <c r="BG93" s="188">
        <v>2.2886829412509542</v>
      </c>
      <c r="BH93" s="187">
        <v>2.9143509584060596</v>
      </c>
    </row>
    <row r="94" spans="1:60" x14ac:dyDescent="0.2">
      <c r="A94" s="91" t="str">
        <f t="shared" si="89"/>
        <v>65+</v>
      </c>
      <c r="B94" s="188">
        <v>5.0275971766300218</v>
      </c>
      <c r="C94" s="188">
        <v>5.0571710967350976</v>
      </c>
      <c r="D94" s="188">
        <v>5.0002589845625298</v>
      </c>
      <c r="E94" s="188">
        <v>3.9459227571467377</v>
      </c>
      <c r="F94" s="187">
        <v>3.6918171007746805</v>
      </c>
      <c r="G94" s="189"/>
      <c r="H94" s="188">
        <v>2.987417610658246</v>
      </c>
      <c r="I94" s="188">
        <v>3.0049961668141885</v>
      </c>
      <c r="J94" s="188">
        <v>2.9711593642715379</v>
      </c>
      <c r="K94" s="188">
        <v>2.3446844102127109</v>
      </c>
      <c r="L94" s="187">
        <v>2.1936853336258615</v>
      </c>
      <c r="M94" s="189"/>
      <c r="N94" s="188">
        <v>2.0401795659717767</v>
      </c>
      <c r="O94" s="188">
        <v>2.0521749299209091</v>
      </c>
      <c r="P94" s="188">
        <v>2.0290996202909919</v>
      </c>
      <c r="Q94" s="188">
        <v>1.6012383469340266</v>
      </c>
      <c r="R94" s="187">
        <v>1.4981317671488188</v>
      </c>
      <c r="S94" s="189"/>
      <c r="T94" s="189">
        <v>0</v>
      </c>
      <c r="U94" s="189">
        <v>0</v>
      </c>
      <c r="V94" s="189">
        <v>0</v>
      </c>
      <c r="W94" s="189">
        <v>0</v>
      </c>
      <c r="X94" s="189">
        <v>0</v>
      </c>
      <c r="Y94" s="91" t="str">
        <f t="shared" si="90"/>
        <v>65+</v>
      </c>
      <c r="Z94" s="188">
        <v>2.7461652297525743</v>
      </c>
      <c r="AA94" s="188">
        <v>4.055911790969331</v>
      </c>
      <c r="AB94" s="188">
        <v>3.5612495126359529</v>
      </c>
      <c r="AC94" s="188">
        <v>3.9532933888693056</v>
      </c>
      <c r="AD94" s="187">
        <v>5.2021489926704287</v>
      </c>
      <c r="AE94" s="189"/>
      <c r="AF94" s="188">
        <v>2.4974123148764233</v>
      </c>
      <c r="AG94" s="188">
        <v>3.6885697608652581</v>
      </c>
      <c r="AH94" s="188">
        <v>3.2387036749219651</v>
      </c>
      <c r="AI94" s="188">
        <v>3.5952382484733798</v>
      </c>
      <c r="AJ94" s="187">
        <v>4.7309759551497086</v>
      </c>
      <c r="AK94" s="189"/>
      <c r="AL94" s="188">
        <v>0.24875291487615106</v>
      </c>
      <c r="AM94" s="188">
        <v>0.3673420301040734</v>
      </c>
      <c r="AN94" s="188">
        <v>0.32254583771398837</v>
      </c>
      <c r="AO94" s="188">
        <v>0.35805514039592606</v>
      </c>
      <c r="AP94" s="187">
        <v>0.47117303752072126</v>
      </c>
      <c r="AQ94" s="91" t="str">
        <f t="shared" si="91"/>
        <v>65+</v>
      </c>
      <c r="AR94" s="188">
        <v>2.4962375936174048</v>
      </c>
      <c r="AS94" s="188">
        <v>4.1209171122955697</v>
      </c>
      <c r="AT94" s="188">
        <v>4.3774915028015169</v>
      </c>
      <c r="AU94" s="188">
        <v>5.7297838539839567</v>
      </c>
      <c r="AV94" s="187">
        <v>8.4160339065548904</v>
      </c>
      <c r="AW94" s="189"/>
      <c r="AX94" s="188">
        <v>2.4393838610275034</v>
      </c>
      <c r="AY94" s="188">
        <v>4.0270912403022177</v>
      </c>
      <c r="AZ94" s="188">
        <v>4.2777979690182679</v>
      </c>
      <c r="BA94" s="188">
        <v>5.5993484434809799</v>
      </c>
      <c r="BB94" s="187">
        <v>8.2244038402405248</v>
      </c>
      <c r="BC94" s="189"/>
      <c r="BD94" s="188">
        <v>5.6853732589901257E-2</v>
      </c>
      <c r="BE94" s="188">
        <v>9.3825871993351684E-2</v>
      </c>
      <c r="BF94" s="188">
        <v>9.9693533783248439E-2</v>
      </c>
      <c r="BG94" s="188">
        <v>0.13043541050297702</v>
      </c>
      <c r="BH94" s="187">
        <v>0.19163006631436572</v>
      </c>
    </row>
    <row r="95" spans="1:60" x14ac:dyDescent="0.2">
      <c r="A95" s="95"/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Y95" s="95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0"/>
      <c r="AM95" s="190"/>
      <c r="AN95" s="190"/>
      <c r="AO95" s="190"/>
      <c r="AP95" s="190"/>
      <c r="AQ95" s="95"/>
      <c r="AR95" s="190"/>
      <c r="AS95" s="190"/>
      <c r="AT95" s="190"/>
      <c r="AU95" s="190"/>
      <c r="AV95" s="190"/>
      <c r="AW95" s="190"/>
      <c r="AX95" s="190"/>
      <c r="AY95" s="190"/>
      <c r="AZ95" s="190"/>
      <c r="BA95" s="190"/>
      <c r="BB95" s="190"/>
      <c r="BC95" s="190"/>
      <c r="BD95" s="190"/>
      <c r="BE95" s="190"/>
      <c r="BF95" s="190"/>
      <c r="BG95" s="190"/>
      <c r="BH95" s="190"/>
    </row>
    <row r="97" spans="1:1" x14ac:dyDescent="0.2">
      <c r="A97" s="90" t="s">
        <v>106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6" t="s">
        <v>246</v>
      </c>
      <c r="B1" s="226" t="s">
        <v>306</v>
      </c>
      <c r="C1" s="226" t="s">
        <v>4</v>
      </c>
      <c r="D1" s="226" t="s">
        <v>474</v>
      </c>
      <c r="E1" s="226" t="s">
        <v>320</v>
      </c>
      <c r="F1" s="228" t="s">
        <v>326</v>
      </c>
      <c r="G1" s="228" t="s">
        <v>345</v>
      </c>
      <c r="H1" s="228" t="s">
        <v>328</v>
      </c>
      <c r="I1" s="228"/>
      <c r="J1" s="228" t="s">
        <v>329</v>
      </c>
      <c r="K1" s="125"/>
      <c r="L1" s="1"/>
    </row>
    <row r="2" spans="1:12" s="13" customFormat="1" x14ac:dyDescent="0.2">
      <c r="A2" s="227" t="s">
        <v>347</v>
      </c>
      <c r="B2" s="227" t="s">
        <v>343</v>
      </c>
      <c r="C2" s="227" t="s">
        <v>344</v>
      </c>
      <c r="D2" s="125" t="s">
        <v>319</v>
      </c>
      <c r="E2" s="125" t="s">
        <v>321</v>
      </c>
      <c r="F2" s="227" t="s">
        <v>38</v>
      </c>
      <c r="G2" s="227" t="s">
        <v>346</v>
      </c>
      <c r="H2" s="125" t="s">
        <v>330</v>
      </c>
      <c r="I2" s="125" t="s">
        <v>100</v>
      </c>
      <c r="J2" s="125" t="s">
        <v>331</v>
      </c>
      <c r="K2" s="125" t="s">
        <v>332</v>
      </c>
      <c r="L2" s="82"/>
    </row>
    <row r="3" spans="1:12" x14ac:dyDescent="0.2">
      <c r="A3" s="10" t="s">
        <v>0</v>
      </c>
      <c r="B3" s="125" t="s">
        <v>0</v>
      </c>
      <c r="C3" s="10" t="s">
        <v>0</v>
      </c>
      <c r="D3" s="125" t="s">
        <v>10</v>
      </c>
      <c r="E3" s="125" t="s">
        <v>10</v>
      </c>
      <c r="F3" s="125" t="s">
        <v>37</v>
      </c>
      <c r="G3" s="125" t="s">
        <v>37</v>
      </c>
      <c r="H3" s="125" t="s">
        <v>333</v>
      </c>
      <c r="I3" s="125" t="s">
        <v>98</v>
      </c>
      <c r="J3" s="125" t="s">
        <v>334</v>
      </c>
      <c r="K3" s="125" t="s">
        <v>335</v>
      </c>
    </row>
    <row r="4" spans="1:12" x14ac:dyDescent="0.2">
      <c r="A4" s="10" t="s">
        <v>80</v>
      </c>
      <c r="B4" s="125" t="s">
        <v>307</v>
      </c>
      <c r="C4" s="10" t="s">
        <v>243</v>
      </c>
      <c r="D4" s="125" t="s">
        <v>475</v>
      </c>
      <c r="E4" s="125" t="s">
        <v>322</v>
      </c>
      <c r="F4" s="125" t="s">
        <v>450</v>
      </c>
      <c r="G4" s="125" t="s">
        <v>458</v>
      </c>
      <c r="H4" s="125" t="s">
        <v>336</v>
      </c>
      <c r="I4" s="125" t="s">
        <v>99</v>
      </c>
      <c r="J4" s="125" t="s">
        <v>337</v>
      </c>
      <c r="K4" s="125" t="s">
        <v>338</v>
      </c>
    </row>
    <row r="5" spans="1:12" x14ac:dyDescent="0.2">
      <c r="A5" s="10" t="s">
        <v>247</v>
      </c>
      <c r="B5" s="125" t="s">
        <v>81</v>
      </c>
      <c r="C5" s="10" t="s">
        <v>8</v>
      </c>
      <c r="D5" s="125" t="s">
        <v>476</v>
      </c>
      <c r="E5" s="125" t="s">
        <v>323</v>
      </c>
      <c r="F5" s="125" t="s">
        <v>451</v>
      </c>
      <c r="G5" s="125" t="s">
        <v>459</v>
      </c>
      <c r="H5" s="125"/>
      <c r="I5" s="125"/>
      <c r="J5" s="125" t="s">
        <v>339</v>
      </c>
      <c r="K5" s="125" t="s">
        <v>340</v>
      </c>
    </row>
    <row r="6" spans="1:12" x14ac:dyDescent="0.2">
      <c r="A6" s="10" t="s">
        <v>248</v>
      </c>
      <c r="B6" s="125" t="s">
        <v>308</v>
      </c>
      <c r="C6" s="10" t="s">
        <v>2</v>
      </c>
      <c r="D6" s="125" t="s">
        <v>477</v>
      </c>
      <c r="E6" s="125" t="s">
        <v>478</v>
      </c>
      <c r="F6" s="125" t="s">
        <v>452</v>
      </c>
      <c r="G6" s="125" t="s">
        <v>455</v>
      </c>
      <c r="H6" s="125"/>
      <c r="I6" s="125"/>
      <c r="J6" s="125" t="s">
        <v>341</v>
      </c>
      <c r="K6" s="125" t="s">
        <v>342</v>
      </c>
    </row>
    <row r="7" spans="1:12" x14ac:dyDescent="0.2">
      <c r="A7" s="10" t="s">
        <v>249</v>
      </c>
      <c r="B7" s="125" t="s">
        <v>5</v>
      </c>
      <c r="C7" s="10" t="s">
        <v>244</v>
      </c>
      <c r="D7" s="125" t="s">
        <v>479</v>
      </c>
      <c r="E7" s="125" t="s">
        <v>480</v>
      </c>
      <c r="F7" s="125" t="s">
        <v>453</v>
      </c>
      <c r="G7" s="125" t="s">
        <v>456</v>
      </c>
    </row>
    <row r="8" spans="1:12" x14ac:dyDescent="0.2">
      <c r="A8" s="10" t="s">
        <v>250</v>
      </c>
      <c r="B8" s="125" t="s">
        <v>6</v>
      </c>
      <c r="C8" s="10" t="s">
        <v>245</v>
      </c>
      <c r="D8" s="125" t="s">
        <v>481</v>
      </c>
      <c r="E8" s="125" t="s">
        <v>324</v>
      </c>
      <c r="F8" s="125" t="s">
        <v>454</v>
      </c>
      <c r="G8" s="125" t="s">
        <v>457</v>
      </c>
    </row>
    <row r="9" spans="1:12" x14ac:dyDescent="0.2">
      <c r="A9" s="10" t="s">
        <v>251</v>
      </c>
      <c r="B9" s="125" t="s">
        <v>309</v>
      </c>
      <c r="C9" s="10" t="s">
        <v>462</v>
      </c>
      <c r="D9" s="125" t="s">
        <v>482</v>
      </c>
      <c r="E9" s="125" t="s">
        <v>483</v>
      </c>
      <c r="F9" s="125" t="s">
        <v>455</v>
      </c>
      <c r="G9" s="125" t="s">
        <v>327</v>
      </c>
    </row>
    <row r="10" spans="1:12" x14ac:dyDescent="0.2">
      <c r="A10" s="10" t="s">
        <v>252</v>
      </c>
      <c r="B10" s="125" t="s">
        <v>310</v>
      </c>
      <c r="C10" t="s">
        <v>11</v>
      </c>
      <c r="D10" s="125" t="s">
        <v>484</v>
      </c>
      <c r="E10" s="125" t="s">
        <v>485</v>
      </c>
      <c r="F10" s="125" t="s">
        <v>456</v>
      </c>
      <c r="G10" s="125"/>
    </row>
    <row r="11" spans="1:12" x14ac:dyDescent="0.2">
      <c r="A11" s="10" t="s">
        <v>253</v>
      </c>
      <c r="B11" s="125" t="s">
        <v>2</v>
      </c>
      <c r="C11" t="s">
        <v>11</v>
      </c>
      <c r="D11" s="125" t="s">
        <v>486</v>
      </c>
      <c r="E11" s="125" t="s">
        <v>325</v>
      </c>
      <c r="F11" s="125" t="s">
        <v>457</v>
      </c>
      <c r="G11" s="125"/>
      <c r="I11" s="82"/>
    </row>
    <row r="12" spans="1:12" x14ac:dyDescent="0.2">
      <c r="A12" s="10" t="s">
        <v>254</v>
      </c>
      <c r="B12" s="125" t="s">
        <v>83</v>
      </c>
      <c r="C12" t="s">
        <v>11</v>
      </c>
      <c r="D12" s="125" t="s">
        <v>487</v>
      </c>
      <c r="E12" s="125" t="s">
        <v>9</v>
      </c>
      <c r="F12" s="125" t="s">
        <v>327</v>
      </c>
      <c r="G12" s="125"/>
    </row>
    <row r="13" spans="1:12" x14ac:dyDescent="0.2">
      <c r="A13" s="10" t="s">
        <v>255</v>
      </c>
      <c r="B13" s="125" t="s">
        <v>311</v>
      </c>
      <c r="C13" t="s">
        <v>11</v>
      </c>
      <c r="D13" s="125" t="s">
        <v>488</v>
      </c>
    </row>
    <row r="14" spans="1:12" x14ac:dyDescent="0.2">
      <c r="A14" s="10" t="s">
        <v>1</v>
      </c>
      <c r="B14" s="125" t="s">
        <v>312</v>
      </c>
      <c r="C14" t="s">
        <v>11</v>
      </c>
      <c r="D14" s="125" t="s">
        <v>489</v>
      </c>
      <c r="E14" t="s">
        <v>11</v>
      </c>
    </row>
    <row r="15" spans="1:12" x14ac:dyDescent="0.2">
      <c r="A15" s="10" t="s">
        <v>256</v>
      </c>
      <c r="B15" s="125" t="s">
        <v>84</v>
      </c>
      <c r="C15" t="s">
        <v>11</v>
      </c>
      <c r="D15" s="125" t="s">
        <v>490</v>
      </c>
      <c r="E15" t="s">
        <v>11</v>
      </c>
      <c r="I15" s="82"/>
    </row>
    <row r="16" spans="1:12" x14ac:dyDescent="0.2">
      <c r="A16" s="10" t="s">
        <v>257</v>
      </c>
      <c r="B16" s="125" t="s">
        <v>313</v>
      </c>
      <c r="C16" t="s">
        <v>11</v>
      </c>
      <c r="D16" s="125" t="s">
        <v>491</v>
      </c>
      <c r="E16" t="s">
        <v>11</v>
      </c>
    </row>
    <row r="17" spans="1:9" x14ac:dyDescent="0.2">
      <c r="A17" s="10" t="s">
        <v>258</v>
      </c>
      <c r="B17" s="125" t="s">
        <v>314</v>
      </c>
      <c r="C17" t="s">
        <v>11</v>
      </c>
      <c r="D17" s="125" t="s">
        <v>492</v>
      </c>
      <c r="E17" t="s">
        <v>11</v>
      </c>
      <c r="I17" s="82"/>
    </row>
    <row r="18" spans="1:9" x14ac:dyDescent="0.2">
      <c r="A18" s="10" t="s">
        <v>259</v>
      </c>
      <c r="B18" s="125" t="s">
        <v>284</v>
      </c>
      <c r="C18" t="s">
        <v>11</v>
      </c>
      <c r="D18" s="125" t="s">
        <v>493</v>
      </c>
      <c r="E18" t="s">
        <v>11</v>
      </c>
    </row>
    <row r="19" spans="1:9" x14ac:dyDescent="0.2">
      <c r="A19" s="10" t="s">
        <v>260</v>
      </c>
      <c r="B19" s="125" t="s">
        <v>315</v>
      </c>
      <c r="C19" t="s">
        <v>11</v>
      </c>
      <c r="D19" s="125" t="s">
        <v>494</v>
      </c>
      <c r="E19" t="s">
        <v>11</v>
      </c>
    </row>
    <row r="20" spans="1:9" x14ac:dyDescent="0.2">
      <c r="A20" s="10" t="s">
        <v>82</v>
      </c>
      <c r="B20" s="125" t="s">
        <v>316</v>
      </c>
      <c r="C20" t="s">
        <v>11</v>
      </c>
      <c r="D20" s="125" t="s">
        <v>495</v>
      </c>
      <c r="E20" t="s">
        <v>11</v>
      </c>
    </row>
    <row r="21" spans="1:9" x14ac:dyDescent="0.2">
      <c r="A21" s="10" t="s">
        <v>261</v>
      </c>
      <c r="B21" s="125" t="s">
        <v>317</v>
      </c>
      <c r="C21" t="s">
        <v>11</v>
      </c>
      <c r="D21" s="125" t="s">
        <v>496</v>
      </c>
    </row>
    <row r="22" spans="1:9" x14ac:dyDescent="0.2">
      <c r="A22" s="10" t="s">
        <v>262</v>
      </c>
      <c r="B22" s="125" t="s">
        <v>3</v>
      </c>
      <c r="C22" t="s">
        <v>11</v>
      </c>
      <c r="D22" s="125" t="s">
        <v>497</v>
      </c>
      <c r="E22" t="s">
        <v>11</v>
      </c>
      <c r="I22" s="82"/>
    </row>
    <row r="23" spans="1:9" x14ac:dyDescent="0.2">
      <c r="A23" s="10" t="s">
        <v>263</v>
      </c>
      <c r="B23" s="125" t="s">
        <v>7</v>
      </c>
      <c r="C23" t="s">
        <v>11</v>
      </c>
      <c r="D23" s="125" t="s">
        <v>498</v>
      </c>
      <c r="E23" t="s">
        <v>11</v>
      </c>
    </row>
    <row r="24" spans="1:9" x14ac:dyDescent="0.2">
      <c r="A24" s="10" t="s">
        <v>264</v>
      </c>
      <c r="B24" s="125" t="s">
        <v>87</v>
      </c>
      <c r="C24" t="s">
        <v>11</v>
      </c>
      <c r="D24" s="125" t="s">
        <v>499</v>
      </c>
      <c r="E24" t="s">
        <v>11</v>
      </c>
    </row>
    <row r="25" spans="1:9" x14ac:dyDescent="0.2">
      <c r="A25" s="10" t="s">
        <v>128</v>
      </c>
      <c r="B25" s="125" t="s">
        <v>318</v>
      </c>
      <c r="C25" t="s">
        <v>11</v>
      </c>
      <c r="D25" s="125" t="s">
        <v>500</v>
      </c>
      <c r="E25" t="s">
        <v>11</v>
      </c>
    </row>
    <row r="26" spans="1:9" x14ac:dyDescent="0.2">
      <c r="A26" s="10" t="s">
        <v>265</v>
      </c>
      <c r="C26" t="s">
        <v>11</v>
      </c>
      <c r="D26" s="125" t="s">
        <v>501</v>
      </c>
      <c r="E26" t="s">
        <v>11</v>
      </c>
      <c r="I26" s="82"/>
    </row>
    <row r="27" spans="1:9" x14ac:dyDescent="0.2">
      <c r="A27" s="10" t="s">
        <v>266</v>
      </c>
      <c r="C27" t="s">
        <v>11</v>
      </c>
      <c r="D27" s="125" t="s">
        <v>502</v>
      </c>
      <c r="E27" t="s">
        <v>11</v>
      </c>
    </row>
    <row r="28" spans="1:9" x14ac:dyDescent="0.2">
      <c r="A28" s="10" t="s">
        <v>267</v>
      </c>
      <c r="C28" t="s">
        <v>11</v>
      </c>
      <c r="D28" s="125" t="s">
        <v>503</v>
      </c>
      <c r="E28" t="s">
        <v>11</v>
      </c>
    </row>
    <row r="29" spans="1:9" x14ac:dyDescent="0.2">
      <c r="A29" s="10" t="s">
        <v>129</v>
      </c>
      <c r="C29" t="s">
        <v>11</v>
      </c>
      <c r="D29" t="s">
        <v>504</v>
      </c>
      <c r="E29" t="s">
        <v>11</v>
      </c>
    </row>
    <row r="30" spans="1:9" x14ac:dyDescent="0.2">
      <c r="A30" s="10" t="s">
        <v>268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130</v>
      </c>
      <c r="C32" t="s">
        <v>11</v>
      </c>
      <c r="D32" t="s">
        <v>11</v>
      </c>
      <c r="E32" t="s">
        <v>11</v>
      </c>
      <c r="I32" s="82"/>
    </row>
    <row r="33" spans="1:9" x14ac:dyDescent="0.2">
      <c r="A33" s="10" t="s">
        <v>269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270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271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272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273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131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132</v>
      </c>
      <c r="C39" t="s">
        <v>11</v>
      </c>
      <c r="D39" t="s">
        <v>11</v>
      </c>
      <c r="E39" t="s">
        <v>11</v>
      </c>
      <c r="I39" s="123"/>
    </row>
    <row r="40" spans="1:9" x14ac:dyDescent="0.2">
      <c r="A40" s="10" t="s">
        <v>274</v>
      </c>
      <c r="C40" t="s">
        <v>11</v>
      </c>
      <c r="D40" t="s">
        <v>11</v>
      </c>
      <c r="E40" t="s">
        <v>11</v>
      </c>
      <c r="I40" s="82"/>
    </row>
    <row r="41" spans="1:9" x14ac:dyDescent="0.2">
      <c r="A41" s="10" t="s">
        <v>275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133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276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134</v>
      </c>
      <c r="D44" t="s">
        <v>11</v>
      </c>
      <c r="E44" t="s">
        <v>11</v>
      </c>
    </row>
    <row r="45" spans="1:9" x14ac:dyDescent="0.2">
      <c r="A45" s="10" t="s">
        <v>277</v>
      </c>
    </row>
    <row r="46" spans="1:9" x14ac:dyDescent="0.2">
      <c r="A46" s="10" t="s">
        <v>278</v>
      </c>
      <c r="I46" s="82"/>
    </row>
    <row r="47" spans="1:9" x14ac:dyDescent="0.2">
      <c r="A47" s="10" t="s">
        <v>85</v>
      </c>
    </row>
    <row r="48" spans="1:9" x14ac:dyDescent="0.2">
      <c r="A48" s="10" t="s">
        <v>279</v>
      </c>
    </row>
    <row r="49" spans="1:9" x14ac:dyDescent="0.2">
      <c r="A49" s="10" t="s">
        <v>280</v>
      </c>
    </row>
    <row r="50" spans="1:9" x14ac:dyDescent="0.2">
      <c r="A50" s="10" t="s">
        <v>281</v>
      </c>
    </row>
    <row r="51" spans="1:9" x14ac:dyDescent="0.2">
      <c r="A51" s="10" t="s">
        <v>282</v>
      </c>
      <c r="I51" s="82"/>
    </row>
    <row r="52" spans="1:9" x14ac:dyDescent="0.2">
      <c r="A52" s="10" t="s">
        <v>283</v>
      </c>
    </row>
    <row r="53" spans="1:9" x14ac:dyDescent="0.2">
      <c r="A53" s="10" t="s">
        <v>284</v>
      </c>
    </row>
    <row r="54" spans="1:9" x14ac:dyDescent="0.2">
      <c r="A54" s="10" t="s">
        <v>285</v>
      </c>
    </row>
    <row r="55" spans="1:9" x14ac:dyDescent="0.2">
      <c r="A55" s="10" t="s">
        <v>286</v>
      </c>
    </row>
    <row r="56" spans="1:9" x14ac:dyDescent="0.2">
      <c r="A56" s="10" t="s">
        <v>287</v>
      </c>
      <c r="I56" s="82"/>
    </row>
    <row r="57" spans="1:9" x14ac:dyDescent="0.2">
      <c r="A57" s="10" t="s">
        <v>135</v>
      </c>
    </row>
    <row r="58" spans="1:9" x14ac:dyDescent="0.2">
      <c r="A58" s="10" t="s">
        <v>288</v>
      </c>
    </row>
    <row r="59" spans="1:9" x14ac:dyDescent="0.2">
      <c r="A59" s="10" t="s">
        <v>289</v>
      </c>
    </row>
    <row r="60" spans="1:9" x14ac:dyDescent="0.2">
      <c r="A60" s="10" t="s">
        <v>290</v>
      </c>
    </row>
    <row r="61" spans="1:9" x14ac:dyDescent="0.2">
      <c r="A61" s="10" t="s">
        <v>291</v>
      </c>
    </row>
    <row r="62" spans="1:9" x14ac:dyDescent="0.2">
      <c r="A62" s="10" t="s">
        <v>136</v>
      </c>
    </row>
    <row r="63" spans="1:9" x14ac:dyDescent="0.2">
      <c r="A63" s="10" t="s">
        <v>292</v>
      </c>
    </row>
    <row r="64" spans="1:9" x14ac:dyDescent="0.2">
      <c r="A64" s="10" t="s">
        <v>293</v>
      </c>
    </row>
    <row r="65" spans="1:9" x14ac:dyDescent="0.2">
      <c r="A65" s="10" t="s">
        <v>294</v>
      </c>
      <c r="I65" s="82"/>
    </row>
    <row r="66" spans="1:9" x14ac:dyDescent="0.2">
      <c r="A66" s="10" t="s">
        <v>295</v>
      </c>
    </row>
    <row r="67" spans="1:9" x14ac:dyDescent="0.2">
      <c r="A67" s="10" t="s">
        <v>296</v>
      </c>
    </row>
    <row r="68" spans="1:9" x14ac:dyDescent="0.2">
      <c r="A68" s="10" t="s">
        <v>297</v>
      </c>
    </row>
    <row r="69" spans="1:9" x14ac:dyDescent="0.2">
      <c r="A69" s="10" t="s">
        <v>86</v>
      </c>
    </row>
    <row r="70" spans="1:9" x14ac:dyDescent="0.2">
      <c r="A70" s="10" t="s">
        <v>298</v>
      </c>
    </row>
    <row r="71" spans="1:9" x14ac:dyDescent="0.2">
      <c r="A71" s="10" t="s">
        <v>299</v>
      </c>
      <c r="I71" s="82"/>
    </row>
    <row r="72" spans="1:9" x14ac:dyDescent="0.2">
      <c r="A72" s="10" t="s">
        <v>87</v>
      </c>
    </row>
    <row r="73" spans="1:9" x14ac:dyDescent="0.2">
      <c r="A73" s="10" t="s">
        <v>300</v>
      </c>
    </row>
    <row r="74" spans="1:9" x14ac:dyDescent="0.2">
      <c r="A74" s="10" t="s">
        <v>301</v>
      </c>
      <c r="I74" s="82"/>
    </row>
    <row r="75" spans="1:9" x14ac:dyDescent="0.2">
      <c r="A75" s="10" t="s">
        <v>302</v>
      </c>
    </row>
    <row r="76" spans="1:9" x14ac:dyDescent="0.2">
      <c r="A76" s="10" t="s">
        <v>303</v>
      </c>
    </row>
    <row r="77" spans="1:9" x14ac:dyDescent="0.2">
      <c r="A77" s="10" t="s">
        <v>304</v>
      </c>
    </row>
    <row r="78" spans="1:9" x14ac:dyDescent="0.2">
      <c r="A78" s="10" t="s">
        <v>305</v>
      </c>
    </row>
    <row r="81" spans="9:9" x14ac:dyDescent="0.2">
      <c r="I81" s="82"/>
    </row>
    <row r="85" spans="9:9" x14ac:dyDescent="0.2">
      <c r="I85" s="82"/>
    </row>
    <row r="91" spans="9:9" x14ac:dyDescent="0.2">
      <c r="I91" s="82"/>
    </row>
    <row r="96" spans="9:9" x14ac:dyDescent="0.2">
      <c r="I96" s="82"/>
    </row>
    <row r="101" spans="9:9" x14ac:dyDescent="0.2">
      <c r="I101" s="82"/>
    </row>
    <row r="106" spans="9:9" x14ac:dyDescent="0.2">
      <c r="I106" s="82"/>
    </row>
    <row r="111" spans="9:9" x14ac:dyDescent="0.2">
      <c r="I111" s="82"/>
    </row>
    <row r="119" spans="9:9" x14ac:dyDescent="0.2">
      <c r="I119" s="82"/>
    </row>
    <row r="129" spans="9:9" x14ac:dyDescent="0.2">
      <c r="I129" s="82"/>
    </row>
    <row r="134" spans="9:9" x14ac:dyDescent="0.2">
      <c r="I134" s="82"/>
    </row>
    <row r="141" spans="9:9" x14ac:dyDescent="0.2">
      <c r="I141" s="82"/>
    </row>
    <row r="143" spans="9:9" x14ac:dyDescent="0.2">
      <c r="I143" s="82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"/>
  <dimension ref="A1:CD59"/>
  <sheetViews>
    <sheetView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75 industries to 22 ",name!$B$2)</f>
        <v>Aggregation 75 industries to 22 Industry groups</v>
      </c>
    </row>
    <row r="2" spans="1:82" ht="164.25" customHeight="1" thickBot="1" x14ac:dyDescent="0.25">
      <c r="B2" s="124" t="str">
        <f t="array" ref="B2:BX2">TRANSPOSE(name!$A$4:$A$78)</f>
        <v>Agriculture, etc</v>
      </c>
      <c r="C2" s="124" t="str">
        <v>Coal, oil &amp; gas; Mining &amp; related</v>
      </c>
      <c r="D2" s="124" t="str">
        <v>Food products</v>
      </c>
      <c r="E2" s="124" t="str">
        <v>Beverages and tobacco</v>
      </c>
      <c r="F2" s="124" t="str">
        <v>Textiles</v>
      </c>
      <c r="G2" s="124" t="str">
        <v>Wearing apparel; Leather, etc</v>
      </c>
      <c r="H2" s="124" t="str">
        <v xml:space="preserve">Wood and cork </v>
      </c>
      <c r="I2" s="124" t="str">
        <v>Paper, etc</v>
      </c>
      <c r="J2" s="124" t="str">
        <v>Printing and recording</v>
      </c>
      <c r="K2" s="124" t="str">
        <v>Coke and petroleum; Chemicals, etc</v>
      </c>
      <c r="L2" s="124" t="str">
        <v>Pharmaceuticals</v>
      </c>
      <c r="M2" s="124" t="str">
        <v>Rubber and plastic</v>
      </c>
      <c r="N2" s="124" t="str">
        <v>Other non-metallic</v>
      </c>
      <c r="O2" s="124" t="str">
        <v>Basic metals</v>
      </c>
      <c r="P2" s="124" t="str">
        <v>Metal products</v>
      </c>
      <c r="Q2" s="124" t="str">
        <v>Computer, etc</v>
      </c>
      <c r="R2" s="124" t="str">
        <v>Electrical equipment</v>
      </c>
      <c r="S2" s="124" t="str">
        <v>Machinery n.e.c.</v>
      </c>
      <c r="T2" s="124" t="str">
        <v>Motor vehicles, etc</v>
      </c>
      <c r="U2" s="124" t="str">
        <v>Other transport equipment</v>
      </c>
      <c r="V2" s="124" t="str">
        <v>Furniture</v>
      </c>
      <c r="W2" s="124" t="str">
        <v>Other manufacturing</v>
      </c>
      <c r="X2" s="124" t="str">
        <v>Repair and installation</v>
      </c>
      <c r="Y2" s="124" t="str">
        <v>Electricity, gas, etc</v>
      </c>
      <c r="Z2" s="124" t="str">
        <v>Water</v>
      </c>
      <c r="AA2" s="124" t="str">
        <v>Sewerage</v>
      </c>
      <c r="AB2" s="124" t="str">
        <v>Waste management</v>
      </c>
      <c r="AC2" s="124" t="str">
        <v>Construction</v>
      </c>
      <c r="AD2" s="124" t="str">
        <v>Civil engineering</v>
      </c>
      <c r="AE2" s="124" t="str">
        <v>Specialised construction</v>
      </c>
      <c r="AF2" s="124" t="str">
        <v>Motor vehicle trade</v>
      </c>
      <c r="AG2" s="124" t="str">
        <v>Wholesale trade</v>
      </c>
      <c r="AH2" s="124" t="str">
        <v>Retail trade</v>
      </c>
      <c r="AI2" s="124" t="str">
        <v>Land transport, etc</v>
      </c>
      <c r="AJ2" s="124" t="str">
        <v>Water transport</v>
      </c>
      <c r="AK2" s="124" t="str">
        <v>Air transport</v>
      </c>
      <c r="AL2" s="124" t="str">
        <v>Warehousing, etc</v>
      </c>
      <c r="AM2" s="124" t="str">
        <v>Postal and courier</v>
      </c>
      <c r="AN2" s="124" t="str">
        <v>Accommodation</v>
      </c>
      <c r="AO2" s="124" t="str">
        <v>Food and beverage services</v>
      </c>
      <c r="AP2" s="124" t="str">
        <v>Publishing activities</v>
      </c>
      <c r="AQ2" s="124" t="str">
        <v>Film and music</v>
      </c>
      <c r="AR2" s="124" t="str">
        <v>Broadcasting</v>
      </c>
      <c r="AS2" s="124" t="str">
        <v>Telecommunications</v>
      </c>
      <c r="AT2" s="124" t="str">
        <v>Computing services</v>
      </c>
      <c r="AU2" s="124" t="str">
        <v>Information services</v>
      </c>
      <c r="AV2" s="124" t="str">
        <v>Financial services</v>
      </c>
      <c r="AW2" s="124" t="str">
        <v>Insurance and pensions</v>
      </c>
      <c r="AX2" s="124" t="str">
        <v>Auxiliary financial services</v>
      </c>
      <c r="AY2" s="124" t="str">
        <v>Real estate</v>
      </c>
      <c r="AZ2" s="124" t="str">
        <v>Legal and accounting</v>
      </c>
      <c r="BA2" s="124" t="str">
        <v>Head offices, etc</v>
      </c>
      <c r="BB2" s="124" t="str">
        <v>Architectural and related</v>
      </c>
      <c r="BC2" s="124" t="str">
        <v>Scientific research and development</v>
      </c>
      <c r="BD2" s="124" t="str">
        <v>Advertising, etc</v>
      </c>
      <c r="BE2" s="124" t="str">
        <v>Other professional</v>
      </c>
      <c r="BF2" s="124" t="str">
        <v>Veterinary</v>
      </c>
      <c r="BG2" s="124" t="str">
        <v>Rental and leasing</v>
      </c>
      <c r="BH2" s="124" t="str">
        <v>Employment activities</v>
      </c>
      <c r="BI2" s="124" t="str">
        <v>Travel, etc</v>
      </c>
      <c r="BJ2" s="124" t="str">
        <v>Security, etc</v>
      </c>
      <c r="BK2" s="124" t="str">
        <v>Services to buildings</v>
      </c>
      <c r="BL2" s="124" t="str">
        <v>Office administrative</v>
      </c>
      <c r="BM2" s="124" t="str">
        <v>Public administration and defence</v>
      </c>
      <c r="BN2" s="124" t="str">
        <v xml:space="preserve">Education </v>
      </c>
      <c r="BO2" s="124" t="str">
        <v>Health</v>
      </c>
      <c r="BP2" s="124" t="str">
        <v>Residential care</v>
      </c>
      <c r="BQ2" s="124" t="str">
        <v>Social work</v>
      </c>
      <c r="BR2" s="124" t="str">
        <v>Arts and entertainment</v>
      </c>
      <c r="BS2" s="124" t="str">
        <v>Libraries, etc</v>
      </c>
      <c r="BT2" s="124" t="str">
        <v>Gambling and betting</v>
      </c>
      <c r="BU2" s="124" t="str">
        <v>Sport and recreation</v>
      </c>
      <c r="BV2" s="124" t="str">
        <v>Membership organisations</v>
      </c>
      <c r="BW2" s="124" t="str">
        <v>Repair of goods</v>
      </c>
      <c r="BX2" s="124" t="str">
        <v>Other personal service</v>
      </c>
      <c r="BY2" s="124"/>
      <c r="BZ2" s="124"/>
      <c r="CA2" s="124"/>
      <c r="CB2" s="124"/>
      <c r="CC2" s="124"/>
      <c r="CD2" s="124"/>
    </row>
    <row r="3" spans="1:82" x14ac:dyDescent="0.2">
      <c r="A3" t="str">
        <f>name!B4</f>
        <v>Agriculture</v>
      </c>
      <c r="B3" s="196">
        <v>1</v>
      </c>
      <c r="C3" s="230">
        <v>0</v>
      </c>
      <c r="D3" s="230">
        <v>0</v>
      </c>
      <c r="E3" s="230">
        <v>0</v>
      </c>
      <c r="F3" s="230">
        <v>0</v>
      </c>
      <c r="G3" s="230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4">
        <v>0</v>
      </c>
      <c r="BY3">
        <v>1</v>
      </c>
    </row>
    <row r="4" spans="1:82" x14ac:dyDescent="0.2">
      <c r="A4" t="str">
        <f>name!B5</f>
        <v>Mining and quarrying</v>
      </c>
      <c r="B4" s="5">
        <v>0</v>
      </c>
      <c r="C4">
        <v>1</v>
      </c>
      <c r="D4">
        <v>0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  <c r="J4" s="82">
        <v>0</v>
      </c>
      <c r="K4" s="82">
        <v>0</v>
      </c>
      <c r="L4" s="82">
        <v>0</v>
      </c>
      <c r="M4" s="82">
        <v>0</v>
      </c>
      <c r="N4" s="82">
        <v>0</v>
      </c>
      <c r="O4" s="82">
        <v>0</v>
      </c>
      <c r="P4" s="82">
        <v>0</v>
      </c>
      <c r="Q4" s="82">
        <v>0</v>
      </c>
      <c r="R4" s="82">
        <v>0</v>
      </c>
      <c r="S4" s="82">
        <v>0</v>
      </c>
      <c r="T4" s="82">
        <v>0</v>
      </c>
      <c r="U4" s="82">
        <v>0</v>
      </c>
      <c r="V4" s="82">
        <v>0</v>
      </c>
      <c r="W4" s="82">
        <v>0</v>
      </c>
      <c r="X4" s="82">
        <v>0</v>
      </c>
      <c r="Y4" s="82">
        <v>0</v>
      </c>
      <c r="Z4" s="82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2">
        <v>0</v>
      </c>
      <c r="AG4" s="82">
        <v>0</v>
      </c>
      <c r="AH4" s="82">
        <v>0</v>
      </c>
      <c r="AI4" s="82">
        <v>0</v>
      </c>
      <c r="AJ4" s="82">
        <v>0</v>
      </c>
      <c r="AK4" s="82">
        <v>0</v>
      </c>
      <c r="AL4" s="82">
        <v>0</v>
      </c>
      <c r="AM4" s="82">
        <v>0</v>
      </c>
      <c r="AN4" s="82">
        <v>0</v>
      </c>
      <c r="AO4" s="82">
        <v>0</v>
      </c>
      <c r="AP4" s="82">
        <v>0</v>
      </c>
      <c r="AQ4" s="82">
        <v>0</v>
      </c>
      <c r="AR4" s="82">
        <v>0</v>
      </c>
      <c r="AS4" s="82">
        <v>0</v>
      </c>
      <c r="AT4" s="82">
        <v>0</v>
      </c>
      <c r="AU4" s="82">
        <v>0</v>
      </c>
      <c r="AV4" s="82">
        <v>0</v>
      </c>
      <c r="AW4" s="82">
        <v>0</v>
      </c>
      <c r="AX4" s="82">
        <v>0</v>
      </c>
      <c r="AY4" s="82">
        <v>0</v>
      </c>
      <c r="AZ4" s="82">
        <v>0</v>
      </c>
      <c r="BA4" s="82">
        <v>0</v>
      </c>
      <c r="BB4" s="82">
        <v>0</v>
      </c>
      <c r="BC4" s="82">
        <v>0</v>
      </c>
      <c r="BD4" s="82">
        <v>0</v>
      </c>
      <c r="BE4" s="82">
        <v>0</v>
      </c>
      <c r="BF4" s="82">
        <v>0</v>
      </c>
      <c r="BG4" s="82">
        <v>0</v>
      </c>
      <c r="BH4" s="82">
        <v>0</v>
      </c>
      <c r="BI4" s="82">
        <v>0</v>
      </c>
      <c r="BJ4" s="82">
        <v>0</v>
      </c>
      <c r="BK4" s="82">
        <v>0</v>
      </c>
      <c r="BL4" s="82">
        <v>0</v>
      </c>
      <c r="BM4" s="82">
        <v>0</v>
      </c>
      <c r="BN4" s="82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 s="6">
        <v>0</v>
      </c>
      <c r="BY4">
        <v>2</v>
      </c>
    </row>
    <row r="5" spans="1:82" x14ac:dyDescent="0.2">
      <c r="A5" t="str">
        <f>name!B6</f>
        <v>Food drink and tobacco</v>
      </c>
      <c r="B5" s="5">
        <v>0</v>
      </c>
      <c r="C5">
        <v>0</v>
      </c>
      <c r="D5">
        <v>1</v>
      </c>
      <c r="E5">
        <v>1</v>
      </c>
      <c r="F5">
        <v>0</v>
      </c>
      <c r="G5">
        <v>0</v>
      </c>
      <c r="H5" s="82">
        <v>0</v>
      </c>
      <c r="I5" s="82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 s="6">
        <v>0</v>
      </c>
      <c r="BY5">
        <v>3</v>
      </c>
    </row>
    <row r="6" spans="1:82" x14ac:dyDescent="0.2">
      <c r="A6" t="str">
        <f>name!B7</f>
        <v>Engineering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 s="82">
        <v>0</v>
      </c>
      <c r="I6" s="82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 s="6">
        <v>0</v>
      </c>
      <c r="BY6">
        <v>4</v>
      </c>
    </row>
    <row r="7" spans="1:82" x14ac:dyDescent="0.2">
      <c r="A7" t="str">
        <f>name!B8</f>
        <v>Rest of manufacturing</v>
      </c>
      <c r="B7" s="5">
        <v>0</v>
      </c>
      <c r="C7">
        <v>0</v>
      </c>
      <c r="D7">
        <v>0</v>
      </c>
      <c r="E7">
        <v>0</v>
      </c>
      <c r="F7">
        <v>1</v>
      </c>
      <c r="G7">
        <v>1</v>
      </c>
      <c r="H7">
        <v>1</v>
      </c>
      <c r="I7">
        <v>1</v>
      </c>
      <c r="J7" s="1">
        <v>1</v>
      </c>
      <c r="K7" s="1">
        <v>1</v>
      </c>
      <c r="L7" s="1">
        <v>1</v>
      </c>
      <c r="M7" s="82">
        <v>1</v>
      </c>
      <c r="N7" s="82">
        <v>1</v>
      </c>
      <c r="O7" s="82">
        <v>1</v>
      </c>
      <c r="P7" s="82">
        <v>1</v>
      </c>
      <c r="Q7">
        <v>0</v>
      </c>
      <c r="R7">
        <v>0</v>
      </c>
      <c r="S7">
        <v>0</v>
      </c>
      <c r="T7">
        <v>1</v>
      </c>
      <c r="U7">
        <v>1</v>
      </c>
      <c r="V7">
        <v>1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 s="6">
        <v>0</v>
      </c>
      <c r="BY7">
        <v>5</v>
      </c>
    </row>
    <row r="8" spans="1:82" x14ac:dyDescent="0.2">
      <c r="A8" t="str">
        <f>name!B9</f>
        <v>Electricity and gas</v>
      </c>
      <c r="B8" s="5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82">
        <v>0</v>
      </c>
      <c r="M8" s="82">
        <v>0</v>
      </c>
      <c r="N8" s="82">
        <v>0</v>
      </c>
      <c r="O8" s="82">
        <v>0</v>
      </c>
      <c r="P8" s="82">
        <v>0</v>
      </c>
      <c r="Q8" s="82">
        <v>0</v>
      </c>
      <c r="R8" s="82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1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 s="6">
        <v>0</v>
      </c>
      <c r="BY8">
        <v>6</v>
      </c>
    </row>
    <row r="9" spans="1:82" x14ac:dyDescent="0.2">
      <c r="A9" t="str">
        <f>name!B10</f>
        <v>Water and sewerage</v>
      </c>
      <c r="B9" s="5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82">
        <v>0</v>
      </c>
      <c r="M9" s="82">
        <v>0</v>
      </c>
      <c r="N9" s="82">
        <v>0</v>
      </c>
      <c r="O9" s="82">
        <v>0</v>
      </c>
      <c r="P9" s="82">
        <v>0</v>
      </c>
      <c r="Q9" s="82">
        <v>0</v>
      </c>
      <c r="R9" s="82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1</v>
      </c>
      <c r="AB9">
        <v>1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 s="6">
        <v>0</v>
      </c>
      <c r="BY9">
        <v>7</v>
      </c>
    </row>
    <row r="10" spans="1:82" x14ac:dyDescent="0.2">
      <c r="A10" t="str">
        <f>name!B11</f>
        <v>Construction</v>
      </c>
      <c r="B10" s="5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82">
        <v>0</v>
      </c>
      <c r="M10" s="82">
        <v>0</v>
      </c>
      <c r="N10" s="82">
        <v>0</v>
      </c>
      <c r="O10" s="82">
        <v>0</v>
      </c>
      <c r="P10" s="82">
        <v>0</v>
      </c>
      <c r="Q10" s="82">
        <v>0</v>
      </c>
      <c r="R10" s="82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1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 s="6">
        <v>0</v>
      </c>
      <c r="BY10">
        <v>8</v>
      </c>
    </row>
    <row r="11" spans="1:82" x14ac:dyDescent="0.2">
      <c r="A11" t="str">
        <f>name!B12</f>
        <v>Wholesale and retail trade</v>
      </c>
      <c r="B11" s="5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82">
        <v>0</v>
      </c>
      <c r="M11" s="82">
        <v>0</v>
      </c>
      <c r="N11" s="82">
        <v>0</v>
      </c>
      <c r="O11" s="82">
        <v>0</v>
      </c>
      <c r="P11" s="82">
        <v>0</v>
      </c>
      <c r="Q11" s="82">
        <v>0</v>
      </c>
      <c r="R11" s="82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 s="6">
        <v>0</v>
      </c>
      <c r="BY11">
        <v>9</v>
      </c>
    </row>
    <row r="12" spans="1:82" x14ac:dyDescent="0.2">
      <c r="A12" t="str">
        <f>name!B13</f>
        <v>Transport and storage</v>
      </c>
      <c r="B12" s="5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  <c r="R12" s="8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 s="6">
        <v>0</v>
      </c>
      <c r="BY12">
        <v>10</v>
      </c>
    </row>
    <row r="13" spans="1:82" x14ac:dyDescent="0.2">
      <c r="A13" t="str">
        <f>name!B14</f>
        <v>Accommodation and food</v>
      </c>
      <c r="B13" s="5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82">
        <v>0</v>
      </c>
      <c r="M13" s="82">
        <v>0</v>
      </c>
      <c r="N13" s="82">
        <v>0</v>
      </c>
      <c r="O13" s="82">
        <v>0</v>
      </c>
      <c r="P13" s="82">
        <v>0</v>
      </c>
      <c r="Q13" s="82">
        <v>0</v>
      </c>
      <c r="R13" s="82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 s="6">
        <v>0</v>
      </c>
      <c r="BY13">
        <v>11</v>
      </c>
    </row>
    <row r="14" spans="1:82" x14ac:dyDescent="0.2">
      <c r="A14" t="str">
        <f>name!B15</f>
        <v>Media</v>
      </c>
      <c r="B14" s="5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82">
        <v>0</v>
      </c>
      <c r="M14" s="82">
        <v>0</v>
      </c>
      <c r="N14" s="82">
        <v>0</v>
      </c>
      <c r="O14" s="82">
        <v>0</v>
      </c>
      <c r="P14" s="82">
        <v>0</v>
      </c>
      <c r="Q14" s="82">
        <v>0</v>
      </c>
      <c r="R14" s="82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1</v>
      </c>
      <c r="AQ14">
        <v>1</v>
      </c>
      <c r="AR14">
        <v>1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 s="6">
        <v>0</v>
      </c>
      <c r="BY14">
        <v>12</v>
      </c>
    </row>
    <row r="15" spans="1:82" x14ac:dyDescent="0.2">
      <c r="A15" t="str">
        <f>name!B16</f>
        <v>Information technology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 s="82">
        <v>0</v>
      </c>
      <c r="M15" s="82">
        <v>0</v>
      </c>
      <c r="N15" s="82">
        <v>0</v>
      </c>
      <c r="O15" s="82">
        <v>0</v>
      </c>
      <c r="P15" s="82">
        <v>0</v>
      </c>
      <c r="Q15" s="82">
        <v>0</v>
      </c>
      <c r="R15" s="82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 s="6">
        <v>0</v>
      </c>
      <c r="BY15">
        <v>13</v>
      </c>
    </row>
    <row r="16" spans="1:82" x14ac:dyDescent="0.2">
      <c r="A16" t="str">
        <f>name!B17</f>
        <v>Finance and insurance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s="82">
        <v>0</v>
      </c>
      <c r="M16" s="82">
        <v>0</v>
      </c>
      <c r="N16" s="82">
        <v>0</v>
      </c>
      <c r="O16" s="82">
        <v>0</v>
      </c>
      <c r="P16" s="82">
        <v>0</v>
      </c>
      <c r="Q16" s="82">
        <v>0</v>
      </c>
      <c r="R16" s="82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1</v>
      </c>
      <c r="AX16">
        <v>1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 s="6">
        <v>0</v>
      </c>
      <c r="BY16">
        <v>14</v>
      </c>
    </row>
    <row r="17" spans="1:77" x14ac:dyDescent="0.2">
      <c r="A17" t="str">
        <f>name!B18</f>
        <v>Real estate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82">
        <v>0</v>
      </c>
      <c r="M17" s="82">
        <v>0</v>
      </c>
      <c r="N17" s="82">
        <v>0</v>
      </c>
      <c r="O17" s="82">
        <v>0</v>
      </c>
      <c r="P17" s="82">
        <v>0</v>
      </c>
      <c r="Q17" s="82">
        <v>0</v>
      </c>
      <c r="R17" s="82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 s="6">
        <v>0</v>
      </c>
      <c r="BY17">
        <v>15</v>
      </c>
    </row>
    <row r="18" spans="1:77" x14ac:dyDescent="0.2">
      <c r="A18" t="str">
        <f>name!B19</f>
        <v>Professional services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2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 s="6">
        <v>0</v>
      </c>
      <c r="BY18">
        <v>16</v>
      </c>
    </row>
    <row r="19" spans="1:77" x14ac:dyDescent="0.2">
      <c r="A19" t="str">
        <f>name!B20</f>
        <v>Support services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2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 s="6">
        <v>0</v>
      </c>
      <c r="BY19">
        <v>17</v>
      </c>
    </row>
    <row r="20" spans="1:77" x14ac:dyDescent="0.2">
      <c r="A20" t="str">
        <f>name!B21</f>
        <v>Public admin. and defence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 s="82">
        <v>0</v>
      </c>
      <c r="M20" s="82">
        <v>0</v>
      </c>
      <c r="N20" s="82">
        <v>0</v>
      </c>
      <c r="O20" s="82">
        <v>0</v>
      </c>
      <c r="P20" s="82">
        <v>0</v>
      </c>
      <c r="Q20" s="82">
        <v>0</v>
      </c>
      <c r="R20" s="82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 s="6">
        <v>0</v>
      </c>
      <c r="BY20">
        <v>18</v>
      </c>
    </row>
    <row r="21" spans="1:77" x14ac:dyDescent="0.2">
      <c r="A21" t="str">
        <f>name!B22</f>
        <v>Education</v>
      </c>
      <c r="B21" s="5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2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 s="6">
        <v>0</v>
      </c>
      <c r="BY21">
        <v>19</v>
      </c>
    </row>
    <row r="22" spans="1:77" x14ac:dyDescent="0.2">
      <c r="A22" t="str">
        <f>name!B23</f>
        <v>Health and social work</v>
      </c>
      <c r="B22" s="5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82">
        <v>0</v>
      </c>
      <c r="M22" s="82">
        <v>0</v>
      </c>
      <c r="N22" s="82">
        <v>0</v>
      </c>
      <c r="O22" s="82">
        <v>0</v>
      </c>
      <c r="P22" s="82">
        <v>0</v>
      </c>
      <c r="Q22" s="82">
        <v>0</v>
      </c>
      <c r="R22" s="8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1</v>
      </c>
      <c r="BP22">
        <v>1</v>
      </c>
      <c r="BQ22">
        <v>1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 s="6">
        <v>0</v>
      </c>
      <c r="BY22">
        <v>20</v>
      </c>
    </row>
    <row r="23" spans="1:77" x14ac:dyDescent="0.2">
      <c r="A23" t="str">
        <f>name!B24</f>
        <v>Arts and entertainment</v>
      </c>
      <c r="B23" s="5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82">
        <v>0</v>
      </c>
      <c r="M23" s="82">
        <v>0</v>
      </c>
      <c r="N23" s="82">
        <v>0</v>
      </c>
      <c r="O23" s="82">
        <v>0</v>
      </c>
      <c r="P23" s="82">
        <v>0</v>
      </c>
      <c r="Q23" s="82">
        <v>0</v>
      </c>
      <c r="R23" s="82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1</v>
      </c>
      <c r="BS23">
        <v>1</v>
      </c>
      <c r="BT23">
        <v>1</v>
      </c>
      <c r="BU23">
        <v>1</v>
      </c>
      <c r="BV23">
        <v>0</v>
      </c>
      <c r="BW23">
        <v>0</v>
      </c>
      <c r="BX23" s="6">
        <v>0</v>
      </c>
      <c r="BY23">
        <v>21</v>
      </c>
    </row>
    <row r="24" spans="1:77" ht="13.5" thickBot="1" x14ac:dyDescent="0.25">
      <c r="A24" t="str">
        <f>name!B25</f>
        <v>Other services</v>
      </c>
      <c r="B24" s="7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229">
        <v>0</v>
      </c>
      <c r="M24" s="229">
        <v>0</v>
      </c>
      <c r="N24" s="229">
        <v>0</v>
      </c>
      <c r="O24" s="229">
        <v>0</v>
      </c>
      <c r="P24" s="229">
        <v>0</v>
      </c>
      <c r="Q24" s="229">
        <v>0</v>
      </c>
      <c r="R24" s="229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0</v>
      </c>
      <c r="BQ24" s="8">
        <v>0</v>
      </c>
      <c r="BR24" s="8">
        <v>0</v>
      </c>
      <c r="BS24" s="8">
        <v>0</v>
      </c>
      <c r="BT24" s="8">
        <v>0</v>
      </c>
      <c r="BU24" s="8">
        <v>0</v>
      </c>
      <c r="BV24" s="8">
        <v>1</v>
      </c>
      <c r="BW24" s="8">
        <v>1</v>
      </c>
      <c r="BX24" s="9">
        <v>1</v>
      </c>
      <c r="BY24">
        <v>22</v>
      </c>
    </row>
    <row r="25" spans="1:77" x14ac:dyDescent="0.2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  <c r="K25">
        <v>10</v>
      </c>
      <c r="L25">
        <v>11</v>
      </c>
      <c r="M25">
        <v>12</v>
      </c>
      <c r="N25">
        <v>13</v>
      </c>
      <c r="O25">
        <v>14</v>
      </c>
      <c r="P25">
        <v>15</v>
      </c>
      <c r="Q25">
        <v>16</v>
      </c>
      <c r="R25">
        <v>17</v>
      </c>
      <c r="S25">
        <v>18</v>
      </c>
      <c r="T25">
        <v>19</v>
      </c>
      <c r="U25">
        <v>20</v>
      </c>
      <c r="V25">
        <v>21</v>
      </c>
      <c r="W25">
        <v>22</v>
      </c>
      <c r="X25">
        <v>23</v>
      </c>
      <c r="Y25">
        <v>24</v>
      </c>
      <c r="Z25">
        <v>25</v>
      </c>
      <c r="AA25">
        <v>26</v>
      </c>
      <c r="AB25">
        <v>27</v>
      </c>
      <c r="AC25">
        <v>28</v>
      </c>
      <c r="AD25">
        <v>29</v>
      </c>
      <c r="AE25">
        <v>30</v>
      </c>
      <c r="AF25">
        <v>31</v>
      </c>
      <c r="AG25">
        <v>32</v>
      </c>
      <c r="AH25">
        <v>33</v>
      </c>
      <c r="AI25">
        <v>34</v>
      </c>
      <c r="AJ25">
        <v>35</v>
      </c>
      <c r="AK25">
        <v>36</v>
      </c>
      <c r="AL25">
        <v>37</v>
      </c>
      <c r="AM25">
        <v>38</v>
      </c>
      <c r="AN25">
        <v>39</v>
      </c>
      <c r="AO25">
        <v>40</v>
      </c>
      <c r="AP25">
        <v>41</v>
      </c>
      <c r="AQ25">
        <v>42</v>
      </c>
      <c r="AR25">
        <v>43</v>
      </c>
      <c r="AS25">
        <v>44</v>
      </c>
      <c r="AT25">
        <v>45</v>
      </c>
      <c r="AU25">
        <v>46</v>
      </c>
      <c r="AV25">
        <v>47</v>
      </c>
      <c r="AW25">
        <v>48</v>
      </c>
      <c r="AX25">
        <v>49</v>
      </c>
      <c r="AY25">
        <v>50</v>
      </c>
      <c r="AZ25">
        <v>51</v>
      </c>
      <c r="BA25">
        <v>52</v>
      </c>
      <c r="BB25">
        <v>53</v>
      </c>
      <c r="BC25">
        <v>54</v>
      </c>
      <c r="BD25">
        <v>55</v>
      </c>
      <c r="BE25">
        <v>56</v>
      </c>
      <c r="BF25">
        <v>57</v>
      </c>
      <c r="BG25">
        <v>58</v>
      </c>
      <c r="BH25">
        <v>59</v>
      </c>
      <c r="BI25">
        <v>60</v>
      </c>
      <c r="BJ25">
        <v>61</v>
      </c>
      <c r="BK25">
        <v>62</v>
      </c>
      <c r="BL25">
        <v>63</v>
      </c>
      <c r="BM25">
        <v>64</v>
      </c>
      <c r="BN25">
        <v>65</v>
      </c>
      <c r="BO25">
        <v>66</v>
      </c>
      <c r="BP25">
        <v>67</v>
      </c>
      <c r="BQ25">
        <v>68</v>
      </c>
      <c r="BR25">
        <v>69</v>
      </c>
      <c r="BS25">
        <v>70</v>
      </c>
      <c r="BT25">
        <v>71</v>
      </c>
      <c r="BU25">
        <v>72</v>
      </c>
      <c r="BV25">
        <v>73</v>
      </c>
      <c r="BW25">
        <v>74</v>
      </c>
      <c r="BX25">
        <v>75</v>
      </c>
    </row>
    <row r="27" spans="1:77" ht="13.5" thickBot="1" x14ac:dyDescent="0.25">
      <c r="A27" s="1" t="str">
        <f>CONCATENATE("Aggregation 75 industries to 6 ",name!C2)</f>
        <v>Aggregation 75 industries to 6 Industry sectors</v>
      </c>
    </row>
    <row r="28" spans="1:77" x14ac:dyDescent="0.2">
      <c r="A28" s="10" t="str">
        <f>name!C4</f>
        <v>Primary sector and utilities</v>
      </c>
      <c r="B28" s="2">
        <v>1</v>
      </c>
      <c r="C28" s="3">
        <v>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1</v>
      </c>
      <c r="Z28" s="3">
        <v>1</v>
      </c>
      <c r="AA28" s="3">
        <v>1</v>
      </c>
      <c r="AB28" s="3">
        <v>1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</v>
      </c>
      <c r="BQ28" s="3">
        <v>0</v>
      </c>
      <c r="BR28" s="3">
        <v>0</v>
      </c>
      <c r="BS28" s="3">
        <v>0</v>
      </c>
      <c r="BT28" s="3">
        <v>0</v>
      </c>
      <c r="BU28" s="3">
        <v>0</v>
      </c>
      <c r="BV28" s="3">
        <v>0</v>
      </c>
      <c r="BW28" s="3">
        <v>0</v>
      </c>
      <c r="BX28" s="4">
        <v>0</v>
      </c>
      <c r="BY28">
        <v>1</v>
      </c>
    </row>
    <row r="29" spans="1:77" x14ac:dyDescent="0.2">
      <c r="A29" s="10" t="str">
        <f>name!C5</f>
        <v>Manufacturing</v>
      </c>
      <c r="B29" s="5">
        <v>0</v>
      </c>
      <c r="C29">
        <v>0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 s="6">
        <v>0</v>
      </c>
      <c r="BY29">
        <v>2</v>
      </c>
    </row>
    <row r="30" spans="1:77" x14ac:dyDescent="0.2">
      <c r="A30" s="10" t="str">
        <f>name!C6</f>
        <v>Construction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1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 s="6">
        <v>0</v>
      </c>
      <c r="BY30">
        <v>3</v>
      </c>
    </row>
    <row r="31" spans="1:77" x14ac:dyDescent="0.2">
      <c r="A31" s="10" t="str">
        <f>name!C7</f>
        <v>Trade, accomod. and transport</v>
      </c>
      <c r="B31" s="5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 s="6">
        <v>0</v>
      </c>
      <c r="BY31">
        <v>4</v>
      </c>
    </row>
    <row r="32" spans="1:77" x14ac:dyDescent="0.2">
      <c r="A32" s="10" t="str">
        <f>name!C8</f>
        <v>Business and other services</v>
      </c>
      <c r="B32" s="5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 s="6">
        <v>1</v>
      </c>
      <c r="BY32">
        <v>5</v>
      </c>
    </row>
    <row r="33" spans="1:77" ht="13.5" thickBot="1" x14ac:dyDescent="0.25">
      <c r="A33" s="10" t="str">
        <f>name!C9</f>
        <v>Non-marketed services</v>
      </c>
      <c r="B33" s="7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  <c r="AP33" s="8">
        <v>0</v>
      </c>
      <c r="AQ33" s="8">
        <v>0</v>
      </c>
      <c r="AR33" s="8">
        <v>0</v>
      </c>
      <c r="AS33" s="8">
        <v>0</v>
      </c>
      <c r="AT33" s="8">
        <v>0</v>
      </c>
      <c r="AU33" s="8">
        <v>0</v>
      </c>
      <c r="AV33" s="8">
        <v>0</v>
      </c>
      <c r="AW33" s="8">
        <v>0</v>
      </c>
      <c r="AX33" s="8">
        <v>0</v>
      </c>
      <c r="AY33" s="8">
        <v>0</v>
      </c>
      <c r="AZ33" s="8">
        <v>0</v>
      </c>
      <c r="BA33" s="8">
        <v>0</v>
      </c>
      <c r="BB33" s="8">
        <v>0</v>
      </c>
      <c r="BC33" s="8">
        <v>0</v>
      </c>
      <c r="BD33" s="8">
        <v>0</v>
      </c>
      <c r="BE33" s="8">
        <v>0</v>
      </c>
      <c r="BF33" s="8">
        <v>0</v>
      </c>
      <c r="BG33" s="8">
        <v>0</v>
      </c>
      <c r="BH33" s="8">
        <v>0</v>
      </c>
      <c r="BI33" s="8">
        <v>0</v>
      </c>
      <c r="BJ33" s="8">
        <v>0</v>
      </c>
      <c r="BK33" s="8">
        <v>0</v>
      </c>
      <c r="BL33" s="8">
        <v>0</v>
      </c>
      <c r="BM33" s="8">
        <v>1</v>
      </c>
      <c r="BN33" s="8">
        <v>1</v>
      </c>
      <c r="BO33" s="8">
        <v>1</v>
      </c>
      <c r="BP33" s="8">
        <v>1</v>
      </c>
      <c r="BQ33" s="8">
        <v>1</v>
      </c>
      <c r="BR33" s="8">
        <v>0</v>
      </c>
      <c r="BS33" s="8">
        <v>0</v>
      </c>
      <c r="BT33" s="8">
        <v>0</v>
      </c>
      <c r="BU33" s="8">
        <v>0</v>
      </c>
      <c r="BV33" s="8">
        <v>0</v>
      </c>
      <c r="BW33" s="8">
        <v>0</v>
      </c>
      <c r="BX33" s="9">
        <v>0</v>
      </c>
      <c r="BY33">
        <v>6</v>
      </c>
    </row>
    <row r="34" spans="1:77" x14ac:dyDescent="0.2">
      <c r="B34">
        <v>1</v>
      </c>
      <c r="C34">
        <v>2</v>
      </c>
      <c r="D34">
        <v>3</v>
      </c>
      <c r="E34">
        <v>4</v>
      </c>
      <c r="F34">
        <v>5</v>
      </c>
      <c r="G34">
        <v>6</v>
      </c>
      <c r="H34">
        <v>7</v>
      </c>
      <c r="I34">
        <v>8</v>
      </c>
      <c r="J34">
        <v>9</v>
      </c>
      <c r="K34">
        <v>10</v>
      </c>
      <c r="L34">
        <v>11</v>
      </c>
      <c r="M34">
        <v>12</v>
      </c>
      <c r="N34">
        <v>13</v>
      </c>
      <c r="O34">
        <v>14</v>
      </c>
      <c r="P34">
        <v>15</v>
      </c>
      <c r="Q34">
        <v>16</v>
      </c>
      <c r="R34">
        <v>17</v>
      </c>
      <c r="S34">
        <v>18</v>
      </c>
      <c r="T34">
        <v>19</v>
      </c>
      <c r="U34">
        <v>20</v>
      </c>
      <c r="V34">
        <v>21</v>
      </c>
      <c r="W34">
        <v>22</v>
      </c>
      <c r="X34">
        <v>23</v>
      </c>
      <c r="Y34">
        <v>24</v>
      </c>
      <c r="Z34">
        <v>25</v>
      </c>
      <c r="AA34">
        <v>26</v>
      </c>
      <c r="AB34">
        <v>27</v>
      </c>
      <c r="AC34">
        <v>28</v>
      </c>
      <c r="AD34">
        <v>29</v>
      </c>
      <c r="AE34">
        <v>30</v>
      </c>
      <c r="AF34">
        <v>31</v>
      </c>
      <c r="AG34">
        <v>32</v>
      </c>
      <c r="AH34">
        <v>33</v>
      </c>
      <c r="AI34">
        <v>34</v>
      </c>
      <c r="AJ34">
        <v>35</v>
      </c>
      <c r="AK34">
        <v>36</v>
      </c>
      <c r="AL34">
        <v>37</v>
      </c>
      <c r="AM34">
        <v>38</v>
      </c>
      <c r="AN34">
        <v>39</v>
      </c>
      <c r="AO34">
        <v>40</v>
      </c>
      <c r="AP34">
        <v>41</v>
      </c>
      <c r="AQ34">
        <v>42</v>
      </c>
      <c r="AR34">
        <v>43</v>
      </c>
      <c r="AS34">
        <v>44</v>
      </c>
      <c r="AT34">
        <v>45</v>
      </c>
      <c r="AU34">
        <v>46</v>
      </c>
      <c r="AV34">
        <v>47</v>
      </c>
      <c r="AW34">
        <v>48</v>
      </c>
      <c r="AX34">
        <v>49</v>
      </c>
      <c r="AY34">
        <v>50</v>
      </c>
      <c r="AZ34">
        <v>51</v>
      </c>
      <c r="BA34">
        <v>52</v>
      </c>
      <c r="BB34">
        <v>53</v>
      </c>
      <c r="BC34">
        <v>54</v>
      </c>
      <c r="BD34">
        <v>55</v>
      </c>
      <c r="BE34">
        <v>56</v>
      </c>
      <c r="BF34">
        <v>57</v>
      </c>
      <c r="BG34">
        <v>58</v>
      </c>
      <c r="BH34">
        <v>59</v>
      </c>
      <c r="BI34">
        <v>60</v>
      </c>
      <c r="BJ34">
        <v>61</v>
      </c>
      <c r="BK34">
        <v>62</v>
      </c>
      <c r="BL34">
        <v>63</v>
      </c>
      <c r="BM34">
        <v>64</v>
      </c>
      <c r="BN34">
        <v>65</v>
      </c>
      <c r="BO34">
        <v>66</v>
      </c>
      <c r="BP34">
        <v>67</v>
      </c>
      <c r="BQ34">
        <v>68</v>
      </c>
      <c r="BR34">
        <v>69</v>
      </c>
      <c r="BS34">
        <v>70</v>
      </c>
      <c r="BT34">
        <v>71</v>
      </c>
      <c r="BU34">
        <v>72</v>
      </c>
      <c r="BV34">
        <v>73</v>
      </c>
      <c r="BW34">
        <v>74</v>
      </c>
      <c r="BX34">
        <v>75</v>
      </c>
    </row>
    <row r="36" spans="1:77" x14ac:dyDescent="0.2">
      <c r="A36" s="1" t="s">
        <v>508</v>
      </c>
    </row>
    <row r="37" spans="1:77" ht="120" customHeight="1" thickBot="1" x14ac:dyDescent="0.25">
      <c r="B37" s="352" t="s">
        <v>475</v>
      </c>
      <c r="C37" s="352" t="s">
        <v>476</v>
      </c>
      <c r="D37" s="352" t="s">
        <v>477</v>
      </c>
      <c r="E37" s="352" t="s">
        <v>479</v>
      </c>
      <c r="F37" s="352" t="s">
        <v>481</v>
      </c>
      <c r="G37" s="352" t="s">
        <v>482</v>
      </c>
      <c r="H37" s="352" t="s">
        <v>484</v>
      </c>
      <c r="I37" s="352" t="s">
        <v>486</v>
      </c>
      <c r="J37" s="352" t="s">
        <v>487</v>
      </c>
      <c r="K37" s="352" t="s">
        <v>488</v>
      </c>
      <c r="L37" s="352" t="s">
        <v>489</v>
      </c>
      <c r="M37" s="352" t="s">
        <v>490</v>
      </c>
      <c r="N37" s="352" t="s">
        <v>491</v>
      </c>
      <c r="O37" s="352" t="s">
        <v>492</v>
      </c>
      <c r="P37" s="352" t="s">
        <v>493</v>
      </c>
      <c r="Q37" s="352" t="s">
        <v>494</v>
      </c>
      <c r="R37" s="352" t="s">
        <v>495</v>
      </c>
      <c r="S37" s="352" t="s">
        <v>496</v>
      </c>
      <c r="T37" s="352" t="s">
        <v>497</v>
      </c>
      <c r="U37" s="352" t="s">
        <v>498</v>
      </c>
      <c r="V37" s="352" t="s">
        <v>499</v>
      </c>
      <c r="W37" s="352" t="s">
        <v>500</v>
      </c>
      <c r="X37" s="352" t="s">
        <v>501</v>
      </c>
      <c r="Y37" s="352" t="s">
        <v>502</v>
      </c>
      <c r="Z37" s="352" t="s">
        <v>503</v>
      </c>
      <c r="AA37" s="124" t="s">
        <v>504</v>
      </c>
      <c r="AB37" s="12"/>
    </row>
    <row r="38" spans="1:77" x14ac:dyDescent="0.2">
      <c r="A38" t="s">
        <v>322</v>
      </c>
      <c r="B38" s="2">
        <v>1</v>
      </c>
      <c r="C38" s="3">
        <v>1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4">
        <v>0</v>
      </c>
      <c r="AB38">
        <v>1</v>
      </c>
    </row>
    <row r="39" spans="1:77" x14ac:dyDescent="0.2">
      <c r="A39" t="s">
        <v>323</v>
      </c>
      <c r="B39" s="5">
        <v>0</v>
      </c>
      <c r="C39">
        <v>0</v>
      </c>
      <c r="D39">
        <v>1</v>
      </c>
      <c r="E39">
        <v>1</v>
      </c>
      <c r="F39">
        <v>1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s="6">
        <v>0</v>
      </c>
      <c r="AB39">
        <v>2</v>
      </c>
    </row>
    <row r="40" spans="1:77" x14ac:dyDescent="0.2">
      <c r="A40" t="s">
        <v>478</v>
      </c>
      <c r="B40" s="5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1</v>
      </c>
      <c r="J40">
        <v>1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s="6">
        <v>0</v>
      </c>
      <c r="AB40">
        <v>3</v>
      </c>
    </row>
    <row r="41" spans="1:77" x14ac:dyDescent="0.2">
      <c r="A41" t="s">
        <v>480</v>
      </c>
      <c r="B41" s="5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s="6">
        <v>0</v>
      </c>
      <c r="AB41">
        <v>4</v>
      </c>
    </row>
    <row r="42" spans="1:77" x14ac:dyDescent="0.2">
      <c r="A42" t="s">
        <v>324</v>
      </c>
      <c r="B42" s="5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s="6">
        <v>0</v>
      </c>
      <c r="AB42">
        <v>5</v>
      </c>
    </row>
    <row r="43" spans="1:77" x14ac:dyDescent="0.2">
      <c r="A43" t="s">
        <v>483</v>
      </c>
      <c r="B43" s="5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0</v>
      </c>
      <c r="W43">
        <v>0</v>
      </c>
      <c r="X43">
        <v>0</v>
      </c>
      <c r="Y43">
        <v>0</v>
      </c>
      <c r="Z43">
        <v>0</v>
      </c>
      <c r="AA43" s="6">
        <v>0</v>
      </c>
      <c r="AB43">
        <v>6</v>
      </c>
    </row>
    <row r="44" spans="1:77" x14ac:dyDescent="0.2">
      <c r="A44" t="s">
        <v>485</v>
      </c>
      <c r="B44" s="5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1</v>
      </c>
      <c r="X44">
        <v>0</v>
      </c>
      <c r="Y44">
        <v>0</v>
      </c>
      <c r="Z44">
        <v>0</v>
      </c>
      <c r="AA44" s="6">
        <v>0</v>
      </c>
      <c r="AB44">
        <v>7</v>
      </c>
    </row>
    <row r="45" spans="1:77" x14ac:dyDescent="0.2">
      <c r="A45" t="s">
        <v>325</v>
      </c>
      <c r="B45" s="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0</v>
      </c>
      <c r="AA45" s="6">
        <v>0</v>
      </c>
      <c r="AB45">
        <v>8</v>
      </c>
    </row>
    <row r="46" spans="1:77" ht="13.5" thickBot="1" x14ac:dyDescent="0.25">
      <c r="A46" t="s">
        <v>9</v>
      </c>
      <c r="B46" s="7">
        <v>0</v>
      </c>
      <c r="C46" s="8">
        <v>0</v>
      </c>
      <c r="D46" s="8">
        <v>0</v>
      </c>
      <c r="E46" s="8">
        <v>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1</v>
      </c>
      <c r="AA46" s="9">
        <v>1</v>
      </c>
      <c r="AB46">
        <v>9</v>
      </c>
    </row>
    <row r="47" spans="1:77" x14ac:dyDescent="0.2"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</row>
    <row r="49" spans="1:11" x14ac:dyDescent="0.2">
      <c r="A49" s="1" t="str">
        <f>CONCATENATE("Aggregation 9 qualifications to 6 ",name!$G$2)</f>
        <v>Aggregation 9 qualifications to 6 Qualification groups</v>
      </c>
    </row>
    <row r="50" spans="1:11" ht="197.25" customHeight="1" thickBot="1" x14ac:dyDescent="0.25">
      <c r="B50" s="124" t="str">
        <f t="array" ref="B50:J50">TRANSPOSE(name!F4:F13)</f>
        <v>RQF8 Doctorate</v>
      </c>
      <c r="C50" s="124" t="str">
        <v>RQF7 Other higher degree</v>
      </c>
      <c r="D50" s="124" t="str">
        <v>RQF6 First degree</v>
      </c>
      <c r="E50" s="124" t="str">
        <v>RQF5 Foundation degree;Nursing;Teaching</v>
      </c>
      <c r="F50" s="124" t="str">
        <v>RQF4 HE below degree level</v>
      </c>
      <c r="G50" s="124" t="str">
        <v>RQF3 A level &amp; equivalent</v>
      </c>
      <c r="H50" s="124" t="str">
        <v>RQF2 GCSE(A-C) &amp; equivalent</v>
      </c>
      <c r="I50" s="124" t="str">
        <v>RQF1 GCSE(below grade C) &amp; equivalent</v>
      </c>
      <c r="J50" s="124" t="str">
        <v>No Qualification</v>
      </c>
    </row>
    <row r="51" spans="1:11" x14ac:dyDescent="0.2">
      <c r="A51" s="10" t="str">
        <f>name!G4</f>
        <v>RQF 7-8</v>
      </c>
      <c r="B51" s="2">
        <v>1</v>
      </c>
      <c r="C51" s="3">
        <v>1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4">
        <v>0</v>
      </c>
      <c r="K51">
        <v>1</v>
      </c>
    </row>
    <row r="52" spans="1:11" x14ac:dyDescent="0.2">
      <c r="A52" s="10" t="str">
        <f>name!G5</f>
        <v>RQF 4-6</v>
      </c>
      <c r="B52" s="5">
        <v>0</v>
      </c>
      <c r="C52">
        <v>0</v>
      </c>
      <c r="D52">
        <v>1</v>
      </c>
      <c r="E52">
        <v>1</v>
      </c>
      <c r="F52">
        <v>1</v>
      </c>
      <c r="G52">
        <v>0</v>
      </c>
      <c r="H52">
        <v>0</v>
      </c>
      <c r="I52">
        <v>0</v>
      </c>
      <c r="J52" s="6">
        <v>0</v>
      </c>
      <c r="K52">
        <v>2</v>
      </c>
    </row>
    <row r="53" spans="1:11" x14ac:dyDescent="0.2">
      <c r="A53" s="10" t="str">
        <f>name!G6</f>
        <v>RQF3 A level &amp; equivalent</v>
      </c>
      <c r="B53" s="5">
        <v>0</v>
      </c>
      <c r="C53">
        <v>0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 s="6">
        <v>0</v>
      </c>
      <c r="K53">
        <v>3</v>
      </c>
    </row>
    <row r="54" spans="1:11" x14ac:dyDescent="0.2">
      <c r="A54" s="10" t="str">
        <f>name!G7</f>
        <v>RQF2 GCSE(A-C) &amp; equivalent</v>
      </c>
      <c r="B54" s="5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</v>
      </c>
      <c r="I54">
        <v>0</v>
      </c>
      <c r="J54" s="6">
        <v>0</v>
      </c>
      <c r="K54">
        <v>4</v>
      </c>
    </row>
    <row r="55" spans="1:11" x14ac:dyDescent="0.2">
      <c r="A55" s="10" t="str">
        <f>name!G8</f>
        <v>RQF1 GCSE(below grade C) &amp; equivalent</v>
      </c>
      <c r="B55" s="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</v>
      </c>
      <c r="J55" s="6">
        <v>0</v>
      </c>
      <c r="K55">
        <v>5</v>
      </c>
    </row>
    <row r="56" spans="1:11" ht="13.5" thickBot="1" x14ac:dyDescent="0.25">
      <c r="A56" s="10" t="str">
        <f>name!G9</f>
        <v>No Qualification</v>
      </c>
      <c r="B56" s="7">
        <v>0</v>
      </c>
      <c r="C56" s="8">
        <v>0</v>
      </c>
      <c r="D56" s="8">
        <v>0</v>
      </c>
      <c r="E56" s="8">
        <v>0</v>
      </c>
      <c r="F56" s="8">
        <v>0</v>
      </c>
      <c r="G56" s="8">
        <v>0</v>
      </c>
      <c r="H56" s="8">
        <v>0</v>
      </c>
      <c r="I56" s="8">
        <v>0</v>
      </c>
      <c r="J56" s="9">
        <v>1</v>
      </c>
      <c r="K56">
        <v>6</v>
      </c>
    </row>
    <row r="57" spans="1:11" x14ac:dyDescent="0.2">
      <c r="A57" s="10"/>
      <c r="B57">
        <v>1</v>
      </c>
      <c r="C57">
        <v>2</v>
      </c>
      <c r="D57">
        <v>3</v>
      </c>
      <c r="E57">
        <v>4</v>
      </c>
      <c r="F57">
        <v>5</v>
      </c>
      <c r="G57">
        <v>6</v>
      </c>
      <c r="H57">
        <v>7</v>
      </c>
      <c r="I57">
        <v>8</v>
      </c>
      <c r="J57">
        <v>9</v>
      </c>
    </row>
    <row r="58" spans="1:11" x14ac:dyDescent="0.2">
      <c r="A58" s="10"/>
    </row>
    <row r="59" spans="1:11" x14ac:dyDescent="0.2">
      <c r="A59" s="10"/>
    </row>
  </sheetData>
  <phoneticPr fontId="4" type="noConversion"/>
  <conditionalFormatting sqref="J52:J55">
    <cfRule type="cellIs" dxfId="5" priority="3" operator="equal">
      <formula>0</formula>
    </cfRule>
    <cfRule type="cellIs" dxfId="4" priority="4" stopIfTrue="1" operator="equal">
      <formula>1</formula>
    </cfRule>
  </conditionalFormatting>
  <conditionalFormatting sqref="B3:BX24 B28:BX33 B51:J56">
    <cfRule type="cellIs" dxfId="3" priority="15" operator="equal">
      <formula>0</formula>
    </cfRule>
    <cfRule type="cellIs" dxfId="2" priority="17" stopIfTrue="1" operator="equal">
      <formula>1</formula>
    </cfRule>
  </conditionalFormatting>
  <conditionalFormatting sqref="B38:AA46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53" orientation="landscape" r:id="rId1"/>
  <headerFooter alignWithMargins="0"/>
  <rowBreaks count="1" manualBreakCount="1">
    <brk id="26" max="1638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9">
    <pageSetUpPr fitToPage="1"/>
  </sheetPr>
  <dimension ref="A1:F244"/>
  <sheetViews>
    <sheetView zoomScale="85" zoomScaleNormal="85" workbookViewId="0"/>
  </sheetViews>
  <sheetFormatPr defaultColWidth="10.28515625" defaultRowHeight="12.75" x14ac:dyDescent="0.2"/>
  <cols>
    <col min="1" max="1" width="4.140625" style="88" customWidth="1"/>
    <col min="2" max="2" width="55.7109375" style="88" customWidth="1"/>
    <col min="3" max="3" width="5.85546875" style="88" customWidth="1"/>
    <col min="4" max="4" width="65.7109375" style="88" customWidth="1"/>
    <col min="5" max="16384" width="10.28515625" style="88"/>
  </cols>
  <sheetData>
    <row r="1" spans="1:4" x14ac:dyDescent="0.2">
      <c r="A1" s="14" t="s">
        <v>160</v>
      </c>
    </row>
    <row r="3" spans="1:4" x14ac:dyDescent="0.2">
      <c r="A3" s="125"/>
      <c r="B3" s="125" t="s">
        <v>348</v>
      </c>
      <c r="C3" s="125"/>
      <c r="D3" s="125" t="s">
        <v>349</v>
      </c>
    </row>
    <row r="4" spans="1:4" x14ac:dyDescent="0.2">
      <c r="A4" s="125"/>
      <c r="B4" s="125"/>
      <c r="C4" s="125"/>
      <c r="D4" s="125"/>
    </row>
    <row r="5" spans="1:4" x14ac:dyDescent="0.2">
      <c r="A5" s="125">
        <v>1</v>
      </c>
      <c r="B5" s="125" t="s">
        <v>161</v>
      </c>
      <c r="C5" s="125">
        <v>1</v>
      </c>
      <c r="D5" s="125" t="s">
        <v>162</v>
      </c>
    </row>
    <row r="6" spans="1:4" x14ac:dyDescent="0.2">
      <c r="A6" s="125"/>
      <c r="B6" s="125"/>
      <c r="C6" s="125"/>
      <c r="D6" s="125"/>
    </row>
    <row r="7" spans="1:4" x14ac:dyDescent="0.2">
      <c r="A7" s="125">
        <v>2</v>
      </c>
      <c r="B7" s="125" t="s">
        <v>88</v>
      </c>
      <c r="C7" s="125">
        <v>2</v>
      </c>
      <c r="D7" s="125" t="s">
        <v>163</v>
      </c>
    </row>
    <row r="8" spans="1:4" x14ac:dyDescent="0.2">
      <c r="A8" s="125"/>
      <c r="B8" s="125"/>
      <c r="C8" s="125"/>
      <c r="D8" s="125"/>
    </row>
    <row r="9" spans="1:4" x14ac:dyDescent="0.2">
      <c r="A9" s="125">
        <v>3</v>
      </c>
      <c r="B9" s="125" t="s">
        <v>164</v>
      </c>
      <c r="C9" s="125">
        <v>3</v>
      </c>
      <c r="D9" s="125" t="s">
        <v>165</v>
      </c>
    </row>
    <row r="10" spans="1:4" x14ac:dyDescent="0.2">
      <c r="A10" s="125"/>
      <c r="B10" s="125"/>
      <c r="C10" s="125">
        <v>4</v>
      </c>
      <c r="D10" s="125" t="s">
        <v>166</v>
      </c>
    </row>
    <row r="11" spans="1:4" x14ac:dyDescent="0.2">
      <c r="A11" s="125"/>
      <c r="B11" s="125"/>
      <c r="C11" s="125"/>
      <c r="D11" s="125"/>
    </row>
    <row r="12" spans="1:4" x14ac:dyDescent="0.2">
      <c r="A12" s="125">
        <v>4</v>
      </c>
      <c r="B12" s="125" t="s">
        <v>63</v>
      </c>
      <c r="C12" s="125">
        <v>16</v>
      </c>
      <c r="D12" s="125" t="s">
        <v>167</v>
      </c>
    </row>
    <row r="13" spans="1:4" x14ac:dyDescent="0.2">
      <c r="A13" s="125"/>
      <c r="B13" s="125"/>
      <c r="C13" s="125">
        <v>17</v>
      </c>
      <c r="D13" s="125" t="s">
        <v>89</v>
      </c>
    </row>
    <row r="14" spans="1:4" x14ac:dyDescent="0.2">
      <c r="A14" s="125"/>
      <c r="B14" s="125"/>
      <c r="C14" s="125">
        <v>18</v>
      </c>
      <c r="D14" s="125" t="s">
        <v>168</v>
      </c>
    </row>
    <row r="15" spans="1:4" x14ac:dyDescent="0.2">
      <c r="A15" s="125"/>
      <c r="B15" s="125"/>
      <c r="C15" s="125"/>
      <c r="D15" s="125"/>
    </row>
    <row r="16" spans="1:4" x14ac:dyDescent="0.2">
      <c r="A16" s="125">
        <v>5</v>
      </c>
      <c r="B16" s="125" t="s">
        <v>90</v>
      </c>
      <c r="C16" s="125">
        <v>5</v>
      </c>
      <c r="D16" s="125" t="s">
        <v>169</v>
      </c>
    </row>
    <row r="17" spans="1:4" x14ac:dyDescent="0.2">
      <c r="A17" s="125"/>
      <c r="B17" s="125"/>
      <c r="C17" s="125">
        <v>6</v>
      </c>
      <c r="D17" s="125" t="s">
        <v>170</v>
      </c>
    </row>
    <row r="18" spans="1:4" x14ac:dyDescent="0.2">
      <c r="A18" s="125"/>
      <c r="B18" s="125"/>
      <c r="C18" s="125">
        <v>7</v>
      </c>
      <c r="D18" s="125" t="s">
        <v>171</v>
      </c>
    </row>
    <row r="19" spans="1:4" x14ac:dyDescent="0.2">
      <c r="A19" s="125"/>
      <c r="B19" s="125"/>
      <c r="C19" s="125">
        <v>8</v>
      </c>
      <c r="D19" s="125" t="s">
        <v>172</v>
      </c>
    </row>
    <row r="20" spans="1:4" x14ac:dyDescent="0.2">
      <c r="A20" s="125"/>
      <c r="B20" s="125"/>
      <c r="C20" s="125">
        <v>9</v>
      </c>
      <c r="D20" s="125" t="s">
        <v>173</v>
      </c>
    </row>
    <row r="21" spans="1:4" x14ac:dyDescent="0.2">
      <c r="A21" s="125"/>
      <c r="B21" s="125"/>
      <c r="C21" s="125">
        <v>10</v>
      </c>
      <c r="D21" s="125" t="s">
        <v>174</v>
      </c>
    </row>
    <row r="22" spans="1:4" x14ac:dyDescent="0.2">
      <c r="A22" s="125"/>
      <c r="B22" s="125"/>
      <c r="C22" s="125">
        <v>11</v>
      </c>
      <c r="D22" s="125" t="s">
        <v>64</v>
      </c>
    </row>
    <row r="23" spans="1:4" x14ac:dyDescent="0.2">
      <c r="A23" s="125"/>
      <c r="B23" s="125"/>
      <c r="C23" s="125">
        <v>12</v>
      </c>
      <c r="D23" s="125" t="s">
        <v>175</v>
      </c>
    </row>
    <row r="24" spans="1:4" x14ac:dyDescent="0.2">
      <c r="A24" s="125"/>
      <c r="B24" s="125"/>
      <c r="C24" s="125">
        <v>13</v>
      </c>
      <c r="D24" s="125" t="s">
        <v>176</v>
      </c>
    </row>
    <row r="25" spans="1:4" x14ac:dyDescent="0.2">
      <c r="A25" s="125"/>
      <c r="B25" s="125"/>
      <c r="C25" s="125">
        <v>14</v>
      </c>
      <c r="D25" s="125" t="s">
        <v>122</v>
      </c>
    </row>
    <row r="26" spans="1:4" x14ac:dyDescent="0.2">
      <c r="A26" s="125"/>
      <c r="B26" s="125"/>
      <c r="C26" s="125">
        <v>15</v>
      </c>
      <c r="D26" s="125" t="s">
        <v>123</v>
      </c>
    </row>
    <row r="27" spans="1:4" x14ac:dyDescent="0.2">
      <c r="A27" s="125"/>
      <c r="B27" s="125"/>
      <c r="C27" s="125">
        <v>19</v>
      </c>
      <c r="D27" s="125" t="s">
        <v>177</v>
      </c>
    </row>
    <row r="28" spans="1:4" x14ac:dyDescent="0.2">
      <c r="A28" s="125"/>
      <c r="B28" s="125"/>
      <c r="C28" s="125">
        <v>20</v>
      </c>
      <c r="D28" s="125" t="s">
        <v>178</v>
      </c>
    </row>
    <row r="29" spans="1:4" x14ac:dyDescent="0.2">
      <c r="A29" s="125"/>
      <c r="B29" s="125"/>
      <c r="C29" s="125">
        <v>21</v>
      </c>
      <c r="D29" s="125" t="s">
        <v>179</v>
      </c>
    </row>
    <row r="30" spans="1:4" x14ac:dyDescent="0.2">
      <c r="A30" s="125"/>
      <c r="B30" s="125"/>
      <c r="C30" s="125">
        <v>22</v>
      </c>
      <c r="D30" s="125" t="s">
        <v>180</v>
      </c>
    </row>
    <row r="31" spans="1:4" x14ac:dyDescent="0.2">
      <c r="A31" s="125"/>
      <c r="B31" s="125"/>
      <c r="C31" s="125">
        <v>23</v>
      </c>
      <c r="D31" s="125" t="s">
        <v>181</v>
      </c>
    </row>
    <row r="32" spans="1:4" x14ac:dyDescent="0.2">
      <c r="A32" s="125"/>
      <c r="B32" s="125"/>
      <c r="C32" s="125"/>
      <c r="D32" s="125"/>
    </row>
    <row r="33" spans="1:4" x14ac:dyDescent="0.2">
      <c r="A33" s="125">
        <v>6</v>
      </c>
      <c r="B33" s="125" t="s">
        <v>182</v>
      </c>
      <c r="C33" s="125">
        <v>24</v>
      </c>
      <c r="D33" s="125" t="s">
        <v>183</v>
      </c>
    </row>
    <row r="34" spans="1:4" x14ac:dyDescent="0.2">
      <c r="A34" s="125"/>
      <c r="B34" s="125"/>
      <c r="C34" s="125"/>
      <c r="D34" s="125"/>
    </row>
    <row r="35" spans="1:4" x14ac:dyDescent="0.2">
      <c r="A35" s="125">
        <v>7</v>
      </c>
      <c r="B35" s="125" t="s">
        <v>184</v>
      </c>
      <c r="C35" s="125">
        <v>25</v>
      </c>
      <c r="D35" s="125" t="s">
        <v>185</v>
      </c>
    </row>
    <row r="36" spans="1:4" x14ac:dyDescent="0.2">
      <c r="A36" s="125"/>
      <c r="B36" s="125"/>
      <c r="C36" s="125">
        <v>26</v>
      </c>
      <c r="D36" s="125" t="s">
        <v>186</v>
      </c>
    </row>
    <row r="37" spans="1:4" x14ac:dyDescent="0.2">
      <c r="A37" s="125"/>
      <c r="B37" s="125"/>
      <c r="C37" s="125">
        <v>27</v>
      </c>
      <c r="D37" s="125" t="s">
        <v>187</v>
      </c>
    </row>
    <row r="38" spans="1:4" x14ac:dyDescent="0.2">
      <c r="A38" s="125"/>
      <c r="B38" s="125"/>
      <c r="C38" s="125"/>
      <c r="D38" s="125"/>
    </row>
    <row r="39" spans="1:4" x14ac:dyDescent="0.2">
      <c r="A39" s="125">
        <v>8</v>
      </c>
      <c r="B39" s="125" t="s">
        <v>65</v>
      </c>
      <c r="C39" s="125">
        <v>28</v>
      </c>
      <c r="D39" s="125" t="s">
        <v>188</v>
      </c>
    </row>
    <row r="40" spans="1:4" x14ac:dyDescent="0.2">
      <c r="A40" s="125"/>
      <c r="B40" s="125"/>
      <c r="C40" s="125">
        <v>29</v>
      </c>
      <c r="D40" s="125" t="s">
        <v>189</v>
      </c>
    </row>
    <row r="41" spans="1:4" x14ac:dyDescent="0.2">
      <c r="A41" s="125"/>
      <c r="B41" s="125"/>
      <c r="C41" s="125">
        <v>30</v>
      </c>
      <c r="D41" s="125" t="s">
        <v>190</v>
      </c>
    </row>
    <row r="42" spans="1:4" x14ac:dyDescent="0.2">
      <c r="A42" s="125"/>
      <c r="B42" s="125"/>
      <c r="C42" s="125"/>
      <c r="D42" s="125"/>
    </row>
    <row r="43" spans="1:4" x14ac:dyDescent="0.2">
      <c r="A43" s="125">
        <v>9</v>
      </c>
      <c r="B43" s="125" t="s">
        <v>91</v>
      </c>
      <c r="C43" s="125">
        <v>31</v>
      </c>
      <c r="D43" s="125" t="s">
        <v>191</v>
      </c>
    </row>
    <row r="44" spans="1:4" x14ac:dyDescent="0.2">
      <c r="A44" s="125"/>
      <c r="B44" s="125"/>
      <c r="C44" s="125">
        <v>32</v>
      </c>
      <c r="D44" s="125" t="s">
        <v>192</v>
      </c>
    </row>
    <row r="45" spans="1:4" x14ac:dyDescent="0.2">
      <c r="A45" s="125"/>
      <c r="B45" s="125"/>
      <c r="C45" s="125">
        <v>33</v>
      </c>
      <c r="D45" s="125" t="s">
        <v>193</v>
      </c>
    </row>
    <row r="46" spans="1:4" x14ac:dyDescent="0.2">
      <c r="A46" s="125"/>
      <c r="B46" s="125"/>
      <c r="C46" s="125"/>
      <c r="D46" s="125"/>
    </row>
    <row r="47" spans="1:4" x14ac:dyDescent="0.2">
      <c r="A47" s="125">
        <v>10</v>
      </c>
      <c r="B47" s="125" t="s">
        <v>194</v>
      </c>
      <c r="C47" s="125">
        <v>34</v>
      </c>
      <c r="D47" s="125" t="s">
        <v>195</v>
      </c>
    </row>
    <row r="48" spans="1:4" x14ac:dyDescent="0.2">
      <c r="A48" s="125"/>
      <c r="B48" s="125"/>
      <c r="C48" s="125">
        <v>35</v>
      </c>
      <c r="D48" s="125" t="s">
        <v>196</v>
      </c>
    </row>
    <row r="49" spans="1:4" x14ac:dyDescent="0.2">
      <c r="A49" s="125"/>
      <c r="B49" s="125"/>
      <c r="C49" s="125">
        <v>36</v>
      </c>
      <c r="D49" s="125" t="s">
        <v>197</v>
      </c>
    </row>
    <row r="50" spans="1:4" x14ac:dyDescent="0.2">
      <c r="A50" s="125"/>
      <c r="B50" s="125"/>
      <c r="C50" s="125">
        <v>37</v>
      </c>
      <c r="D50" s="125" t="s">
        <v>198</v>
      </c>
    </row>
    <row r="51" spans="1:4" x14ac:dyDescent="0.2">
      <c r="A51" s="125"/>
      <c r="B51" s="125"/>
      <c r="C51" s="125">
        <v>38</v>
      </c>
      <c r="D51" s="125" t="s">
        <v>199</v>
      </c>
    </row>
    <row r="52" spans="1:4" x14ac:dyDescent="0.2">
      <c r="A52" s="125"/>
      <c r="B52" s="125"/>
      <c r="C52" s="125"/>
      <c r="D52" s="125"/>
    </row>
    <row r="53" spans="1:4" x14ac:dyDescent="0.2">
      <c r="A53" s="125">
        <v>11</v>
      </c>
      <c r="B53" s="125" t="s">
        <v>200</v>
      </c>
      <c r="C53" s="125">
        <v>39</v>
      </c>
      <c r="D53" s="125" t="s">
        <v>201</v>
      </c>
    </row>
    <row r="54" spans="1:4" x14ac:dyDescent="0.2">
      <c r="A54" s="125"/>
      <c r="B54" s="125"/>
      <c r="C54" s="125">
        <v>40</v>
      </c>
      <c r="D54" s="125" t="s">
        <v>202</v>
      </c>
    </row>
    <row r="55" spans="1:4" x14ac:dyDescent="0.2">
      <c r="A55" s="125"/>
      <c r="B55" s="125"/>
      <c r="C55" s="125"/>
      <c r="D55" s="125"/>
    </row>
    <row r="56" spans="1:4" x14ac:dyDescent="0.2">
      <c r="A56" s="125">
        <v>12</v>
      </c>
      <c r="B56" s="125" t="s">
        <v>94</v>
      </c>
      <c r="C56" s="125">
        <v>41</v>
      </c>
      <c r="D56" s="125" t="s">
        <v>124</v>
      </c>
    </row>
    <row r="57" spans="1:4" x14ac:dyDescent="0.2">
      <c r="A57" s="125"/>
      <c r="B57" s="125"/>
      <c r="C57" s="125">
        <v>42</v>
      </c>
      <c r="D57" s="125" t="s">
        <v>203</v>
      </c>
    </row>
    <row r="58" spans="1:4" x14ac:dyDescent="0.2">
      <c r="A58" s="125"/>
      <c r="B58" s="125"/>
      <c r="C58" s="125">
        <v>43</v>
      </c>
      <c r="D58" s="125" t="s">
        <v>204</v>
      </c>
    </row>
    <row r="59" spans="1:4" x14ac:dyDescent="0.2">
      <c r="A59" s="125"/>
      <c r="B59" s="125"/>
      <c r="C59" s="125"/>
      <c r="D59" s="125"/>
    </row>
    <row r="60" spans="1:4" x14ac:dyDescent="0.2">
      <c r="A60" s="125">
        <v>13</v>
      </c>
      <c r="B60" s="125" t="s">
        <v>205</v>
      </c>
      <c r="C60" s="125">
        <v>44</v>
      </c>
      <c r="D60" s="125" t="s">
        <v>92</v>
      </c>
    </row>
    <row r="61" spans="1:4" x14ac:dyDescent="0.2">
      <c r="A61" s="125"/>
      <c r="B61" s="125"/>
      <c r="C61" s="125">
        <v>45</v>
      </c>
      <c r="D61" s="125" t="s">
        <v>206</v>
      </c>
    </row>
    <row r="62" spans="1:4" x14ac:dyDescent="0.2">
      <c r="A62" s="125"/>
      <c r="B62" s="125"/>
      <c r="C62" s="125">
        <v>46</v>
      </c>
      <c r="D62" s="125" t="s">
        <v>207</v>
      </c>
    </row>
    <row r="63" spans="1:4" x14ac:dyDescent="0.2">
      <c r="A63" s="125"/>
      <c r="B63" s="125"/>
      <c r="C63" s="125"/>
      <c r="D63" s="125"/>
    </row>
    <row r="64" spans="1:4" x14ac:dyDescent="0.2">
      <c r="A64" s="125">
        <v>14</v>
      </c>
      <c r="B64" s="125" t="s">
        <v>208</v>
      </c>
      <c r="C64" s="125">
        <v>47</v>
      </c>
      <c r="D64" s="125" t="s">
        <v>125</v>
      </c>
    </row>
    <row r="65" spans="1:4" x14ac:dyDescent="0.2">
      <c r="A65" s="125"/>
      <c r="B65" s="125"/>
      <c r="C65" s="125">
        <v>48</v>
      </c>
      <c r="D65" s="125" t="s">
        <v>209</v>
      </c>
    </row>
    <row r="66" spans="1:4" x14ac:dyDescent="0.2">
      <c r="A66" s="125"/>
      <c r="B66" s="125"/>
      <c r="C66" s="125">
        <v>49</v>
      </c>
      <c r="D66" s="125" t="s">
        <v>210</v>
      </c>
    </row>
    <row r="67" spans="1:4" x14ac:dyDescent="0.2">
      <c r="A67" s="125"/>
      <c r="B67" s="125"/>
      <c r="C67" s="125"/>
      <c r="D67" s="125"/>
    </row>
    <row r="68" spans="1:4" x14ac:dyDescent="0.2">
      <c r="A68" s="125">
        <v>15</v>
      </c>
      <c r="B68" s="125" t="s">
        <v>211</v>
      </c>
      <c r="C68" s="125">
        <v>50</v>
      </c>
      <c r="D68" s="125" t="s">
        <v>211</v>
      </c>
    </row>
    <row r="69" spans="1:4" x14ac:dyDescent="0.2">
      <c r="A69" s="125"/>
      <c r="B69" s="125"/>
      <c r="C69" s="125"/>
      <c r="D69" s="125"/>
    </row>
    <row r="70" spans="1:4" x14ac:dyDescent="0.2">
      <c r="A70" s="125">
        <v>16</v>
      </c>
      <c r="B70" s="125" t="s">
        <v>212</v>
      </c>
      <c r="C70" s="125">
        <v>51</v>
      </c>
      <c r="D70" s="125" t="s">
        <v>213</v>
      </c>
    </row>
    <row r="71" spans="1:4" x14ac:dyDescent="0.2">
      <c r="A71" s="125"/>
      <c r="B71" s="125"/>
      <c r="C71" s="125">
        <v>52</v>
      </c>
      <c r="D71" s="125" t="s">
        <v>214</v>
      </c>
    </row>
    <row r="72" spans="1:4" x14ac:dyDescent="0.2">
      <c r="A72" s="125"/>
      <c r="B72" s="125"/>
      <c r="C72" s="125">
        <v>53</v>
      </c>
      <c r="D72" s="125" t="s">
        <v>215</v>
      </c>
    </row>
    <row r="73" spans="1:4" x14ac:dyDescent="0.2">
      <c r="A73" s="125"/>
      <c r="B73" s="125"/>
      <c r="C73" s="125">
        <v>54</v>
      </c>
      <c r="D73" s="125" t="s">
        <v>216</v>
      </c>
    </row>
    <row r="74" spans="1:4" x14ac:dyDescent="0.2">
      <c r="A74" s="125"/>
      <c r="B74" s="125"/>
      <c r="C74" s="125">
        <v>55</v>
      </c>
      <c r="D74" s="125" t="s">
        <v>217</v>
      </c>
    </row>
    <row r="75" spans="1:4" x14ac:dyDescent="0.2">
      <c r="A75" s="125"/>
      <c r="B75" s="125"/>
      <c r="C75" s="125">
        <v>56</v>
      </c>
      <c r="D75" s="125" t="s">
        <v>218</v>
      </c>
    </row>
    <row r="76" spans="1:4" x14ac:dyDescent="0.2">
      <c r="A76" s="125"/>
      <c r="B76" s="125"/>
      <c r="C76" s="125">
        <v>57</v>
      </c>
      <c r="D76" s="125" t="s">
        <v>219</v>
      </c>
    </row>
    <row r="77" spans="1:4" x14ac:dyDescent="0.2">
      <c r="A77" s="125"/>
      <c r="B77" s="125"/>
      <c r="C77" s="125"/>
      <c r="D77" s="125"/>
    </row>
    <row r="78" spans="1:4" x14ac:dyDescent="0.2">
      <c r="A78" s="125">
        <v>17</v>
      </c>
      <c r="B78" s="125" t="s">
        <v>220</v>
      </c>
      <c r="C78" s="125">
        <v>58</v>
      </c>
      <c r="D78" s="125" t="s">
        <v>221</v>
      </c>
    </row>
    <row r="79" spans="1:4" x14ac:dyDescent="0.2">
      <c r="A79" s="125"/>
      <c r="B79" s="125"/>
      <c r="C79" s="125">
        <v>59</v>
      </c>
      <c r="D79" s="125" t="s">
        <v>126</v>
      </c>
    </row>
    <row r="80" spans="1:4" x14ac:dyDescent="0.2">
      <c r="A80" s="125"/>
      <c r="B80" s="125"/>
      <c r="C80" s="125">
        <v>60</v>
      </c>
      <c r="D80" s="125" t="s">
        <v>222</v>
      </c>
    </row>
    <row r="81" spans="1:4" x14ac:dyDescent="0.2">
      <c r="A81" s="125"/>
      <c r="B81" s="125"/>
      <c r="C81" s="125">
        <v>61</v>
      </c>
      <c r="D81" s="125" t="s">
        <v>223</v>
      </c>
    </row>
    <row r="82" spans="1:4" x14ac:dyDescent="0.2">
      <c r="A82" s="125"/>
      <c r="B82" s="125"/>
      <c r="C82" s="125">
        <v>62</v>
      </c>
      <c r="D82" s="125" t="s">
        <v>224</v>
      </c>
    </row>
    <row r="83" spans="1:4" x14ac:dyDescent="0.2">
      <c r="A83" s="125"/>
      <c r="B83" s="125"/>
      <c r="C83" s="125">
        <v>63</v>
      </c>
      <c r="D83" s="125" t="s">
        <v>225</v>
      </c>
    </row>
    <row r="84" spans="1:4" x14ac:dyDescent="0.2">
      <c r="A84" s="125"/>
      <c r="B84" s="125"/>
      <c r="C84" s="125"/>
      <c r="D84" s="125"/>
    </row>
    <row r="85" spans="1:4" x14ac:dyDescent="0.2">
      <c r="A85" s="125">
        <v>18</v>
      </c>
      <c r="B85" s="125" t="s">
        <v>226</v>
      </c>
      <c r="C85" s="125">
        <v>64</v>
      </c>
      <c r="D85" s="125" t="s">
        <v>227</v>
      </c>
    </row>
    <row r="86" spans="1:4" x14ac:dyDescent="0.2">
      <c r="A86" s="125"/>
      <c r="B86" s="125"/>
      <c r="C86" s="125"/>
      <c r="D86" s="125"/>
    </row>
    <row r="87" spans="1:4" x14ac:dyDescent="0.2">
      <c r="A87" s="125">
        <v>19</v>
      </c>
      <c r="B87" s="125" t="s">
        <v>66</v>
      </c>
      <c r="C87" s="125">
        <v>65</v>
      </c>
      <c r="D87" s="125" t="s">
        <v>66</v>
      </c>
    </row>
    <row r="88" spans="1:4" x14ac:dyDescent="0.2">
      <c r="A88" s="125"/>
      <c r="B88" s="125"/>
      <c r="C88" s="125"/>
      <c r="D88" s="125"/>
    </row>
    <row r="89" spans="1:4" x14ac:dyDescent="0.2">
      <c r="A89" s="125">
        <v>20</v>
      </c>
      <c r="B89" s="125" t="s">
        <v>67</v>
      </c>
      <c r="C89" s="125">
        <v>66</v>
      </c>
      <c r="D89" s="125" t="s">
        <v>228</v>
      </c>
    </row>
    <row r="90" spans="1:4" x14ac:dyDescent="0.2">
      <c r="A90" s="125"/>
      <c r="B90" s="125"/>
      <c r="C90" s="125">
        <v>67</v>
      </c>
      <c r="D90" s="125" t="s">
        <v>229</v>
      </c>
    </row>
    <row r="91" spans="1:4" x14ac:dyDescent="0.2">
      <c r="A91" s="125"/>
      <c r="B91" s="125"/>
      <c r="C91" s="125">
        <v>68</v>
      </c>
      <c r="D91" s="125" t="s">
        <v>230</v>
      </c>
    </row>
    <row r="92" spans="1:4" x14ac:dyDescent="0.2">
      <c r="A92" s="125"/>
      <c r="B92" s="125"/>
      <c r="C92" s="125"/>
      <c r="D92" s="125"/>
    </row>
    <row r="93" spans="1:4" x14ac:dyDescent="0.2">
      <c r="A93" s="125">
        <v>21</v>
      </c>
      <c r="B93" s="125" t="s">
        <v>93</v>
      </c>
      <c r="C93" s="125">
        <v>69</v>
      </c>
      <c r="D93" s="125" t="s">
        <v>231</v>
      </c>
    </row>
    <row r="94" spans="1:4" x14ac:dyDescent="0.2">
      <c r="A94" s="125"/>
      <c r="B94" s="125"/>
      <c r="C94" s="125">
        <v>70</v>
      </c>
      <c r="D94" s="125" t="s">
        <v>232</v>
      </c>
    </row>
    <row r="95" spans="1:4" x14ac:dyDescent="0.2">
      <c r="A95" s="125"/>
      <c r="B95" s="125"/>
      <c r="C95" s="125">
        <v>71</v>
      </c>
      <c r="D95" s="125" t="s">
        <v>233</v>
      </c>
    </row>
    <row r="96" spans="1:4" x14ac:dyDescent="0.2">
      <c r="A96" s="125"/>
      <c r="B96" s="125"/>
      <c r="C96" s="125">
        <v>72</v>
      </c>
      <c r="D96" s="125" t="s">
        <v>234</v>
      </c>
    </row>
    <row r="97" spans="1:4" x14ac:dyDescent="0.2">
      <c r="A97" s="125"/>
      <c r="B97" s="125"/>
      <c r="C97" s="125"/>
      <c r="D97" s="125"/>
    </row>
    <row r="98" spans="1:4" x14ac:dyDescent="0.2">
      <c r="A98" s="125">
        <v>22</v>
      </c>
      <c r="B98" s="125" t="s">
        <v>235</v>
      </c>
      <c r="C98" s="125">
        <v>73</v>
      </c>
      <c r="D98" s="125" t="s">
        <v>127</v>
      </c>
    </row>
    <row r="99" spans="1:4" x14ac:dyDescent="0.2">
      <c r="A99" s="125"/>
      <c r="B99" s="125"/>
      <c r="C99" s="125">
        <v>74</v>
      </c>
      <c r="D99" s="125" t="s">
        <v>236</v>
      </c>
    </row>
    <row r="100" spans="1:4" x14ac:dyDescent="0.2">
      <c r="A100" s="125"/>
      <c r="B100" s="125"/>
      <c r="C100" s="125">
        <v>75</v>
      </c>
      <c r="D100" s="125" t="s">
        <v>237</v>
      </c>
    </row>
    <row r="101" spans="1:4" x14ac:dyDescent="0.2">
      <c r="A101"/>
      <c r="B101"/>
      <c r="D101"/>
    </row>
    <row r="102" spans="1:4" x14ac:dyDescent="0.2">
      <c r="A102" s="16" t="s">
        <v>238</v>
      </c>
      <c r="D102"/>
    </row>
    <row r="103" spans="1:4" x14ac:dyDescent="0.2">
      <c r="D103"/>
    </row>
    <row r="104" spans="1:4" x14ac:dyDescent="0.2">
      <c r="A104" s="10"/>
      <c r="B104" s="125" t="s">
        <v>350</v>
      </c>
      <c r="C104" s="10"/>
      <c r="D104" s="125" t="s">
        <v>349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239</v>
      </c>
      <c r="C106" s="10">
        <v>1</v>
      </c>
      <c r="D106" s="10" t="s">
        <v>162</v>
      </c>
    </row>
    <row r="107" spans="1:4" x14ac:dyDescent="0.2">
      <c r="A107" s="10"/>
      <c r="B107" s="10"/>
      <c r="C107" s="10">
        <v>2</v>
      </c>
      <c r="D107" s="10" t="s">
        <v>163</v>
      </c>
    </row>
    <row r="108" spans="1:4" x14ac:dyDescent="0.2">
      <c r="A108" s="10"/>
      <c r="B108" s="10"/>
      <c r="C108" s="10">
        <v>24</v>
      </c>
      <c r="D108" s="10" t="s">
        <v>183</v>
      </c>
    </row>
    <row r="109" spans="1:4" x14ac:dyDescent="0.2">
      <c r="A109" s="10"/>
      <c r="B109" s="10"/>
      <c r="C109" s="10">
        <v>25</v>
      </c>
      <c r="D109" s="10" t="s">
        <v>185</v>
      </c>
    </row>
    <row r="110" spans="1:4" x14ac:dyDescent="0.2">
      <c r="A110" s="10"/>
      <c r="B110" s="10"/>
      <c r="C110" s="10">
        <v>26</v>
      </c>
      <c r="D110" s="10" t="s">
        <v>186</v>
      </c>
    </row>
    <row r="111" spans="1:4" x14ac:dyDescent="0.2">
      <c r="A111" s="10"/>
      <c r="B111" s="10"/>
      <c r="C111" s="10">
        <v>27</v>
      </c>
      <c r="D111" s="10" t="s">
        <v>187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95</v>
      </c>
      <c r="C113" s="10">
        <v>3</v>
      </c>
      <c r="D113" s="10" t="s">
        <v>165</v>
      </c>
    </row>
    <row r="114" spans="1:4" x14ac:dyDescent="0.2">
      <c r="A114" s="10"/>
      <c r="B114" s="10"/>
      <c r="C114" s="10">
        <v>4</v>
      </c>
      <c r="D114" s="10" t="s">
        <v>166</v>
      </c>
    </row>
    <row r="115" spans="1:4" x14ac:dyDescent="0.2">
      <c r="A115" s="10"/>
      <c r="B115" s="10"/>
      <c r="C115" s="10">
        <v>5</v>
      </c>
      <c r="D115" s="10" t="s">
        <v>169</v>
      </c>
    </row>
    <row r="116" spans="1:4" x14ac:dyDescent="0.2">
      <c r="A116" s="10"/>
      <c r="B116" s="10"/>
      <c r="C116" s="10">
        <v>6</v>
      </c>
      <c r="D116" s="10" t="s">
        <v>170</v>
      </c>
    </row>
    <row r="117" spans="1:4" x14ac:dyDescent="0.2">
      <c r="A117" s="10"/>
      <c r="B117" s="10"/>
      <c r="C117" s="10">
        <v>7</v>
      </c>
      <c r="D117" s="10" t="s">
        <v>171</v>
      </c>
    </row>
    <row r="118" spans="1:4" x14ac:dyDescent="0.2">
      <c r="A118" s="10"/>
      <c r="B118" s="10"/>
      <c r="C118" s="10">
        <v>8</v>
      </c>
      <c r="D118" s="10" t="s">
        <v>172</v>
      </c>
    </row>
    <row r="119" spans="1:4" x14ac:dyDescent="0.2">
      <c r="A119" s="10"/>
      <c r="B119" s="10"/>
      <c r="C119" s="10">
        <v>9</v>
      </c>
      <c r="D119" s="10" t="s">
        <v>173</v>
      </c>
    </row>
    <row r="120" spans="1:4" x14ac:dyDescent="0.2">
      <c r="A120" s="10"/>
      <c r="B120" s="10"/>
      <c r="C120" s="10">
        <v>10</v>
      </c>
      <c r="D120" s="10" t="s">
        <v>174</v>
      </c>
    </row>
    <row r="121" spans="1:4" x14ac:dyDescent="0.2">
      <c r="A121" s="10"/>
      <c r="B121" s="10"/>
      <c r="C121" s="10">
        <v>11</v>
      </c>
      <c r="D121" s="10" t="s">
        <v>64</v>
      </c>
    </row>
    <row r="122" spans="1:4" x14ac:dyDescent="0.2">
      <c r="A122" s="10"/>
      <c r="B122" s="10"/>
      <c r="C122" s="10">
        <v>12</v>
      </c>
      <c r="D122" s="10" t="s">
        <v>175</v>
      </c>
    </row>
    <row r="123" spans="1:4" x14ac:dyDescent="0.2">
      <c r="A123" s="10"/>
      <c r="B123" s="10"/>
      <c r="C123" s="10">
        <v>13</v>
      </c>
      <c r="D123" s="10" t="s">
        <v>176</v>
      </c>
    </row>
    <row r="124" spans="1:4" x14ac:dyDescent="0.2">
      <c r="A124" s="10"/>
      <c r="B124" s="10"/>
      <c r="C124" s="10">
        <v>14</v>
      </c>
      <c r="D124" s="10" t="s">
        <v>122</v>
      </c>
    </row>
    <row r="125" spans="1:4" x14ac:dyDescent="0.2">
      <c r="A125" s="10"/>
      <c r="B125" s="10"/>
      <c r="C125" s="10">
        <v>15</v>
      </c>
      <c r="D125" s="10" t="s">
        <v>123</v>
      </c>
    </row>
    <row r="126" spans="1:4" x14ac:dyDescent="0.2">
      <c r="A126" s="10"/>
      <c r="B126" s="10"/>
      <c r="C126" s="10">
        <v>16</v>
      </c>
      <c r="D126" s="10" t="s">
        <v>167</v>
      </c>
    </row>
    <row r="127" spans="1:4" x14ac:dyDescent="0.2">
      <c r="A127" s="10"/>
      <c r="B127" s="10"/>
      <c r="C127" s="10">
        <v>17</v>
      </c>
      <c r="D127" s="10" t="s">
        <v>89</v>
      </c>
    </row>
    <row r="128" spans="1:4" x14ac:dyDescent="0.2">
      <c r="A128" s="10"/>
      <c r="B128" s="10"/>
      <c r="C128" s="10">
        <v>18</v>
      </c>
      <c r="D128" s="10" t="s">
        <v>168</v>
      </c>
    </row>
    <row r="129" spans="1:4" x14ac:dyDescent="0.2">
      <c r="A129" s="10"/>
      <c r="B129" s="10"/>
      <c r="C129" s="10">
        <v>19</v>
      </c>
      <c r="D129" s="10" t="s">
        <v>177</v>
      </c>
    </row>
    <row r="130" spans="1:4" x14ac:dyDescent="0.2">
      <c r="A130" s="10"/>
      <c r="B130" s="10"/>
      <c r="C130" s="10">
        <v>20</v>
      </c>
      <c r="D130" s="10" t="s">
        <v>178</v>
      </c>
    </row>
    <row r="131" spans="1:4" x14ac:dyDescent="0.2">
      <c r="A131" s="10"/>
      <c r="B131" s="10"/>
      <c r="C131" s="10">
        <v>21</v>
      </c>
      <c r="D131" s="10" t="s">
        <v>179</v>
      </c>
    </row>
    <row r="132" spans="1:4" x14ac:dyDescent="0.2">
      <c r="A132" s="10"/>
      <c r="B132" s="10"/>
      <c r="C132" s="10">
        <v>22</v>
      </c>
      <c r="D132" s="10" t="s">
        <v>180</v>
      </c>
    </row>
    <row r="133" spans="1:4" x14ac:dyDescent="0.2">
      <c r="A133" s="10"/>
      <c r="B133" s="10"/>
      <c r="C133" s="10">
        <v>23</v>
      </c>
      <c r="D133" s="10" t="s">
        <v>181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65</v>
      </c>
      <c r="C135" s="10">
        <v>28</v>
      </c>
      <c r="D135" s="10" t="s">
        <v>188</v>
      </c>
    </row>
    <row r="136" spans="1:4" x14ac:dyDescent="0.2">
      <c r="A136" s="10"/>
      <c r="B136" s="10"/>
      <c r="C136" s="10">
        <v>29</v>
      </c>
      <c r="D136" s="10" t="s">
        <v>189</v>
      </c>
    </row>
    <row r="137" spans="1:4" x14ac:dyDescent="0.2">
      <c r="A137" s="10"/>
      <c r="B137" s="10"/>
      <c r="C137" s="10">
        <v>30</v>
      </c>
      <c r="D137" s="10" t="s">
        <v>190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240</v>
      </c>
      <c r="C139" s="10">
        <v>31</v>
      </c>
      <c r="D139" s="10" t="s">
        <v>191</v>
      </c>
    </row>
    <row r="140" spans="1:4" x14ac:dyDescent="0.2">
      <c r="A140" s="10"/>
      <c r="B140" s="10"/>
      <c r="C140" s="10">
        <v>32</v>
      </c>
      <c r="D140" s="10" t="s">
        <v>192</v>
      </c>
    </row>
    <row r="141" spans="1:4" x14ac:dyDescent="0.2">
      <c r="A141" s="10"/>
      <c r="B141" s="10"/>
      <c r="C141" s="10">
        <v>33</v>
      </c>
      <c r="D141" s="10" t="s">
        <v>193</v>
      </c>
    </row>
    <row r="142" spans="1:4" x14ac:dyDescent="0.2">
      <c r="A142" s="10"/>
      <c r="B142" s="10"/>
      <c r="C142" s="10">
        <v>34</v>
      </c>
      <c r="D142" s="10" t="s">
        <v>195</v>
      </c>
    </row>
    <row r="143" spans="1:4" x14ac:dyDescent="0.2">
      <c r="A143" s="10"/>
      <c r="B143" s="10"/>
      <c r="C143" s="10">
        <v>35</v>
      </c>
      <c r="D143" s="10" t="s">
        <v>196</v>
      </c>
    </row>
    <row r="144" spans="1:4" x14ac:dyDescent="0.2">
      <c r="A144" s="10"/>
      <c r="B144" s="10"/>
      <c r="C144" s="10">
        <v>36</v>
      </c>
      <c r="D144" s="10" t="s">
        <v>197</v>
      </c>
    </row>
    <row r="145" spans="1:4" x14ac:dyDescent="0.2">
      <c r="A145" s="10"/>
      <c r="B145" s="10"/>
      <c r="C145" s="10">
        <v>37</v>
      </c>
      <c r="D145" s="10" t="s">
        <v>198</v>
      </c>
    </row>
    <row r="146" spans="1:4" x14ac:dyDescent="0.2">
      <c r="A146" s="10"/>
      <c r="B146" s="10"/>
      <c r="C146" s="10">
        <v>38</v>
      </c>
      <c r="D146" s="10" t="s">
        <v>199</v>
      </c>
    </row>
    <row r="147" spans="1:4" x14ac:dyDescent="0.2">
      <c r="A147" s="10"/>
      <c r="B147" s="10"/>
      <c r="C147" s="10">
        <v>39</v>
      </c>
      <c r="D147" s="10" t="s">
        <v>201</v>
      </c>
    </row>
    <row r="148" spans="1:4" x14ac:dyDescent="0.2">
      <c r="A148" s="10"/>
      <c r="B148" s="10"/>
      <c r="C148" s="10">
        <v>40</v>
      </c>
      <c r="D148" s="10" t="s">
        <v>202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241</v>
      </c>
      <c r="C150" s="10">
        <v>41</v>
      </c>
      <c r="D150" s="10" t="s">
        <v>124</v>
      </c>
    </row>
    <row r="151" spans="1:4" x14ac:dyDescent="0.2">
      <c r="A151" s="10"/>
      <c r="B151" s="10"/>
      <c r="C151" s="10">
        <v>42</v>
      </c>
      <c r="D151" s="10" t="s">
        <v>203</v>
      </c>
    </row>
    <row r="152" spans="1:4" x14ac:dyDescent="0.2">
      <c r="A152" s="10"/>
      <c r="B152" s="10"/>
      <c r="C152" s="10">
        <v>43</v>
      </c>
      <c r="D152" s="10" t="s">
        <v>204</v>
      </c>
    </row>
    <row r="153" spans="1:4" x14ac:dyDescent="0.2">
      <c r="A153" s="10"/>
      <c r="B153" s="10"/>
      <c r="C153" s="10">
        <v>44</v>
      </c>
      <c r="D153" s="10" t="s">
        <v>92</v>
      </c>
    </row>
    <row r="154" spans="1:4" x14ac:dyDescent="0.2">
      <c r="A154" s="10"/>
      <c r="B154" s="10"/>
      <c r="C154" s="10">
        <v>45</v>
      </c>
      <c r="D154" s="10" t="s">
        <v>206</v>
      </c>
    </row>
    <row r="155" spans="1:4" x14ac:dyDescent="0.2">
      <c r="A155" s="10"/>
      <c r="B155" s="10"/>
      <c r="C155" s="10">
        <v>46</v>
      </c>
      <c r="D155" s="10" t="s">
        <v>207</v>
      </c>
    </row>
    <row r="156" spans="1:4" x14ac:dyDescent="0.2">
      <c r="A156" s="10"/>
      <c r="B156" s="10"/>
      <c r="C156" s="10">
        <v>47</v>
      </c>
      <c r="D156" s="10" t="s">
        <v>125</v>
      </c>
    </row>
    <row r="157" spans="1:4" x14ac:dyDescent="0.2">
      <c r="A157" s="10"/>
      <c r="B157" s="10"/>
      <c r="C157" s="10">
        <v>48</v>
      </c>
      <c r="D157" s="10" t="s">
        <v>209</v>
      </c>
    </row>
    <row r="158" spans="1:4" x14ac:dyDescent="0.2">
      <c r="A158" s="10"/>
      <c r="B158" s="10"/>
      <c r="C158" s="10">
        <v>49</v>
      </c>
      <c r="D158" s="10" t="s">
        <v>210</v>
      </c>
    </row>
    <row r="159" spans="1:4" x14ac:dyDescent="0.2">
      <c r="A159" s="10"/>
      <c r="B159" s="10"/>
      <c r="C159" s="10">
        <v>50</v>
      </c>
      <c r="D159" s="10" t="s">
        <v>211</v>
      </c>
    </row>
    <row r="160" spans="1:4" x14ac:dyDescent="0.2">
      <c r="A160" s="10"/>
      <c r="B160" s="10"/>
      <c r="C160" s="10">
        <v>51</v>
      </c>
      <c r="D160" s="10" t="s">
        <v>213</v>
      </c>
    </row>
    <row r="161" spans="1:4" x14ac:dyDescent="0.2">
      <c r="A161" s="10"/>
      <c r="B161" s="10"/>
      <c r="C161" s="10">
        <v>52</v>
      </c>
      <c r="D161" s="10" t="s">
        <v>214</v>
      </c>
    </row>
    <row r="162" spans="1:4" x14ac:dyDescent="0.2">
      <c r="A162" s="10"/>
      <c r="B162" s="10"/>
      <c r="C162" s="10">
        <v>53</v>
      </c>
      <c r="D162" s="10" t="s">
        <v>215</v>
      </c>
    </row>
    <row r="163" spans="1:4" x14ac:dyDescent="0.2">
      <c r="A163" s="10"/>
      <c r="B163" s="10"/>
      <c r="C163" s="10">
        <v>54</v>
      </c>
      <c r="D163" s="10" t="s">
        <v>216</v>
      </c>
    </row>
    <row r="164" spans="1:4" x14ac:dyDescent="0.2">
      <c r="A164" s="10"/>
      <c r="B164" s="10"/>
      <c r="C164" s="10">
        <v>55</v>
      </c>
      <c r="D164" s="10" t="s">
        <v>217</v>
      </c>
    </row>
    <row r="165" spans="1:4" x14ac:dyDescent="0.2">
      <c r="A165" s="10"/>
      <c r="B165" s="10"/>
      <c r="C165" s="10">
        <v>56</v>
      </c>
      <c r="D165" s="10" t="s">
        <v>218</v>
      </c>
    </row>
    <row r="166" spans="1:4" x14ac:dyDescent="0.2">
      <c r="A166" s="10"/>
      <c r="B166" s="10"/>
      <c r="C166" s="10">
        <v>57</v>
      </c>
      <c r="D166" s="10" t="s">
        <v>219</v>
      </c>
    </row>
    <row r="167" spans="1:4" x14ac:dyDescent="0.2">
      <c r="A167" s="10"/>
      <c r="B167" s="10"/>
      <c r="C167" s="10">
        <v>58</v>
      </c>
      <c r="D167" s="10" t="s">
        <v>221</v>
      </c>
    </row>
    <row r="168" spans="1:4" x14ac:dyDescent="0.2">
      <c r="A168" s="10"/>
      <c r="B168" s="10"/>
      <c r="C168" s="10">
        <v>59</v>
      </c>
      <c r="D168" s="10" t="s">
        <v>126</v>
      </c>
    </row>
    <row r="169" spans="1:4" x14ac:dyDescent="0.2">
      <c r="A169" s="10"/>
      <c r="B169" s="10"/>
      <c r="C169" s="10">
        <v>60</v>
      </c>
      <c r="D169" s="10" t="s">
        <v>222</v>
      </c>
    </row>
    <row r="170" spans="1:4" x14ac:dyDescent="0.2">
      <c r="A170" s="10"/>
      <c r="B170" s="10"/>
      <c r="C170" s="10">
        <v>61</v>
      </c>
      <c r="D170" s="10" t="s">
        <v>223</v>
      </c>
    </row>
    <row r="171" spans="1:4" x14ac:dyDescent="0.2">
      <c r="A171" s="10"/>
      <c r="B171" s="10"/>
      <c r="C171" s="10">
        <v>62</v>
      </c>
      <c r="D171" s="10" t="s">
        <v>224</v>
      </c>
    </row>
    <row r="172" spans="1:4" x14ac:dyDescent="0.2">
      <c r="A172" s="10"/>
      <c r="B172" s="10"/>
      <c r="C172" s="10">
        <v>63</v>
      </c>
      <c r="D172" s="10" t="s">
        <v>225</v>
      </c>
    </row>
    <row r="173" spans="1:4" x14ac:dyDescent="0.2">
      <c r="A173" s="10"/>
      <c r="B173" s="10"/>
      <c r="C173" s="10">
        <v>69</v>
      </c>
      <c r="D173" s="10" t="s">
        <v>231</v>
      </c>
    </row>
    <row r="174" spans="1:4" x14ac:dyDescent="0.2">
      <c r="A174" s="10"/>
      <c r="B174" s="10"/>
      <c r="C174" s="10">
        <v>70</v>
      </c>
      <c r="D174" s="10" t="s">
        <v>232</v>
      </c>
    </row>
    <row r="175" spans="1:4" x14ac:dyDescent="0.2">
      <c r="A175" s="10"/>
      <c r="B175" s="10"/>
      <c r="C175" s="10">
        <v>71</v>
      </c>
      <c r="D175" s="10" t="s">
        <v>233</v>
      </c>
    </row>
    <row r="176" spans="1:4" x14ac:dyDescent="0.2">
      <c r="A176" s="10"/>
      <c r="B176" s="10"/>
      <c r="C176" s="10">
        <v>72</v>
      </c>
      <c r="D176" s="10" t="s">
        <v>234</v>
      </c>
    </row>
    <row r="177" spans="1:6" x14ac:dyDescent="0.2">
      <c r="A177" s="10"/>
      <c r="B177" s="10"/>
      <c r="C177" s="10">
        <v>73</v>
      </c>
      <c r="D177" s="10" t="s">
        <v>127</v>
      </c>
    </row>
    <row r="178" spans="1:6" x14ac:dyDescent="0.2">
      <c r="A178" s="10"/>
      <c r="B178" s="10"/>
      <c r="C178" s="10">
        <v>74</v>
      </c>
      <c r="D178" s="10" t="s">
        <v>236</v>
      </c>
    </row>
    <row r="179" spans="1:6" x14ac:dyDescent="0.2">
      <c r="A179" s="10"/>
      <c r="B179" s="10"/>
      <c r="C179" s="10">
        <v>75</v>
      </c>
      <c r="D179" s="10" t="s">
        <v>237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242</v>
      </c>
      <c r="C181" s="10">
        <v>64</v>
      </c>
      <c r="D181" s="10" t="s">
        <v>227</v>
      </c>
    </row>
    <row r="182" spans="1:6" x14ac:dyDescent="0.2">
      <c r="A182" s="10"/>
      <c r="B182" s="10"/>
      <c r="C182" s="10">
        <v>65</v>
      </c>
      <c r="D182" s="10" t="s">
        <v>66</v>
      </c>
    </row>
    <row r="183" spans="1:6" x14ac:dyDescent="0.2">
      <c r="A183" s="10"/>
      <c r="B183" s="10"/>
      <c r="C183" s="10">
        <v>66</v>
      </c>
      <c r="D183" s="10" t="s">
        <v>228</v>
      </c>
    </row>
    <row r="184" spans="1:6" x14ac:dyDescent="0.2">
      <c r="A184" s="10"/>
      <c r="B184" s="10"/>
      <c r="C184" s="10">
        <v>67</v>
      </c>
      <c r="D184" s="10" t="s">
        <v>229</v>
      </c>
    </row>
    <row r="185" spans="1:6" x14ac:dyDescent="0.2">
      <c r="A185" s="10"/>
      <c r="B185" s="10"/>
      <c r="C185" s="10">
        <v>68</v>
      </c>
      <c r="D185" s="10" t="s">
        <v>230</v>
      </c>
    </row>
    <row r="186" spans="1:6" x14ac:dyDescent="0.2">
      <c r="A186"/>
      <c r="B186"/>
      <c r="D186"/>
    </row>
    <row r="187" spans="1:6" x14ac:dyDescent="0.2">
      <c r="A187" s="14" t="s">
        <v>505</v>
      </c>
      <c r="C187" s="125"/>
      <c r="D187" s="125"/>
    </row>
    <row r="188" spans="1:6" x14ac:dyDescent="0.2">
      <c r="A188" s="88" t="s">
        <v>11</v>
      </c>
      <c r="C188" s="125"/>
      <c r="D188" s="125"/>
    </row>
    <row r="189" spans="1:6" x14ac:dyDescent="0.2">
      <c r="A189" s="88" t="s">
        <v>11</v>
      </c>
      <c r="C189" s="125"/>
      <c r="D189" s="125"/>
    </row>
    <row r="190" spans="1:6" x14ac:dyDescent="0.2">
      <c r="B190" s="88" t="s">
        <v>506</v>
      </c>
      <c r="D190" s="88" t="s">
        <v>521</v>
      </c>
    </row>
    <row r="191" spans="1:6" x14ac:dyDescent="0.2">
      <c r="A191" s="88" t="s">
        <v>11</v>
      </c>
    </row>
    <row r="192" spans="1:6" x14ac:dyDescent="0.2">
      <c r="A192" s="88">
        <v>1</v>
      </c>
      <c r="B192" s="125" t="s">
        <v>322</v>
      </c>
      <c r="C192" s="88">
        <v>1</v>
      </c>
      <c r="D192" s="125" t="s">
        <v>475</v>
      </c>
      <c r="F192" s="125"/>
    </row>
    <row r="193" spans="1:6" x14ac:dyDescent="0.2">
      <c r="C193" s="88">
        <v>2</v>
      </c>
      <c r="D193" s="125" t="s">
        <v>476</v>
      </c>
      <c r="F193" s="125"/>
    </row>
    <row r="194" spans="1:6" x14ac:dyDescent="0.2">
      <c r="D194" s="125"/>
      <c r="F194" s="125"/>
    </row>
    <row r="195" spans="1:6" x14ac:dyDescent="0.2">
      <c r="A195" s="88">
        <v>2</v>
      </c>
      <c r="B195" s="125" t="s">
        <v>323</v>
      </c>
      <c r="C195" s="88">
        <v>3</v>
      </c>
      <c r="D195" s="125" t="s">
        <v>477</v>
      </c>
      <c r="F195" s="125"/>
    </row>
    <row r="196" spans="1:6" x14ac:dyDescent="0.2">
      <c r="C196" s="88">
        <v>4</v>
      </c>
      <c r="D196" s="125" t="s">
        <v>479</v>
      </c>
      <c r="F196" s="125"/>
    </row>
    <row r="197" spans="1:6" x14ac:dyDescent="0.2">
      <c r="C197" s="88">
        <v>5</v>
      </c>
      <c r="D197" s="125" t="s">
        <v>481</v>
      </c>
      <c r="F197" s="125"/>
    </row>
    <row r="198" spans="1:6" x14ac:dyDescent="0.2">
      <c r="C198" s="88">
        <v>6</v>
      </c>
      <c r="D198" s="125" t="s">
        <v>482</v>
      </c>
      <c r="F198" s="125"/>
    </row>
    <row r="199" spans="1:6" x14ac:dyDescent="0.2">
      <c r="B199" s="125"/>
      <c r="D199" s="125"/>
      <c r="F199" s="125"/>
    </row>
    <row r="200" spans="1:6" x14ac:dyDescent="0.2">
      <c r="A200" s="88">
        <v>3</v>
      </c>
      <c r="B200" s="125" t="s">
        <v>478</v>
      </c>
      <c r="C200" s="88">
        <v>7</v>
      </c>
      <c r="D200" s="125" t="s">
        <v>484</v>
      </c>
      <c r="F200" s="125"/>
    </row>
    <row r="201" spans="1:6" x14ac:dyDescent="0.2">
      <c r="C201" s="88">
        <v>8</v>
      </c>
      <c r="D201" s="125" t="s">
        <v>486</v>
      </c>
      <c r="F201" s="125"/>
    </row>
    <row r="202" spans="1:6" x14ac:dyDescent="0.2">
      <c r="C202" s="88">
        <v>9</v>
      </c>
      <c r="D202" s="125" t="s">
        <v>487</v>
      </c>
      <c r="F202" s="125"/>
    </row>
    <row r="203" spans="1:6" x14ac:dyDescent="0.2">
      <c r="C203" s="88">
        <v>10</v>
      </c>
      <c r="D203" s="125" t="s">
        <v>488</v>
      </c>
      <c r="F203" s="125"/>
    </row>
    <row r="204" spans="1:6" x14ac:dyDescent="0.2">
      <c r="C204" s="88">
        <v>11</v>
      </c>
      <c r="D204" s="125" t="s">
        <v>489</v>
      </c>
      <c r="F204" s="125"/>
    </row>
    <row r="205" spans="1:6" x14ac:dyDescent="0.2">
      <c r="D205" s="125"/>
      <c r="F205" s="125"/>
    </row>
    <row r="206" spans="1:6" x14ac:dyDescent="0.2">
      <c r="A206" s="88">
        <v>4</v>
      </c>
      <c r="B206" s="125" t="s">
        <v>480</v>
      </c>
      <c r="C206" s="88">
        <v>12</v>
      </c>
      <c r="D206" s="125" t="s">
        <v>490</v>
      </c>
      <c r="F206" s="125"/>
    </row>
    <row r="207" spans="1:6" x14ac:dyDescent="0.2">
      <c r="C207" s="88">
        <v>13</v>
      </c>
      <c r="D207" s="125" t="s">
        <v>491</v>
      </c>
      <c r="F207" s="125"/>
    </row>
    <row r="208" spans="1:6" x14ac:dyDescent="0.2">
      <c r="D208"/>
      <c r="F208" s="125"/>
    </row>
    <row r="209" spans="1:6" x14ac:dyDescent="0.2">
      <c r="A209" s="88">
        <v>5</v>
      </c>
      <c r="B209" s="125" t="s">
        <v>324</v>
      </c>
      <c r="C209" s="88">
        <v>14</v>
      </c>
      <c r="D209" s="125" t="s">
        <v>492</v>
      </c>
      <c r="F209" s="125"/>
    </row>
    <row r="210" spans="1:6" x14ac:dyDescent="0.2">
      <c r="C210" s="88">
        <v>15</v>
      </c>
      <c r="D210" s="125" t="s">
        <v>493</v>
      </c>
      <c r="F210" s="125"/>
    </row>
    <row r="211" spans="1:6" x14ac:dyDescent="0.2">
      <c r="C211" s="88">
        <v>16</v>
      </c>
      <c r="D211" s="125" t="s">
        <v>494</v>
      </c>
      <c r="F211" s="125"/>
    </row>
    <row r="212" spans="1:6" x14ac:dyDescent="0.2">
      <c r="C212" s="88">
        <v>17</v>
      </c>
      <c r="D212" s="125" t="s">
        <v>495</v>
      </c>
      <c r="F212" s="125"/>
    </row>
    <row r="213" spans="1:6" x14ac:dyDescent="0.2">
      <c r="D213"/>
      <c r="F213" s="125"/>
    </row>
    <row r="214" spans="1:6" x14ac:dyDescent="0.2">
      <c r="A214" s="88">
        <v>6</v>
      </c>
      <c r="B214" s="125" t="s">
        <v>483</v>
      </c>
      <c r="C214" s="88">
        <v>18</v>
      </c>
      <c r="D214" s="125" t="s">
        <v>496</v>
      </c>
      <c r="F214" s="125"/>
    </row>
    <row r="215" spans="1:6" x14ac:dyDescent="0.2">
      <c r="C215" s="88">
        <v>19</v>
      </c>
      <c r="D215" s="125" t="s">
        <v>497</v>
      </c>
      <c r="F215" s="125"/>
    </row>
    <row r="216" spans="1:6" x14ac:dyDescent="0.2">
      <c r="C216" s="88">
        <v>20</v>
      </c>
      <c r="D216" s="125" t="s">
        <v>498</v>
      </c>
      <c r="F216" s="125"/>
    </row>
    <row r="217" spans="1:6" x14ac:dyDescent="0.2">
      <c r="F217" s="125"/>
    </row>
    <row r="218" spans="1:6" x14ac:dyDescent="0.2">
      <c r="A218" s="88">
        <v>7</v>
      </c>
      <c r="B218" s="125" t="s">
        <v>485</v>
      </c>
      <c r="C218" s="88">
        <v>21</v>
      </c>
      <c r="D218" s="125" t="s">
        <v>499</v>
      </c>
      <c r="F218"/>
    </row>
    <row r="219" spans="1:6" x14ac:dyDescent="0.2">
      <c r="C219" s="88">
        <v>22</v>
      </c>
      <c r="D219" s="125" t="s">
        <v>500</v>
      </c>
    </row>
    <row r="220" spans="1:6" x14ac:dyDescent="0.2">
      <c r="D220" s="125"/>
    </row>
    <row r="221" spans="1:6" x14ac:dyDescent="0.2">
      <c r="A221" s="88">
        <v>8</v>
      </c>
      <c r="B221" s="125" t="s">
        <v>325</v>
      </c>
      <c r="C221" s="88">
        <v>23</v>
      </c>
      <c r="D221" s="125" t="s">
        <v>501</v>
      </c>
    </row>
    <row r="222" spans="1:6" x14ac:dyDescent="0.2">
      <c r="C222" s="88">
        <v>24</v>
      </c>
      <c r="D222" s="125" t="s">
        <v>502</v>
      </c>
    </row>
    <row r="223" spans="1:6" ht="12" customHeight="1" x14ac:dyDescent="0.2"/>
    <row r="224" spans="1:6" x14ac:dyDescent="0.2">
      <c r="A224" s="88">
        <v>9</v>
      </c>
      <c r="B224" s="125" t="s">
        <v>9</v>
      </c>
      <c r="C224" s="88">
        <v>25</v>
      </c>
      <c r="D224" s="125" t="s">
        <v>503</v>
      </c>
    </row>
    <row r="225" spans="1:4" x14ac:dyDescent="0.2">
      <c r="C225" s="88">
        <v>26</v>
      </c>
      <c r="D225" t="s">
        <v>504</v>
      </c>
    </row>
    <row r="226" spans="1:4" x14ac:dyDescent="0.2">
      <c r="B226"/>
      <c r="D226"/>
    </row>
    <row r="227" spans="1:4" x14ac:dyDescent="0.2">
      <c r="A227" s="14" t="s">
        <v>351</v>
      </c>
      <c r="D227"/>
    </row>
    <row r="228" spans="1:4" x14ac:dyDescent="0.2">
      <c r="D228"/>
    </row>
    <row r="229" spans="1:4" x14ac:dyDescent="0.2">
      <c r="B229" s="88" t="s">
        <v>460</v>
      </c>
      <c r="D229" s="88" t="s">
        <v>461</v>
      </c>
    </row>
    <row r="231" spans="1:4" x14ac:dyDescent="0.2">
      <c r="A231" s="88">
        <v>1</v>
      </c>
      <c r="B231" s="125" t="s">
        <v>458</v>
      </c>
      <c r="C231" s="88">
        <v>1</v>
      </c>
      <c r="D231" s="125" t="s">
        <v>450</v>
      </c>
    </row>
    <row r="232" spans="1:4" x14ac:dyDescent="0.2">
      <c r="C232" s="88">
        <v>2</v>
      </c>
      <c r="D232" s="125" t="s">
        <v>451</v>
      </c>
    </row>
    <row r="234" spans="1:4" x14ac:dyDescent="0.2">
      <c r="A234" s="88">
        <v>2</v>
      </c>
      <c r="B234" s="125" t="s">
        <v>459</v>
      </c>
      <c r="C234" s="88">
        <v>3</v>
      </c>
      <c r="D234" s="125" t="s">
        <v>452</v>
      </c>
    </row>
    <row r="235" spans="1:4" x14ac:dyDescent="0.2">
      <c r="C235" s="88">
        <v>4</v>
      </c>
      <c r="D235" s="125" t="s">
        <v>453</v>
      </c>
    </row>
    <row r="236" spans="1:4" x14ac:dyDescent="0.2">
      <c r="C236" s="88">
        <v>5</v>
      </c>
      <c r="D236" s="125" t="s">
        <v>454</v>
      </c>
    </row>
    <row r="238" spans="1:4" x14ac:dyDescent="0.2">
      <c r="A238" s="88">
        <v>3</v>
      </c>
      <c r="B238" s="125" t="s">
        <v>455</v>
      </c>
      <c r="C238" s="88">
        <v>6</v>
      </c>
      <c r="D238" s="125" t="s">
        <v>455</v>
      </c>
    </row>
    <row r="240" spans="1:4" x14ac:dyDescent="0.2">
      <c r="A240" s="88">
        <v>4</v>
      </c>
      <c r="B240" s="125" t="s">
        <v>456</v>
      </c>
      <c r="C240" s="88">
        <v>7</v>
      </c>
      <c r="D240" s="125" t="s">
        <v>456</v>
      </c>
    </row>
    <row r="242" spans="1:4" x14ac:dyDescent="0.2">
      <c r="A242" s="88">
        <v>5</v>
      </c>
      <c r="B242" s="125" t="s">
        <v>457</v>
      </c>
      <c r="C242" s="88">
        <v>8</v>
      </c>
      <c r="D242" s="125" t="s">
        <v>457</v>
      </c>
    </row>
    <row r="244" spans="1:4" x14ac:dyDescent="0.2">
      <c r="A244" s="88">
        <v>6</v>
      </c>
      <c r="B244" s="125" t="s">
        <v>327</v>
      </c>
      <c r="C244" s="88">
        <v>9</v>
      </c>
      <c r="D244" s="125" t="s">
        <v>327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4" manualBreakCount="4">
    <brk id="45" max="16383" man="1"/>
    <brk id="101" max="16383" man="1"/>
    <brk id="138" max="16383" man="1"/>
    <brk id="186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90F392-9B8F-4731-8381-2C12D3D7A5C7}"/>
</file>

<file path=customXml/itemProps2.xml><?xml version="1.0" encoding="utf-8"?>
<ds:datastoreItem xmlns:ds="http://schemas.openxmlformats.org/officeDocument/2006/customXml" ds:itemID="{07499101-99E4-4591-A025-44191D7B6C7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32</vt:i4>
      </vt:variant>
    </vt:vector>
  </HeadingPairs>
  <TitlesOfParts>
    <vt:vector size="68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T3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T3'!Print_Area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2019-03-05T13:17:01Z</cp:lastPrinted>
  <dcterms:created xsi:type="dcterms:W3CDTF">2006-08-30T09:48:05Z</dcterms:created>
  <dcterms:modified xsi:type="dcterms:W3CDTF">2023-10-02T15:59:21Z</dcterms:modified>
</cp:coreProperties>
</file>